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2"/>
  <workbookPr defaultThemeVersion="124226"/>
  <mc:AlternateContent xmlns:mc="http://schemas.openxmlformats.org/markup-compatibility/2006">
    <mc:Choice Requires="x15">
      <x15ac:absPath xmlns:x15ac="http://schemas.microsoft.com/office/spreadsheetml/2010/11/ac" url="C:\Users\Carrie.Hert\Desktop\Paul Docs to Post\"/>
    </mc:Choice>
  </mc:AlternateContent>
  <xr:revisionPtr revIDLastSave="0" documentId="8_{AA0F23DA-C770-4730-8EA3-68FF126D89B8}" xr6:coauthVersionLast="47" xr6:coauthVersionMax="47" xr10:uidLastSave="{00000000-0000-0000-0000-000000000000}"/>
  <bookViews>
    <workbookView xWindow="-120" yWindow="-120" windowWidth="29040" windowHeight="15720" tabRatio="935" firstSheet="2" activeTab="2" xr2:uid="{00000000-000D-0000-FFFF-FFFF00000000}"/>
  </bookViews>
  <sheets>
    <sheet name="Please Read Instructions" sheetId="29" r:id="rId1"/>
    <sheet name="CCDDD" sheetId="26" state="hidden" r:id="rId2"/>
    <sheet name="Fund Balance Summary" sheetId="24" r:id="rId3"/>
    <sheet name="ALLOC" sheetId="28" state="hidden" r:id="rId4"/>
    <sheet name="Indirects" sheetId="27" state="hidden" r:id="rId5"/>
    <sheet name="GL 810 Restricted" sheetId="2" r:id="rId6"/>
    <sheet name="GL 815 Restricted" sheetId="3" r:id="rId7"/>
    <sheet name="GL 819 Restricted" sheetId="34" r:id="rId8"/>
    <sheet name="GL 821 Restricted" sheetId="4" r:id="rId9"/>
    <sheet name="PLD Allocation" sheetId="50" state="hidden" r:id="rId10"/>
    <sheet name="2021-22 PLD Detail" sheetId="53" state="hidden" r:id="rId11"/>
    <sheet name="GL 823 Restricted" sheetId="56" state="hidden" r:id="rId12"/>
    <sheet name="GL 825 Restricted" sheetId="33" r:id="rId13"/>
    <sheet name="GL 828 Restricted" sheetId="31" r:id="rId14"/>
    <sheet name="22-23 SCA 619811" sheetId="58" state="hidden" r:id="rId15"/>
    <sheet name="SCA Illustration" sheetId="54" state="hidden" r:id="rId16"/>
    <sheet name="Food Svc Carryover" sheetId="32" state="hidden" r:id="rId17"/>
    <sheet name="GL 830 Restricted" sheetId="5" r:id="rId18"/>
    <sheet name="GL 835 Restricted" sheetId="6" r:id="rId19"/>
    <sheet name="GL 840 Nonspendable" sheetId="1" r:id="rId20"/>
    <sheet name="GL 845 Restricted" sheetId="7" r:id="rId21"/>
    <sheet name="GL 850 Restricted" sheetId="8" r:id="rId22"/>
    <sheet name="GL 855 Nonspendable" sheetId="9" r:id="rId23"/>
    <sheet name="GL 861 CPF Restricted" sheetId="10" r:id="rId24"/>
    <sheet name="GL 862 CPF Restricted" sheetId="11" r:id="rId25"/>
    <sheet name="GL 863 CPF Restricted" sheetId="12" r:id="rId26"/>
    <sheet name="GL 864 CPF Restricted" sheetId="13" r:id="rId27"/>
    <sheet name="GL 865 CPF Restricted" sheetId="14" r:id="rId28"/>
    <sheet name="GL 866 CPF Restricted" sheetId="15" r:id="rId29"/>
    <sheet name="GL 867 CPF Restricted" sheetId="16" r:id="rId30"/>
    <sheet name="GL 869 CPF Restricted" sheetId="17" r:id="rId31"/>
    <sheet name="GL 870 Committed" sheetId="18" r:id="rId32"/>
    <sheet name="GL 872 Committed" sheetId="19" r:id="rId33"/>
    <sheet name="GL 873 Committed" sheetId="55" state="hidden" r:id="rId34"/>
    <sheet name="GL 875 Assigned" sheetId="20" r:id="rId35"/>
    <sheet name="GL 884 Assigned" sheetId="21" r:id="rId36"/>
    <sheet name="GL 888 Assigned" sheetId="25" r:id="rId37"/>
    <sheet name="GL 889 Assigned" sheetId="22" r:id="rId38"/>
    <sheet name="GL 890 Unassigned" sheetId="23" r:id="rId39"/>
    <sheet name="GL 891 Unassigned MFBP" sheetId="38" r:id="rId40"/>
    <sheet name="Journal Entries" sheetId="30" r:id="rId41"/>
  </sheets>
  <definedNames>
    <definedName name="_xlnm._FilterDatabase" localSheetId="2" hidden="1">'Fund Balance Summary'!$A$1:$B$2</definedName>
    <definedName name="DISNAME">ALLOC!$C$7:$C$317</definedName>
    <definedName name="_xlnm.Print_Area" localSheetId="2">'Fund Balance Summary'!$A$1:$O$56</definedName>
    <definedName name="_xlnm.Print_Area" localSheetId="8">'GL 821 Restricted'!$A$70:$C$90</definedName>
    <definedName name="_xlnm.Print_Area" localSheetId="13">'GL 828 Restricted'!$A$1:$F$51</definedName>
    <definedName name="_xlnm.Print_Area" localSheetId="0">'Please Read Instructions'!#REF!</definedName>
    <definedName name="solver_eng" localSheetId="0" hidden="1">1</definedName>
    <definedName name="solver_neg" localSheetId="0" hidden="1">1</definedName>
    <definedName name="solver_num" localSheetId="0" hidden="1">0</definedName>
    <definedName name="solver_opt" localSheetId="0" hidden="1">'Please Read Instructions'!$B$2</definedName>
    <definedName name="solver_typ" localSheetId="0" hidden="1">1</definedName>
    <definedName name="solver_val" localSheetId="0" hidden="1">0</definedName>
    <definedName name="solver_ver" localSheetId="0" hidde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58" l="1"/>
  <c r="D3" i="58"/>
  <c r="Q3" i="58" s="1"/>
  <c r="P6" i="50"/>
  <c r="S6" i="50"/>
  <c r="O6" i="50"/>
  <c r="R334" i="50"/>
  <c r="R333" i="50"/>
  <c r="R332" i="50"/>
  <c r="R331" i="50"/>
  <c r="R330" i="50"/>
  <c r="R329" i="50"/>
  <c r="R328" i="50"/>
  <c r="R327" i="50"/>
  <c r="R326" i="50"/>
  <c r="R325" i="50"/>
  <c r="R324" i="50"/>
  <c r="R323" i="50"/>
  <c r="R322" i="50"/>
  <c r="R321" i="50"/>
  <c r="R320" i="50"/>
  <c r="R319" i="50"/>
  <c r="R318" i="50"/>
  <c r="R317" i="50"/>
  <c r="R316" i="50"/>
  <c r="R315" i="50"/>
  <c r="R314" i="50"/>
  <c r="R313" i="50"/>
  <c r="R312" i="50"/>
  <c r="R311" i="50"/>
  <c r="R310" i="50"/>
  <c r="R309" i="50"/>
  <c r="R308" i="50"/>
  <c r="R307" i="50"/>
  <c r="R306" i="50"/>
  <c r="R305" i="50"/>
  <c r="R304" i="50"/>
  <c r="R303" i="50"/>
  <c r="R302" i="50"/>
  <c r="R301" i="50"/>
  <c r="R300" i="50"/>
  <c r="R299" i="50"/>
  <c r="R298" i="50"/>
  <c r="R297" i="50"/>
  <c r="R296" i="50"/>
  <c r="R295" i="50"/>
  <c r="R294" i="50"/>
  <c r="R293" i="50"/>
  <c r="R292" i="50"/>
  <c r="R291" i="50"/>
  <c r="R290" i="50"/>
  <c r="R289" i="50"/>
  <c r="R288" i="50"/>
  <c r="R287" i="50"/>
  <c r="R286" i="50"/>
  <c r="R285" i="50"/>
  <c r="R284" i="50"/>
  <c r="R283" i="50"/>
  <c r="R282" i="50"/>
  <c r="R281" i="50"/>
  <c r="R280" i="50"/>
  <c r="R279" i="50"/>
  <c r="R278" i="50"/>
  <c r="R277" i="50"/>
  <c r="R276" i="50"/>
  <c r="R275" i="50"/>
  <c r="R274" i="50"/>
  <c r="R273" i="50"/>
  <c r="R272" i="50"/>
  <c r="R271" i="50"/>
  <c r="R270" i="50"/>
  <c r="R269" i="50"/>
  <c r="R268" i="50"/>
  <c r="R267" i="50"/>
  <c r="R266" i="50"/>
  <c r="R265" i="50"/>
  <c r="R264" i="50"/>
  <c r="R263" i="50"/>
  <c r="R262" i="50"/>
  <c r="R261" i="50"/>
  <c r="R260" i="50"/>
  <c r="R259" i="50"/>
  <c r="R258" i="50"/>
  <c r="R257" i="50"/>
  <c r="R256" i="50"/>
  <c r="R255" i="50"/>
  <c r="R254" i="50"/>
  <c r="R253" i="50"/>
  <c r="R252" i="50"/>
  <c r="R251" i="50"/>
  <c r="R250" i="50"/>
  <c r="R249" i="50"/>
  <c r="R248" i="50"/>
  <c r="R247" i="50"/>
  <c r="R246" i="50"/>
  <c r="R245" i="50"/>
  <c r="R244" i="50"/>
  <c r="R243" i="50"/>
  <c r="R242" i="50"/>
  <c r="R241" i="50"/>
  <c r="R240" i="50"/>
  <c r="R239" i="50"/>
  <c r="R238" i="50"/>
  <c r="R237" i="50"/>
  <c r="R236" i="50"/>
  <c r="R235" i="50"/>
  <c r="R234" i="50"/>
  <c r="R233" i="50"/>
  <c r="R232" i="50"/>
  <c r="R231" i="50"/>
  <c r="R230" i="50"/>
  <c r="R229" i="50"/>
  <c r="R228" i="50"/>
  <c r="R227" i="50"/>
  <c r="R226" i="50"/>
  <c r="R225" i="50"/>
  <c r="R224" i="50"/>
  <c r="R223" i="50"/>
  <c r="R222" i="50"/>
  <c r="R221" i="50"/>
  <c r="R220" i="50"/>
  <c r="R219" i="50"/>
  <c r="R218" i="50"/>
  <c r="R217" i="50"/>
  <c r="R216" i="50"/>
  <c r="R215" i="50"/>
  <c r="R214" i="50"/>
  <c r="R213" i="50"/>
  <c r="R212" i="50"/>
  <c r="R211" i="50"/>
  <c r="R210" i="50"/>
  <c r="R209" i="50"/>
  <c r="R208" i="50"/>
  <c r="R207" i="50"/>
  <c r="R206" i="50"/>
  <c r="R205" i="50"/>
  <c r="R204" i="50"/>
  <c r="R203" i="50"/>
  <c r="R202" i="50"/>
  <c r="R201" i="50"/>
  <c r="R200" i="50"/>
  <c r="R199" i="50"/>
  <c r="R198" i="50"/>
  <c r="R197" i="50"/>
  <c r="R196" i="50"/>
  <c r="R195" i="50"/>
  <c r="R194" i="50"/>
  <c r="R193" i="50"/>
  <c r="R192" i="50"/>
  <c r="R191" i="50"/>
  <c r="R190" i="50"/>
  <c r="R189" i="50"/>
  <c r="R188" i="50"/>
  <c r="R187" i="50"/>
  <c r="R186" i="50"/>
  <c r="R185" i="50"/>
  <c r="R184" i="50"/>
  <c r="R183" i="50"/>
  <c r="R182" i="50"/>
  <c r="R181" i="50"/>
  <c r="R180" i="50"/>
  <c r="R179" i="50"/>
  <c r="R178" i="50"/>
  <c r="R177" i="50"/>
  <c r="R176" i="50"/>
  <c r="R175" i="50"/>
  <c r="R174" i="50"/>
  <c r="R173" i="50"/>
  <c r="R172" i="50"/>
  <c r="R171" i="50"/>
  <c r="R170" i="50"/>
  <c r="R169" i="50"/>
  <c r="R168" i="50"/>
  <c r="R167" i="50"/>
  <c r="R166" i="50"/>
  <c r="R165" i="50"/>
  <c r="R164" i="50"/>
  <c r="R163" i="50"/>
  <c r="R162" i="50"/>
  <c r="R161" i="50"/>
  <c r="R160" i="50"/>
  <c r="R159" i="50"/>
  <c r="R158" i="50"/>
  <c r="R157" i="50"/>
  <c r="R156" i="50"/>
  <c r="R155" i="50"/>
  <c r="R154" i="50"/>
  <c r="R153" i="50"/>
  <c r="R152" i="50"/>
  <c r="R151" i="50"/>
  <c r="R150" i="50"/>
  <c r="R149" i="50"/>
  <c r="R148" i="50"/>
  <c r="R147" i="50"/>
  <c r="R146" i="50"/>
  <c r="R145" i="50"/>
  <c r="R144" i="50"/>
  <c r="R143" i="50"/>
  <c r="R142" i="50"/>
  <c r="R141" i="50"/>
  <c r="R140" i="50"/>
  <c r="R139" i="50"/>
  <c r="R138" i="50"/>
  <c r="R137" i="50"/>
  <c r="R136" i="50"/>
  <c r="R135" i="50"/>
  <c r="R134" i="50"/>
  <c r="R133" i="50"/>
  <c r="R132" i="50"/>
  <c r="R131" i="50"/>
  <c r="R130" i="50"/>
  <c r="R129" i="50"/>
  <c r="R128" i="50"/>
  <c r="R127" i="50"/>
  <c r="R126" i="50"/>
  <c r="R125" i="50"/>
  <c r="R124" i="50"/>
  <c r="R123" i="50"/>
  <c r="R122" i="50"/>
  <c r="R121" i="50"/>
  <c r="R120" i="50"/>
  <c r="R119" i="50"/>
  <c r="R118" i="50"/>
  <c r="R117" i="50"/>
  <c r="R116" i="50"/>
  <c r="R115" i="50"/>
  <c r="R114" i="50"/>
  <c r="R113" i="50"/>
  <c r="R112" i="50"/>
  <c r="R111" i="50"/>
  <c r="R110" i="50"/>
  <c r="R109" i="50"/>
  <c r="R108" i="50"/>
  <c r="R107" i="50"/>
  <c r="R106" i="50"/>
  <c r="R105" i="50"/>
  <c r="R104" i="50"/>
  <c r="R103" i="50"/>
  <c r="R102" i="50"/>
  <c r="R101" i="50"/>
  <c r="R100" i="50"/>
  <c r="R99" i="50"/>
  <c r="R98" i="50"/>
  <c r="R97" i="50"/>
  <c r="R96" i="50"/>
  <c r="R95" i="50"/>
  <c r="R94" i="50"/>
  <c r="R93" i="50"/>
  <c r="R92" i="50"/>
  <c r="R91" i="50"/>
  <c r="R90" i="50"/>
  <c r="R89" i="50"/>
  <c r="R88" i="50"/>
  <c r="R87" i="50"/>
  <c r="R86" i="50"/>
  <c r="R85" i="50"/>
  <c r="R84" i="50"/>
  <c r="R83" i="50"/>
  <c r="R82" i="50"/>
  <c r="R81" i="50"/>
  <c r="R80" i="50"/>
  <c r="R79" i="50"/>
  <c r="R78" i="50"/>
  <c r="R77" i="50"/>
  <c r="R76" i="50"/>
  <c r="R75" i="50"/>
  <c r="R74" i="50"/>
  <c r="R73" i="50"/>
  <c r="R72" i="50"/>
  <c r="R71" i="50"/>
  <c r="R70" i="50"/>
  <c r="R69" i="50"/>
  <c r="R68" i="50"/>
  <c r="R67" i="50"/>
  <c r="R66" i="50"/>
  <c r="R65" i="50"/>
  <c r="R64" i="50"/>
  <c r="R63" i="50"/>
  <c r="R62" i="50"/>
  <c r="R61" i="50"/>
  <c r="R60" i="50"/>
  <c r="R59" i="50"/>
  <c r="R58" i="50"/>
  <c r="R57" i="50"/>
  <c r="R56" i="50"/>
  <c r="R55" i="50"/>
  <c r="R54" i="50"/>
  <c r="R53" i="50"/>
  <c r="R52" i="50"/>
  <c r="R51" i="50"/>
  <c r="R50" i="50"/>
  <c r="R49" i="50"/>
  <c r="R48" i="50"/>
  <c r="R47" i="50"/>
  <c r="R46" i="50"/>
  <c r="R45" i="50"/>
  <c r="R44" i="50"/>
  <c r="R43" i="50"/>
  <c r="R42" i="50"/>
  <c r="R41" i="50"/>
  <c r="R40" i="50"/>
  <c r="R39" i="50"/>
  <c r="R38" i="50"/>
  <c r="R37" i="50"/>
  <c r="R36" i="50"/>
  <c r="R35" i="50"/>
  <c r="R34" i="50"/>
  <c r="R33" i="50"/>
  <c r="R32" i="50"/>
  <c r="R31" i="50"/>
  <c r="R30" i="50"/>
  <c r="R29" i="50"/>
  <c r="R28" i="50"/>
  <c r="R27" i="50"/>
  <c r="R26" i="50"/>
  <c r="R25" i="50"/>
  <c r="R24" i="50"/>
  <c r="R23" i="50"/>
  <c r="R22" i="50"/>
  <c r="R21" i="50"/>
  <c r="R20" i="50"/>
  <c r="R19" i="50"/>
  <c r="R18" i="50"/>
  <c r="R17" i="50"/>
  <c r="R16" i="50"/>
  <c r="R15" i="50"/>
  <c r="R14" i="50"/>
  <c r="R13" i="50"/>
  <c r="R12" i="50"/>
  <c r="R11" i="50"/>
  <c r="R10" i="50"/>
  <c r="R9" i="50"/>
  <c r="R8" i="50"/>
  <c r="R7" i="50"/>
  <c r="R6" i="50" s="1"/>
  <c r="AS6" i="28"/>
  <c r="N334" i="50"/>
  <c r="J334" i="50"/>
  <c r="F334" i="50"/>
  <c r="N333" i="50"/>
  <c r="J333" i="50"/>
  <c r="F333" i="50"/>
  <c r="N332" i="50"/>
  <c r="J332" i="50"/>
  <c r="F332" i="50"/>
  <c r="N331" i="50"/>
  <c r="J331" i="50"/>
  <c r="F331" i="50"/>
  <c r="N330" i="50"/>
  <c r="J330" i="50"/>
  <c r="F330" i="50"/>
  <c r="N329" i="50"/>
  <c r="J329" i="50"/>
  <c r="F329" i="50"/>
  <c r="N328" i="50"/>
  <c r="J328" i="50"/>
  <c r="F328" i="50"/>
  <c r="N327" i="50"/>
  <c r="J327" i="50"/>
  <c r="F327" i="50"/>
  <c r="N326" i="50"/>
  <c r="J326" i="50"/>
  <c r="F326" i="50"/>
  <c r="N325" i="50"/>
  <c r="J325" i="50"/>
  <c r="F325" i="50"/>
  <c r="N324" i="50"/>
  <c r="J324" i="50"/>
  <c r="F324" i="50"/>
  <c r="N323" i="50"/>
  <c r="N322" i="50"/>
  <c r="J322" i="50"/>
  <c r="F322" i="50"/>
  <c r="N321" i="50"/>
  <c r="J321" i="50"/>
  <c r="F321" i="50"/>
  <c r="N320" i="50"/>
  <c r="J320" i="50"/>
  <c r="F320" i="50"/>
  <c r="N319" i="50"/>
  <c r="N318" i="50"/>
  <c r="J318" i="50"/>
  <c r="F318" i="50"/>
  <c r="N317" i="50"/>
  <c r="J317" i="50"/>
  <c r="F317" i="50"/>
  <c r="N316" i="50"/>
  <c r="J316" i="50"/>
  <c r="F316" i="50"/>
  <c r="N315" i="50"/>
  <c r="J315" i="50"/>
  <c r="F315" i="50"/>
  <c r="N314" i="50"/>
  <c r="J314" i="50"/>
  <c r="F314" i="50"/>
  <c r="N313" i="50"/>
  <c r="J313" i="50"/>
  <c r="F313" i="50"/>
  <c r="N312" i="50"/>
  <c r="J312" i="50"/>
  <c r="F312" i="50"/>
  <c r="N311" i="50"/>
  <c r="J311" i="50"/>
  <c r="F311" i="50"/>
  <c r="N310" i="50"/>
  <c r="J310" i="50"/>
  <c r="F310" i="50"/>
  <c r="N309" i="50"/>
  <c r="J309" i="50"/>
  <c r="F309" i="50"/>
  <c r="N308" i="50"/>
  <c r="J308" i="50"/>
  <c r="F308" i="50"/>
  <c r="N307" i="50"/>
  <c r="J307" i="50"/>
  <c r="F307" i="50"/>
  <c r="N306" i="50"/>
  <c r="J306" i="50"/>
  <c r="F306" i="50"/>
  <c r="N305" i="50"/>
  <c r="J305" i="50"/>
  <c r="F305" i="50"/>
  <c r="N304" i="50"/>
  <c r="J304" i="50"/>
  <c r="F304" i="50"/>
  <c r="N303" i="50"/>
  <c r="J303" i="50"/>
  <c r="F303" i="50"/>
  <c r="N302" i="50"/>
  <c r="J302" i="50"/>
  <c r="F302" i="50"/>
  <c r="N301" i="50"/>
  <c r="J301" i="50"/>
  <c r="F301" i="50"/>
  <c r="N300" i="50"/>
  <c r="J300" i="50"/>
  <c r="F300" i="50"/>
  <c r="N299" i="50"/>
  <c r="J299" i="50"/>
  <c r="F299" i="50"/>
  <c r="N298" i="50"/>
  <c r="J298" i="50"/>
  <c r="F298" i="50"/>
  <c r="N297" i="50"/>
  <c r="J297" i="50"/>
  <c r="F297" i="50"/>
  <c r="N296" i="50"/>
  <c r="J296" i="50"/>
  <c r="F296" i="50"/>
  <c r="N295" i="50"/>
  <c r="J295" i="50"/>
  <c r="F295" i="50"/>
  <c r="N294" i="50"/>
  <c r="J294" i="50"/>
  <c r="F294" i="50"/>
  <c r="N293" i="50"/>
  <c r="J293" i="50"/>
  <c r="F293" i="50"/>
  <c r="N292" i="50"/>
  <c r="J292" i="50"/>
  <c r="F292" i="50"/>
  <c r="N291" i="50"/>
  <c r="J291" i="50"/>
  <c r="F291" i="50"/>
  <c r="N290" i="50"/>
  <c r="J290" i="50"/>
  <c r="F290" i="50"/>
  <c r="N289" i="50"/>
  <c r="J289" i="50"/>
  <c r="F289" i="50"/>
  <c r="N288" i="50"/>
  <c r="J288" i="50"/>
  <c r="F288" i="50"/>
  <c r="N287" i="50"/>
  <c r="J287" i="50"/>
  <c r="F287" i="50"/>
  <c r="N286" i="50"/>
  <c r="J286" i="50"/>
  <c r="F286" i="50"/>
  <c r="N285" i="50"/>
  <c r="J285" i="50"/>
  <c r="F285" i="50"/>
  <c r="N284" i="50"/>
  <c r="J284" i="50"/>
  <c r="F284" i="50"/>
  <c r="N283" i="50"/>
  <c r="J283" i="50"/>
  <c r="F283" i="50"/>
  <c r="N282" i="50"/>
  <c r="J282" i="50"/>
  <c r="F282" i="50"/>
  <c r="N281" i="50"/>
  <c r="J281" i="50"/>
  <c r="F281" i="50"/>
  <c r="N280" i="50"/>
  <c r="J280" i="50"/>
  <c r="F280" i="50"/>
  <c r="N279" i="50"/>
  <c r="J279" i="50"/>
  <c r="F279" i="50"/>
  <c r="N278" i="50"/>
  <c r="J278" i="50"/>
  <c r="F278" i="50"/>
  <c r="N277" i="50"/>
  <c r="J277" i="50"/>
  <c r="F277" i="50"/>
  <c r="N276" i="50"/>
  <c r="J276" i="50"/>
  <c r="F276" i="50"/>
  <c r="N275" i="50"/>
  <c r="J275" i="50"/>
  <c r="F275" i="50"/>
  <c r="N274" i="50"/>
  <c r="J274" i="50"/>
  <c r="F274" i="50"/>
  <c r="N273" i="50"/>
  <c r="J273" i="50"/>
  <c r="F273" i="50"/>
  <c r="N272" i="50"/>
  <c r="J272" i="50"/>
  <c r="F272" i="50"/>
  <c r="N271" i="50"/>
  <c r="J271" i="50"/>
  <c r="F271" i="50"/>
  <c r="N270" i="50"/>
  <c r="J270" i="50"/>
  <c r="F270" i="50"/>
  <c r="N269" i="50"/>
  <c r="J269" i="50"/>
  <c r="F269" i="50"/>
  <c r="N268" i="50"/>
  <c r="J268" i="50"/>
  <c r="F268" i="50"/>
  <c r="N267" i="50"/>
  <c r="J267" i="50"/>
  <c r="F267" i="50"/>
  <c r="N266" i="50"/>
  <c r="J266" i="50"/>
  <c r="F266" i="50"/>
  <c r="N265" i="50"/>
  <c r="J265" i="50"/>
  <c r="F265" i="50"/>
  <c r="N264" i="50"/>
  <c r="J264" i="50"/>
  <c r="F264" i="50"/>
  <c r="N263" i="50"/>
  <c r="J263" i="50"/>
  <c r="F263" i="50"/>
  <c r="N262" i="50"/>
  <c r="J262" i="50"/>
  <c r="F262" i="50"/>
  <c r="N261" i="50"/>
  <c r="J261" i="50"/>
  <c r="F261" i="50"/>
  <c r="N260" i="50"/>
  <c r="J260" i="50"/>
  <c r="F260" i="50"/>
  <c r="N259" i="50"/>
  <c r="J259" i="50"/>
  <c r="F259" i="50"/>
  <c r="N258" i="50"/>
  <c r="J258" i="50"/>
  <c r="F258" i="50"/>
  <c r="N257" i="50"/>
  <c r="J257" i="50"/>
  <c r="F257" i="50"/>
  <c r="N256" i="50"/>
  <c r="J256" i="50"/>
  <c r="F256" i="50"/>
  <c r="N255" i="50"/>
  <c r="J255" i="50"/>
  <c r="F255" i="50"/>
  <c r="N254" i="50"/>
  <c r="J254" i="50"/>
  <c r="F254" i="50"/>
  <c r="N253" i="50"/>
  <c r="J253" i="50"/>
  <c r="F253" i="50"/>
  <c r="N252" i="50"/>
  <c r="J252" i="50"/>
  <c r="F252" i="50"/>
  <c r="N251" i="50"/>
  <c r="J251" i="50"/>
  <c r="F251" i="50"/>
  <c r="N250" i="50"/>
  <c r="J250" i="50"/>
  <c r="F250" i="50"/>
  <c r="N249" i="50"/>
  <c r="J249" i="50"/>
  <c r="F249" i="50"/>
  <c r="N248" i="50"/>
  <c r="J248" i="50"/>
  <c r="F248" i="50"/>
  <c r="N247" i="50"/>
  <c r="J247" i="50"/>
  <c r="F247" i="50"/>
  <c r="N246" i="50"/>
  <c r="J246" i="50"/>
  <c r="F246" i="50"/>
  <c r="N245" i="50"/>
  <c r="J245" i="50"/>
  <c r="F245" i="50"/>
  <c r="N244" i="50"/>
  <c r="J244" i="50"/>
  <c r="F244" i="50"/>
  <c r="N243" i="50"/>
  <c r="J243" i="50"/>
  <c r="F243" i="50"/>
  <c r="N242" i="50"/>
  <c r="J242" i="50"/>
  <c r="F242" i="50"/>
  <c r="N241" i="50"/>
  <c r="J241" i="50"/>
  <c r="F241" i="50"/>
  <c r="N240" i="50"/>
  <c r="J240" i="50"/>
  <c r="F240" i="50"/>
  <c r="N239" i="50"/>
  <c r="J239" i="50"/>
  <c r="F239" i="50"/>
  <c r="N238" i="50"/>
  <c r="J238" i="50"/>
  <c r="F238" i="50"/>
  <c r="N237" i="50"/>
  <c r="J237" i="50"/>
  <c r="F237" i="50"/>
  <c r="N236" i="50"/>
  <c r="J236" i="50"/>
  <c r="F236" i="50"/>
  <c r="N235" i="50"/>
  <c r="J235" i="50"/>
  <c r="F235" i="50"/>
  <c r="N234" i="50"/>
  <c r="J234" i="50"/>
  <c r="F234" i="50"/>
  <c r="N233" i="50"/>
  <c r="J233" i="50"/>
  <c r="F233" i="50"/>
  <c r="N232" i="50"/>
  <c r="J232" i="50"/>
  <c r="F232" i="50"/>
  <c r="N231" i="50"/>
  <c r="J231" i="50"/>
  <c r="F231" i="50"/>
  <c r="N230" i="50"/>
  <c r="J230" i="50"/>
  <c r="F230" i="50"/>
  <c r="N229" i="50"/>
  <c r="J229" i="50"/>
  <c r="F229" i="50"/>
  <c r="N228" i="50"/>
  <c r="J228" i="50"/>
  <c r="F228" i="50"/>
  <c r="N227" i="50"/>
  <c r="J227" i="50"/>
  <c r="F227" i="50"/>
  <c r="N226" i="50"/>
  <c r="J226" i="50"/>
  <c r="F226" i="50"/>
  <c r="N225" i="50"/>
  <c r="J225" i="50"/>
  <c r="F225" i="50"/>
  <c r="N224" i="50"/>
  <c r="N223" i="50"/>
  <c r="J223" i="50"/>
  <c r="F223" i="50"/>
  <c r="N222" i="50"/>
  <c r="J222" i="50"/>
  <c r="F222" i="50"/>
  <c r="N221" i="50"/>
  <c r="J221" i="50"/>
  <c r="F221" i="50"/>
  <c r="N220" i="50"/>
  <c r="J220" i="50"/>
  <c r="F220" i="50"/>
  <c r="N219" i="50"/>
  <c r="J219" i="50"/>
  <c r="F219" i="50"/>
  <c r="N218" i="50"/>
  <c r="J218" i="50"/>
  <c r="F218" i="50"/>
  <c r="N217" i="50"/>
  <c r="J217" i="50"/>
  <c r="F217" i="50"/>
  <c r="N216" i="50"/>
  <c r="J216" i="50"/>
  <c r="F216" i="50"/>
  <c r="N215" i="50"/>
  <c r="N214" i="50"/>
  <c r="J214" i="50"/>
  <c r="F214" i="50"/>
  <c r="N213" i="50"/>
  <c r="J213" i="50"/>
  <c r="F213" i="50"/>
  <c r="N212" i="50"/>
  <c r="J212" i="50"/>
  <c r="F212" i="50"/>
  <c r="N211" i="50"/>
  <c r="J211" i="50"/>
  <c r="F211" i="50"/>
  <c r="N210" i="50"/>
  <c r="J210" i="50"/>
  <c r="F210" i="50"/>
  <c r="N209" i="50"/>
  <c r="J209" i="50"/>
  <c r="F209" i="50"/>
  <c r="N208" i="50"/>
  <c r="J208" i="50"/>
  <c r="F208" i="50"/>
  <c r="N207" i="50"/>
  <c r="J207" i="50"/>
  <c r="F207" i="50"/>
  <c r="N206" i="50"/>
  <c r="J206" i="50"/>
  <c r="F206" i="50"/>
  <c r="N205" i="50"/>
  <c r="J205" i="50"/>
  <c r="F205" i="50"/>
  <c r="N204" i="50"/>
  <c r="J204" i="50"/>
  <c r="F204" i="50"/>
  <c r="N203" i="50"/>
  <c r="J203" i="50"/>
  <c r="F203" i="50"/>
  <c r="N202" i="50"/>
  <c r="J202" i="50"/>
  <c r="F202" i="50"/>
  <c r="N201" i="50"/>
  <c r="J201" i="50"/>
  <c r="F201" i="50"/>
  <c r="N200" i="50"/>
  <c r="J200" i="50"/>
  <c r="F200" i="50"/>
  <c r="N199" i="50"/>
  <c r="J199" i="50"/>
  <c r="F199" i="50"/>
  <c r="N198" i="50"/>
  <c r="J198" i="50"/>
  <c r="F198" i="50"/>
  <c r="N197" i="50"/>
  <c r="J197" i="50"/>
  <c r="F197" i="50"/>
  <c r="N196" i="50"/>
  <c r="J196" i="50"/>
  <c r="F196" i="50"/>
  <c r="N195" i="50"/>
  <c r="J195" i="50"/>
  <c r="F195" i="50"/>
  <c r="N194" i="50"/>
  <c r="J194" i="50"/>
  <c r="F194" i="50"/>
  <c r="N193" i="50"/>
  <c r="J193" i="50"/>
  <c r="F193" i="50"/>
  <c r="N192" i="50"/>
  <c r="J192" i="50"/>
  <c r="F192" i="50"/>
  <c r="N191" i="50"/>
  <c r="J191" i="50"/>
  <c r="F191" i="50"/>
  <c r="N190" i="50"/>
  <c r="J190" i="50"/>
  <c r="F190" i="50"/>
  <c r="N189" i="50"/>
  <c r="J189" i="50"/>
  <c r="F189" i="50"/>
  <c r="N188" i="50"/>
  <c r="J188" i="50"/>
  <c r="F188" i="50"/>
  <c r="N187" i="50"/>
  <c r="J187" i="50"/>
  <c r="F187" i="50"/>
  <c r="N186" i="50"/>
  <c r="J186" i="50"/>
  <c r="F186" i="50"/>
  <c r="N185" i="50"/>
  <c r="J185" i="50"/>
  <c r="F185" i="50"/>
  <c r="N184" i="50"/>
  <c r="J184" i="50"/>
  <c r="F184" i="50"/>
  <c r="N183" i="50"/>
  <c r="J183" i="50"/>
  <c r="F183" i="50"/>
  <c r="N182" i="50"/>
  <c r="J182" i="50"/>
  <c r="F182" i="50"/>
  <c r="N181" i="50"/>
  <c r="J181" i="50"/>
  <c r="F181" i="50"/>
  <c r="N180" i="50"/>
  <c r="J180" i="50"/>
  <c r="F180" i="50"/>
  <c r="N179" i="50"/>
  <c r="J179" i="50"/>
  <c r="F179" i="50"/>
  <c r="N178" i="50"/>
  <c r="J178" i="50"/>
  <c r="F178" i="50"/>
  <c r="N177" i="50"/>
  <c r="J177" i="50"/>
  <c r="F177" i="50"/>
  <c r="N176" i="50"/>
  <c r="J176" i="50"/>
  <c r="F176" i="50"/>
  <c r="N175" i="50"/>
  <c r="J175" i="50"/>
  <c r="F175" i="50"/>
  <c r="N174" i="50"/>
  <c r="J174" i="50"/>
  <c r="F174" i="50"/>
  <c r="N173" i="50"/>
  <c r="J173" i="50"/>
  <c r="F173" i="50"/>
  <c r="N172" i="50"/>
  <c r="J172" i="50"/>
  <c r="F172" i="50"/>
  <c r="N171" i="50"/>
  <c r="J171" i="50"/>
  <c r="F171" i="50"/>
  <c r="N170" i="50"/>
  <c r="J170" i="50"/>
  <c r="F170" i="50"/>
  <c r="N169" i="50"/>
  <c r="J169" i="50"/>
  <c r="F169" i="50"/>
  <c r="N168" i="50"/>
  <c r="J168" i="50"/>
  <c r="F168" i="50"/>
  <c r="N167" i="50"/>
  <c r="J167" i="50"/>
  <c r="F167" i="50"/>
  <c r="N166" i="50"/>
  <c r="J166" i="50"/>
  <c r="F166" i="50"/>
  <c r="N165" i="50"/>
  <c r="J165" i="50"/>
  <c r="F165" i="50"/>
  <c r="N164" i="50"/>
  <c r="J164" i="50"/>
  <c r="F164" i="50"/>
  <c r="N163" i="50"/>
  <c r="J163" i="50"/>
  <c r="F163" i="50"/>
  <c r="N162" i="50"/>
  <c r="J162" i="50"/>
  <c r="F162" i="50"/>
  <c r="N161" i="50"/>
  <c r="J161" i="50"/>
  <c r="F161" i="50"/>
  <c r="N160" i="50"/>
  <c r="J160" i="50"/>
  <c r="F160" i="50"/>
  <c r="N159" i="50"/>
  <c r="J159" i="50"/>
  <c r="F159" i="50"/>
  <c r="N158" i="50"/>
  <c r="J158" i="50"/>
  <c r="F158" i="50"/>
  <c r="N157" i="50"/>
  <c r="J157" i="50"/>
  <c r="F157" i="50"/>
  <c r="N156" i="50"/>
  <c r="J156" i="50"/>
  <c r="F156" i="50"/>
  <c r="N155" i="50"/>
  <c r="J155" i="50"/>
  <c r="F155" i="50"/>
  <c r="N154" i="50"/>
  <c r="J154" i="50"/>
  <c r="F154" i="50"/>
  <c r="N153" i="50"/>
  <c r="J153" i="50"/>
  <c r="F153" i="50"/>
  <c r="N152" i="50"/>
  <c r="J152" i="50"/>
  <c r="F152" i="50"/>
  <c r="N151" i="50"/>
  <c r="J151" i="50"/>
  <c r="F151" i="50"/>
  <c r="N150" i="50"/>
  <c r="J150" i="50"/>
  <c r="F150" i="50"/>
  <c r="N149" i="50"/>
  <c r="J149" i="50"/>
  <c r="F149" i="50"/>
  <c r="N148" i="50"/>
  <c r="J148" i="50"/>
  <c r="F148" i="50"/>
  <c r="N147" i="50"/>
  <c r="J147" i="50"/>
  <c r="F147" i="50"/>
  <c r="N146" i="50"/>
  <c r="J146" i="50"/>
  <c r="F146" i="50"/>
  <c r="N145" i="50"/>
  <c r="J145" i="50"/>
  <c r="F145" i="50"/>
  <c r="N144" i="50"/>
  <c r="J144" i="50"/>
  <c r="F144" i="50"/>
  <c r="N143" i="50"/>
  <c r="J143" i="50"/>
  <c r="F143" i="50"/>
  <c r="N142" i="50"/>
  <c r="J142" i="50"/>
  <c r="F142" i="50"/>
  <c r="N141" i="50"/>
  <c r="J141" i="50"/>
  <c r="F141" i="50"/>
  <c r="N140" i="50"/>
  <c r="J140" i="50"/>
  <c r="F140" i="50"/>
  <c r="N139" i="50"/>
  <c r="J139" i="50"/>
  <c r="F139" i="50"/>
  <c r="N138" i="50"/>
  <c r="J138" i="50"/>
  <c r="F138" i="50"/>
  <c r="N137" i="50"/>
  <c r="J137" i="50"/>
  <c r="F137" i="50"/>
  <c r="N136" i="50"/>
  <c r="J136" i="50"/>
  <c r="F136" i="50"/>
  <c r="N135" i="50"/>
  <c r="J135" i="50"/>
  <c r="F135" i="50"/>
  <c r="N134" i="50"/>
  <c r="J134" i="50"/>
  <c r="F134" i="50"/>
  <c r="N133" i="50"/>
  <c r="J133" i="50"/>
  <c r="F133" i="50"/>
  <c r="N132" i="50"/>
  <c r="J132" i="50"/>
  <c r="F132" i="50"/>
  <c r="N131" i="50"/>
  <c r="J131" i="50"/>
  <c r="F131" i="50"/>
  <c r="N130" i="50"/>
  <c r="J130" i="50"/>
  <c r="F130" i="50"/>
  <c r="N129" i="50"/>
  <c r="J129" i="50"/>
  <c r="F129" i="50"/>
  <c r="N128" i="50"/>
  <c r="J128" i="50"/>
  <c r="F128" i="50"/>
  <c r="N127" i="50"/>
  <c r="J127" i="50"/>
  <c r="F127" i="50"/>
  <c r="N126" i="50"/>
  <c r="J126" i="50"/>
  <c r="F126" i="50"/>
  <c r="N125" i="50"/>
  <c r="J125" i="50"/>
  <c r="F125" i="50"/>
  <c r="N124" i="50"/>
  <c r="J124" i="50"/>
  <c r="F124" i="50"/>
  <c r="N123" i="50"/>
  <c r="J123" i="50"/>
  <c r="F123" i="50"/>
  <c r="N122" i="50"/>
  <c r="J122" i="50"/>
  <c r="F122" i="50"/>
  <c r="N121" i="50"/>
  <c r="J121" i="50"/>
  <c r="F121" i="50"/>
  <c r="N120" i="50"/>
  <c r="J120" i="50"/>
  <c r="F120" i="50"/>
  <c r="N119" i="50"/>
  <c r="J119" i="50"/>
  <c r="F119" i="50"/>
  <c r="N118" i="50"/>
  <c r="N117" i="50"/>
  <c r="J117" i="50"/>
  <c r="F117" i="50"/>
  <c r="N116" i="50"/>
  <c r="J116" i="50"/>
  <c r="F116" i="50"/>
  <c r="N115" i="50"/>
  <c r="J115" i="50"/>
  <c r="F115" i="50"/>
  <c r="N114" i="50"/>
  <c r="J114" i="50"/>
  <c r="F114" i="50"/>
  <c r="N113" i="50"/>
  <c r="J113" i="50"/>
  <c r="F113" i="50"/>
  <c r="N112" i="50"/>
  <c r="J112" i="50"/>
  <c r="F112" i="50"/>
  <c r="N111" i="50"/>
  <c r="J111" i="50"/>
  <c r="F111" i="50"/>
  <c r="N110" i="50"/>
  <c r="J110" i="50"/>
  <c r="F110" i="50"/>
  <c r="N109" i="50"/>
  <c r="J109" i="50"/>
  <c r="F109" i="50"/>
  <c r="N108" i="50"/>
  <c r="J108" i="50"/>
  <c r="F108" i="50"/>
  <c r="N107" i="50"/>
  <c r="J107" i="50"/>
  <c r="F107" i="50"/>
  <c r="N106" i="50"/>
  <c r="J106" i="50"/>
  <c r="F106" i="50"/>
  <c r="N105" i="50"/>
  <c r="J105" i="50"/>
  <c r="F105" i="50"/>
  <c r="N104" i="50"/>
  <c r="J104" i="50"/>
  <c r="F104" i="50"/>
  <c r="N103" i="50"/>
  <c r="J103" i="50"/>
  <c r="F103" i="50"/>
  <c r="N102" i="50"/>
  <c r="J102" i="50"/>
  <c r="F102" i="50"/>
  <c r="N101" i="50"/>
  <c r="J101" i="50"/>
  <c r="F101" i="50"/>
  <c r="N100" i="50"/>
  <c r="J100" i="50"/>
  <c r="F100" i="50"/>
  <c r="N99" i="50"/>
  <c r="J99" i="50"/>
  <c r="F99" i="50"/>
  <c r="N98" i="50"/>
  <c r="J98" i="50"/>
  <c r="F98" i="50"/>
  <c r="N97" i="50"/>
  <c r="J97" i="50"/>
  <c r="F97" i="50"/>
  <c r="N96" i="50"/>
  <c r="J96" i="50"/>
  <c r="F96" i="50"/>
  <c r="N95" i="50"/>
  <c r="J95" i="50"/>
  <c r="F95" i="50"/>
  <c r="N94" i="50"/>
  <c r="J94" i="50"/>
  <c r="F94" i="50"/>
  <c r="N93" i="50"/>
  <c r="J93" i="50"/>
  <c r="F93" i="50"/>
  <c r="N92" i="50"/>
  <c r="J92" i="50"/>
  <c r="F92" i="50"/>
  <c r="N91" i="50"/>
  <c r="J91" i="50"/>
  <c r="F91" i="50"/>
  <c r="N90" i="50"/>
  <c r="N89" i="50"/>
  <c r="N88" i="50"/>
  <c r="N87" i="50"/>
  <c r="N86" i="50"/>
  <c r="J86" i="50"/>
  <c r="F86" i="50"/>
  <c r="N85" i="50"/>
  <c r="J85" i="50"/>
  <c r="F85" i="50"/>
  <c r="N84" i="50"/>
  <c r="J84" i="50"/>
  <c r="F84" i="50"/>
  <c r="N83" i="50"/>
  <c r="J83" i="50"/>
  <c r="F83" i="50"/>
  <c r="N82" i="50"/>
  <c r="J82" i="50"/>
  <c r="F82" i="50"/>
  <c r="N81" i="50"/>
  <c r="J81" i="50"/>
  <c r="F81" i="50"/>
  <c r="N80" i="50"/>
  <c r="J80" i="50"/>
  <c r="F80" i="50"/>
  <c r="N79" i="50"/>
  <c r="J79" i="50"/>
  <c r="F79" i="50"/>
  <c r="N78" i="50"/>
  <c r="J78" i="50"/>
  <c r="F78" i="50"/>
  <c r="N77" i="50"/>
  <c r="J77" i="50"/>
  <c r="F77" i="50"/>
  <c r="N76" i="50"/>
  <c r="J76" i="50"/>
  <c r="F76" i="50"/>
  <c r="N75" i="50"/>
  <c r="J75" i="50"/>
  <c r="F75" i="50"/>
  <c r="N74" i="50"/>
  <c r="J74" i="50"/>
  <c r="F74" i="50"/>
  <c r="N73" i="50"/>
  <c r="J73" i="50"/>
  <c r="F73" i="50"/>
  <c r="N72" i="50"/>
  <c r="J72" i="50"/>
  <c r="F72" i="50"/>
  <c r="N71" i="50"/>
  <c r="J71" i="50"/>
  <c r="F71" i="50"/>
  <c r="N70" i="50"/>
  <c r="J70" i="50"/>
  <c r="F70" i="50"/>
  <c r="N69" i="50"/>
  <c r="J69" i="50"/>
  <c r="F69" i="50"/>
  <c r="N68" i="50"/>
  <c r="J68" i="50"/>
  <c r="F68" i="50"/>
  <c r="N67" i="50"/>
  <c r="J67" i="50"/>
  <c r="F67" i="50"/>
  <c r="N66" i="50"/>
  <c r="J66" i="50"/>
  <c r="F66" i="50"/>
  <c r="N65" i="50"/>
  <c r="J65" i="50"/>
  <c r="F65" i="50"/>
  <c r="N64" i="50"/>
  <c r="J64" i="50"/>
  <c r="F64" i="50"/>
  <c r="N63" i="50"/>
  <c r="J63" i="50"/>
  <c r="F63" i="50"/>
  <c r="N62" i="50"/>
  <c r="J62" i="50"/>
  <c r="F62" i="50"/>
  <c r="N61" i="50"/>
  <c r="J61" i="50"/>
  <c r="F61" i="50"/>
  <c r="N60" i="50"/>
  <c r="J60" i="50"/>
  <c r="F60" i="50"/>
  <c r="N59" i="50"/>
  <c r="J59" i="50"/>
  <c r="F59" i="50"/>
  <c r="N58" i="50"/>
  <c r="J58" i="50"/>
  <c r="F58" i="50"/>
  <c r="N57" i="50"/>
  <c r="J57" i="50"/>
  <c r="F57" i="50"/>
  <c r="N56" i="50"/>
  <c r="J56" i="50"/>
  <c r="F56" i="50"/>
  <c r="N55" i="50"/>
  <c r="J55" i="50"/>
  <c r="F55" i="50"/>
  <c r="N54" i="50"/>
  <c r="J54" i="50"/>
  <c r="F54" i="50"/>
  <c r="N53" i="50"/>
  <c r="J53" i="50"/>
  <c r="F53" i="50"/>
  <c r="N52" i="50"/>
  <c r="J52" i="50"/>
  <c r="F52" i="50"/>
  <c r="N51" i="50"/>
  <c r="J51" i="50"/>
  <c r="F51" i="50"/>
  <c r="N50" i="50"/>
  <c r="J50" i="50"/>
  <c r="F50" i="50"/>
  <c r="N49" i="50"/>
  <c r="J49" i="50"/>
  <c r="F49" i="50"/>
  <c r="N48" i="50"/>
  <c r="J48" i="50"/>
  <c r="F48" i="50"/>
  <c r="N47" i="50"/>
  <c r="J47" i="50"/>
  <c r="F47" i="50"/>
  <c r="N46" i="50"/>
  <c r="J46" i="50"/>
  <c r="F46" i="50"/>
  <c r="N45" i="50"/>
  <c r="J45" i="50"/>
  <c r="F45" i="50"/>
  <c r="N44" i="50"/>
  <c r="J44" i="50"/>
  <c r="F44" i="50"/>
  <c r="N43" i="50"/>
  <c r="J43" i="50"/>
  <c r="F43" i="50"/>
  <c r="N42" i="50"/>
  <c r="J42" i="50"/>
  <c r="F42" i="50"/>
  <c r="N41" i="50"/>
  <c r="J41" i="50"/>
  <c r="F41" i="50"/>
  <c r="N40" i="50"/>
  <c r="J40" i="50"/>
  <c r="F40" i="50"/>
  <c r="N39" i="50"/>
  <c r="J39" i="50"/>
  <c r="F39" i="50"/>
  <c r="N38" i="50"/>
  <c r="J38" i="50"/>
  <c r="F38" i="50"/>
  <c r="N37" i="50"/>
  <c r="J37" i="50"/>
  <c r="F37" i="50"/>
  <c r="N36" i="50"/>
  <c r="J36" i="50"/>
  <c r="F36" i="50"/>
  <c r="N35" i="50"/>
  <c r="J35" i="50"/>
  <c r="F35" i="50"/>
  <c r="N34" i="50"/>
  <c r="J34" i="50"/>
  <c r="F34" i="50"/>
  <c r="N33" i="50"/>
  <c r="J33" i="50"/>
  <c r="F33" i="50"/>
  <c r="N32" i="50"/>
  <c r="J32" i="50"/>
  <c r="F32" i="50"/>
  <c r="N31" i="50"/>
  <c r="J31" i="50"/>
  <c r="F31" i="50"/>
  <c r="N30" i="50"/>
  <c r="J30" i="50"/>
  <c r="F30" i="50"/>
  <c r="N29" i="50"/>
  <c r="J29" i="50"/>
  <c r="F29" i="50"/>
  <c r="N28" i="50"/>
  <c r="J28" i="50"/>
  <c r="F28" i="50"/>
  <c r="N27" i="50"/>
  <c r="J27" i="50"/>
  <c r="F27" i="50"/>
  <c r="N26" i="50"/>
  <c r="J26" i="50"/>
  <c r="F26" i="50"/>
  <c r="N25" i="50"/>
  <c r="J25" i="50"/>
  <c r="F25" i="50"/>
  <c r="N24" i="50"/>
  <c r="J24" i="50"/>
  <c r="F24" i="50"/>
  <c r="N23" i="50"/>
  <c r="J23" i="50"/>
  <c r="F23" i="50"/>
  <c r="N22" i="50"/>
  <c r="J22" i="50"/>
  <c r="F22" i="50"/>
  <c r="N21" i="50"/>
  <c r="J21" i="50"/>
  <c r="F21" i="50"/>
  <c r="N20" i="50"/>
  <c r="J20" i="50"/>
  <c r="F20" i="50"/>
  <c r="N19" i="50"/>
  <c r="J19" i="50"/>
  <c r="F19" i="50"/>
  <c r="N18" i="50"/>
  <c r="J18" i="50"/>
  <c r="F18" i="50"/>
  <c r="N17" i="50"/>
  <c r="J17" i="50"/>
  <c r="F17" i="50"/>
  <c r="N16" i="50"/>
  <c r="J16" i="50"/>
  <c r="F16" i="50"/>
  <c r="N15" i="50"/>
  <c r="J15" i="50"/>
  <c r="F15" i="50"/>
  <c r="N14" i="50"/>
  <c r="J14" i="50"/>
  <c r="F14" i="50"/>
  <c r="N13" i="50"/>
  <c r="J13" i="50"/>
  <c r="F13" i="50"/>
  <c r="N12" i="50"/>
  <c r="J12" i="50"/>
  <c r="J6" i="50" s="1"/>
  <c r="F12" i="50"/>
  <c r="N11" i="50"/>
  <c r="J11" i="50"/>
  <c r="F11" i="50"/>
  <c r="N10" i="50"/>
  <c r="J10" i="50"/>
  <c r="F10" i="50"/>
  <c r="N9" i="50"/>
  <c r="J9" i="50"/>
  <c r="F9" i="50"/>
  <c r="N8" i="50"/>
  <c r="J8" i="50"/>
  <c r="F8" i="50"/>
  <c r="N7" i="50"/>
  <c r="J7" i="50"/>
  <c r="F7" i="50"/>
  <c r="Q6" i="50"/>
  <c r="N6" i="50"/>
  <c r="M6" i="50"/>
  <c r="L6" i="50"/>
  <c r="K6" i="50"/>
  <c r="I6" i="50"/>
  <c r="H6" i="50"/>
  <c r="G6" i="50"/>
  <c r="F6" i="50"/>
  <c r="E6" i="50"/>
  <c r="AL334" i="28" l="1"/>
  <c r="AK334" i="28"/>
  <c r="AG334" i="28"/>
  <c r="AF334" i="28"/>
  <c r="AL333" i="28"/>
  <c r="AK333" i="28"/>
  <c r="AG333" i="28"/>
  <c r="AF333" i="28"/>
  <c r="AL332" i="28"/>
  <c r="AK332" i="28"/>
  <c r="AG332" i="28"/>
  <c r="AF332" i="28"/>
  <c r="AL331" i="28"/>
  <c r="AM331" i="28" s="1"/>
  <c r="AK331" i="28"/>
  <c r="AG331" i="28"/>
  <c r="AF331" i="28"/>
  <c r="AL330" i="28"/>
  <c r="AK330" i="28"/>
  <c r="AG330" i="28"/>
  <c r="AF330" i="28"/>
  <c r="AL329" i="28"/>
  <c r="AK329" i="28"/>
  <c r="AG329" i="28"/>
  <c r="AF329" i="28"/>
  <c r="AL328" i="28"/>
  <c r="AK328" i="28"/>
  <c r="AG328" i="28"/>
  <c r="AF328" i="28"/>
  <c r="AL327" i="28"/>
  <c r="AK327" i="28"/>
  <c r="AG327" i="28"/>
  <c r="AF327" i="28"/>
  <c r="AL326" i="28"/>
  <c r="AK326" i="28"/>
  <c r="AG326" i="28"/>
  <c r="AF326" i="28"/>
  <c r="AL325" i="28"/>
  <c r="AK325" i="28"/>
  <c r="AG325" i="28"/>
  <c r="AF325" i="28"/>
  <c r="AL324" i="28"/>
  <c r="AK324" i="28"/>
  <c r="AG324" i="28"/>
  <c r="AF324" i="28"/>
  <c r="AL323" i="28"/>
  <c r="AK323" i="28"/>
  <c r="AG323" i="28"/>
  <c r="AF323" i="28"/>
  <c r="AL322" i="28"/>
  <c r="AK322" i="28"/>
  <c r="AG322" i="28"/>
  <c r="AF322" i="28"/>
  <c r="AL321" i="28"/>
  <c r="AK321" i="28"/>
  <c r="AG321" i="28"/>
  <c r="AF321" i="28"/>
  <c r="AL320" i="28"/>
  <c r="AK320" i="28"/>
  <c r="AG320" i="28"/>
  <c r="AF320" i="28"/>
  <c r="AL319" i="28"/>
  <c r="AK319" i="28"/>
  <c r="AG319" i="28"/>
  <c r="AF319" i="28"/>
  <c r="AL318" i="28"/>
  <c r="AK318" i="28"/>
  <c r="AG318" i="28"/>
  <c r="AF318" i="28"/>
  <c r="AL317" i="28"/>
  <c r="AK317" i="28"/>
  <c r="AG317" i="28"/>
  <c r="AF317" i="28"/>
  <c r="AL316" i="28"/>
  <c r="AK316" i="28"/>
  <c r="AG316" i="28"/>
  <c r="AF316" i="28"/>
  <c r="AL315" i="28"/>
  <c r="AM315" i="28" s="1"/>
  <c r="AK315" i="28"/>
  <c r="AG315" i="28"/>
  <c r="AF315" i="28"/>
  <c r="AL314" i="28"/>
  <c r="AK314" i="28"/>
  <c r="AG314" i="28"/>
  <c r="AF314" i="28"/>
  <c r="AL313" i="28"/>
  <c r="AK313" i="28"/>
  <c r="AG313" i="28"/>
  <c r="AF313" i="28"/>
  <c r="AL312" i="28"/>
  <c r="AK312" i="28"/>
  <c r="AG312" i="28"/>
  <c r="AF312" i="28"/>
  <c r="AL311" i="28"/>
  <c r="AK311" i="28"/>
  <c r="AG311" i="28"/>
  <c r="AF311" i="28"/>
  <c r="AL310" i="28"/>
  <c r="AK310" i="28"/>
  <c r="AG310" i="28"/>
  <c r="AF310" i="28"/>
  <c r="AL309" i="28"/>
  <c r="AK309" i="28"/>
  <c r="AG309" i="28"/>
  <c r="AF309" i="28"/>
  <c r="AL308" i="28"/>
  <c r="AK308" i="28"/>
  <c r="AG308" i="28"/>
  <c r="AF308" i="28"/>
  <c r="AL307" i="28"/>
  <c r="AK307" i="28"/>
  <c r="AG307" i="28"/>
  <c r="AF307" i="28"/>
  <c r="AL306" i="28"/>
  <c r="AK306" i="28"/>
  <c r="AG306" i="28"/>
  <c r="AF306" i="28"/>
  <c r="AL305" i="28"/>
  <c r="AK305" i="28"/>
  <c r="AG305" i="28"/>
  <c r="AF305" i="28"/>
  <c r="AL304" i="28"/>
  <c r="AK304" i="28"/>
  <c r="AG304" i="28"/>
  <c r="AF304" i="28"/>
  <c r="AL303" i="28"/>
  <c r="AK303" i="28"/>
  <c r="AG303" i="28"/>
  <c r="AF303" i="28"/>
  <c r="AL302" i="28"/>
  <c r="AM302" i="28" s="1"/>
  <c r="AK302" i="28"/>
  <c r="AG302" i="28"/>
  <c r="AF302" i="28"/>
  <c r="AL301" i="28"/>
  <c r="AK301" i="28"/>
  <c r="AG301" i="28"/>
  <c r="AF301" i="28"/>
  <c r="AL300" i="28"/>
  <c r="AK300" i="28"/>
  <c r="AG300" i="28"/>
  <c r="AF300" i="28"/>
  <c r="AL299" i="28"/>
  <c r="AK299" i="28"/>
  <c r="AG299" i="28"/>
  <c r="AF299" i="28"/>
  <c r="AL298" i="28"/>
  <c r="AK298" i="28"/>
  <c r="AG298" i="28"/>
  <c r="AF298" i="28"/>
  <c r="AL297" i="28"/>
  <c r="AK297" i="28"/>
  <c r="AG297" i="28"/>
  <c r="AF297" i="28"/>
  <c r="AL296" i="28"/>
  <c r="AK296" i="28"/>
  <c r="AG296" i="28"/>
  <c r="AF296" i="28"/>
  <c r="AL295" i="28"/>
  <c r="AK295" i="28"/>
  <c r="AG295" i="28"/>
  <c r="AF295" i="28"/>
  <c r="AL294" i="28"/>
  <c r="AK294" i="28"/>
  <c r="AG294" i="28"/>
  <c r="AF294" i="28"/>
  <c r="AL293" i="28"/>
  <c r="AK293" i="28"/>
  <c r="AG293" i="28"/>
  <c r="AF293" i="28"/>
  <c r="AL292" i="28"/>
  <c r="AK292" i="28"/>
  <c r="AG292" i="28"/>
  <c r="AF292" i="28"/>
  <c r="AL291" i="28"/>
  <c r="AK291" i="28"/>
  <c r="AG291" i="28"/>
  <c r="AF291" i="28"/>
  <c r="AL290" i="28"/>
  <c r="AK290" i="28"/>
  <c r="AG290" i="28"/>
  <c r="AF290" i="28"/>
  <c r="AL289" i="28"/>
  <c r="AK289" i="28"/>
  <c r="AG289" i="28"/>
  <c r="AF289" i="28"/>
  <c r="AL288" i="28"/>
  <c r="AK288" i="28"/>
  <c r="AG288" i="28"/>
  <c r="AF288" i="28"/>
  <c r="AL287" i="28"/>
  <c r="AK287" i="28"/>
  <c r="AG287" i="28"/>
  <c r="AF287" i="28"/>
  <c r="AL286" i="28"/>
  <c r="AK286" i="28"/>
  <c r="AG286" i="28"/>
  <c r="AF286" i="28"/>
  <c r="AL285" i="28"/>
  <c r="AK285" i="28"/>
  <c r="AG285" i="28"/>
  <c r="AF285" i="28"/>
  <c r="AL284" i="28"/>
  <c r="AK284" i="28"/>
  <c r="AG284" i="28"/>
  <c r="AF284" i="28"/>
  <c r="AL283" i="28"/>
  <c r="AK283" i="28"/>
  <c r="AG283" i="28"/>
  <c r="AF283" i="28"/>
  <c r="AL282" i="28"/>
  <c r="AK282" i="28"/>
  <c r="AG282" i="28"/>
  <c r="AF282" i="28"/>
  <c r="AL281" i="28"/>
  <c r="AK281" i="28"/>
  <c r="AG281" i="28"/>
  <c r="AF281" i="28"/>
  <c r="AL280" i="28"/>
  <c r="AK280" i="28"/>
  <c r="AG280" i="28"/>
  <c r="AF280" i="28"/>
  <c r="AL279" i="28"/>
  <c r="AK279" i="28"/>
  <c r="AG279" i="28"/>
  <c r="AF279" i="28"/>
  <c r="AL278" i="28"/>
  <c r="AK278" i="28"/>
  <c r="AG278" i="28"/>
  <c r="AF278" i="28"/>
  <c r="AL277" i="28"/>
  <c r="AK277" i="28"/>
  <c r="AG277" i="28"/>
  <c r="AF277" i="28"/>
  <c r="AL276" i="28"/>
  <c r="AK276" i="28"/>
  <c r="AG276" i="28"/>
  <c r="AF276" i="28"/>
  <c r="AL275" i="28"/>
  <c r="AK275" i="28"/>
  <c r="AG275" i="28"/>
  <c r="AF275" i="28"/>
  <c r="AL274" i="28"/>
  <c r="AK274" i="28"/>
  <c r="AG274" i="28"/>
  <c r="AF274" i="28"/>
  <c r="AL273" i="28"/>
  <c r="AK273" i="28"/>
  <c r="AG273" i="28"/>
  <c r="AF273" i="28"/>
  <c r="AL272" i="28"/>
  <c r="AK272" i="28"/>
  <c r="AG272" i="28"/>
  <c r="AF272" i="28"/>
  <c r="AL271" i="28"/>
  <c r="AK271" i="28"/>
  <c r="AG271" i="28"/>
  <c r="AF271" i="28"/>
  <c r="AL270" i="28"/>
  <c r="AK270" i="28"/>
  <c r="AG270" i="28"/>
  <c r="AF270" i="28"/>
  <c r="AL269" i="28"/>
  <c r="AK269" i="28"/>
  <c r="AG269" i="28"/>
  <c r="AF269" i="28"/>
  <c r="AL268" i="28"/>
  <c r="AK268" i="28"/>
  <c r="AG268" i="28"/>
  <c r="AF268" i="28"/>
  <c r="AL267" i="28"/>
  <c r="AK267" i="28"/>
  <c r="AG267" i="28"/>
  <c r="AF267" i="28"/>
  <c r="AL266" i="28"/>
  <c r="AK266" i="28"/>
  <c r="AG266" i="28"/>
  <c r="AF266" i="28"/>
  <c r="AL265" i="28"/>
  <c r="AK265" i="28"/>
  <c r="AG265" i="28"/>
  <c r="AF265" i="28"/>
  <c r="AL264" i="28"/>
  <c r="AK264" i="28"/>
  <c r="AG264" i="28"/>
  <c r="AF264" i="28"/>
  <c r="AL263" i="28"/>
  <c r="AK263" i="28"/>
  <c r="AG263" i="28"/>
  <c r="AF263" i="28"/>
  <c r="AL262" i="28"/>
  <c r="AK262" i="28"/>
  <c r="AG262" i="28"/>
  <c r="AF262" i="28"/>
  <c r="AL261" i="28"/>
  <c r="AK261" i="28"/>
  <c r="AG261" i="28"/>
  <c r="AF261" i="28"/>
  <c r="AL260" i="28"/>
  <c r="AK260" i="28"/>
  <c r="AG260" i="28"/>
  <c r="AF260" i="28"/>
  <c r="AL259" i="28"/>
  <c r="AK259" i="28"/>
  <c r="AG259" i="28"/>
  <c r="AF259" i="28"/>
  <c r="AL258" i="28"/>
  <c r="AK258" i="28"/>
  <c r="AG258" i="28"/>
  <c r="AF258" i="28"/>
  <c r="AL257" i="28"/>
  <c r="AK257" i="28"/>
  <c r="AG257" i="28"/>
  <c r="AF257" i="28"/>
  <c r="AL256" i="28"/>
  <c r="AK256" i="28"/>
  <c r="AG256" i="28"/>
  <c r="AF256" i="28"/>
  <c r="AL255" i="28"/>
  <c r="AK255" i="28"/>
  <c r="AG255" i="28"/>
  <c r="AF255" i="28"/>
  <c r="AL254" i="28"/>
  <c r="AK254" i="28"/>
  <c r="AG254" i="28"/>
  <c r="AF254" i="28"/>
  <c r="AL253" i="28"/>
  <c r="AK253" i="28"/>
  <c r="AG253" i="28"/>
  <c r="AF253" i="28"/>
  <c r="AL252" i="28"/>
  <c r="AK252" i="28"/>
  <c r="AG252" i="28"/>
  <c r="AF252" i="28"/>
  <c r="AL251" i="28"/>
  <c r="AK251" i="28"/>
  <c r="AG251" i="28"/>
  <c r="AF251" i="28"/>
  <c r="AL250" i="28"/>
  <c r="AK250" i="28"/>
  <c r="AG250" i="28"/>
  <c r="AF250" i="28"/>
  <c r="AL249" i="28"/>
  <c r="AK249" i="28"/>
  <c r="AG249" i="28"/>
  <c r="AF249" i="28"/>
  <c r="AL248" i="28"/>
  <c r="AK248" i="28"/>
  <c r="AG248" i="28"/>
  <c r="AF248" i="28"/>
  <c r="AL247" i="28"/>
  <c r="AK247" i="28"/>
  <c r="AG247" i="28"/>
  <c r="AF247" i="28"/>
  <c r="AL246" i="28"/>
  <c r="AK246" i="28"/>
  <c r="AG246" i="28"/>
  <c r="AF246" i="28"/>
  <c r="AL245" i="28"/>
  <c r="AK245" i="28"/>
  <c r="AG245" i="28"/>
  <c r="AF245" i="28"/>
  <c r="AL244" i="28"/>
  <c r="AK244" i="28"/>
  <c r="AG244" i="28"/>
  <c r="AF244" i="28"/>
  <c r="AL243" i="28"/>
  <c r="AK243" i="28"/>
  <c r="AG243" i="28"/>
  <c r="AF243" i="28"/>
  <c r="AL242" i="28"/>
  <c r="AK242" i="28"/>
  <c r="AG242" i="28"/>
  <c r="AF242" i="28"/>
  <c r="AL241" i="28"/>
  <c r="AK241" i="28"/>
  <c r="AG241" i="28"/>
  <c r="AF241" i="28"/>
  <c r="AL240" i="28"/>
  <c r="AK240" i="28"/>
  <c r="AG240" i="28"/>
  <c r="AF240" i="28"/>
  <c r="AL239" i="28"/>
  <c r="AK239" i="28"/>
  <c r="AG239" i="28"/>
  <c r="AF239" i="28"/>
  <c r="AL238" i="28"/>
  <c r="AM238" i="28" s="1"/>
  <c r="AK238" i="28"/>
  <c r="AG238" i="28"/>
  <c r="AF238" i="28"/>
  <c r="AL237" i="28"/>
  <c r="AK237" i="28"/>
  <c r="AG237" i="28"/>
  <c r="AF237" i="28"/>
  <c r="AL236" i="28"/>
  <c r="AK236" i="28"/>
  <c r="AG236" i="28"/>
  <c r="AF236" i="28"/>
  <c r="AL235" i="28"/>
  <c r="AK235" i="28"/>
  <c r="AG235" i="28"/>
  <c r="AF235" i="28"/>
  <c r="AL234" i="28"/>
  <c r="AK234" i="28"/>
  <c r="AG234" i="28"/>
  <c r="AF234" i="28"/>
  <c r="AL233" i="28"/>
  <c r="AK233" i="28"/>
  <c r="AG233" i="28"/>
  <c r="AF233" i="28"/>
  <c r="AL232" i="28"/>
  <c r="AK232" i="28"/>
  <c r="AG232" i="28"/>
  <c r="AF232" i="28"/>
  <c r="AL231" i="28"/>
  <c r="AK231" i="28"/>
  <c r="AG231" i="28"/>
  <c r="AF231" i="28"/>
  <c r="AL230" i="28"/>
  <c r="AK230" i="28"/>
  <c r="AG230" i="28"/>
  <c r="AF230" i="28"/>
  <c r="AL229" i="28"/>
  <c r="AK229" i="28"/>
  <c r="AG229" i="28"/>
  <c r="AF229" i="28"/>
  <c r="AL228" i="28"/>
  <c r="AK228" i="28"/>
  <c r="AG228" i="28"/>
  <c r="AF228" i="28"/>
  <c r="AL227" i="28"/>
  <c r="AK227" i="28"/>
  <c r="AG227" i="28"/>
  <c r="AF227" i="28"/>
  <c r="AL226" i="28"/>
  <c r="AK226" i="28"/>
  <c r="AG226" i="28"/>
  <c r="AF226" i="28"/>
  <c r="AL225" i="28"/>
  <c r="AK225" i="28"/>
  <c r="AG225" i="28"/>
  <c r="AF225" i="28"/>
  <c r="AL224" i="28"/>
  <c r="AK224" i="28"/>
  <c r="AG224" i="28"/>
  <c r="AF224" i="28"/>
  <c r="AL223" i="28"/>
  <c r="AK223" i="28"/>
  <c r="AG223" i="28"/>
  <c r="AF223" i="28"/>
  <c r="AL222" i="28"/>
  <c r="AK222" i="28"/>
  <c r="AG222" i="28"/>
  <c r="AF222" i="28"/>
  <c r="AL221" i="28"/>
  <c r="AK221" i="28"/>
  <c r="AG221" i="28"/>
  <c r="AF221" i="28"/>
  <c r="AL220" i="28"/>
  <c r="AK220" i="28"/>
  <c r="AG220" i="28"/>
  <c r="AF220" i="28"/>
  <c r="AL219" i="28"/>
  <c r="AK219" i="28"/>
  <c r="AG219" i="28"/>
  <c r="AF219" i="28"/>
  <c r="AL218" i="28"/>
  <c r="AK218" i="28"/>
  <c r="AG218" i="28"/>
  <c r="AF218" i="28"/>
  <c r="AL217" i="28"/>
  <c r="AK217" i="28"/>
  <c r="AG217" i="28"/>
  <c r="AF217" i="28"/>
  <c r="AL216" i="28"/>
  <c r="AK216" i="28"/>
  <c r="AG216" i="28"/>
  <c r="AF216" i="28"/>
  <c r="AL215" i="28"/>
  <c r="AK215" i="28"/>
  <c r="AG215" i="28"/>
  <c r="AF215" i="28"/>
  <c r="AL214" i="28"/>
  <c r="AK214" i="28"/>
  <c r="AG214" i="28"/>
  <c r="AF214" i="28"/>
  <c r="AL213" i="28"/>
  <c r="AK213" i="28"/>
  <c r="AG213" i="28"/>
  <c r="AF213" i="28"/>
  <c r="AL212" i="28"/>
  <c r="AK212" i="28"/>
  <c r="AG212" i="28"/>
  <c r="AF212" i="28"/>
  <c r="AL211" i="28"/>
  <c r="AK211" i="28"/>
  <c r="AG211" i="28"/>
  <c r="AF211" i="28"/>
  <c r="AL210" i="28"/>
  <c r="AK210" i="28"/>
  <c r="AG210" i="28"/>
  <c r="AF210" i="28"/>
  <c r="AL209" i="28"/>
  <c r="AK209" i="28"/>
  <c r="AG209" i="28"/>
  <c r="AF209" i="28"/>
  <c r="AL208" i="28"/>
  <c r="AK208" i="28"/>
  <c r="AG208" i="28"/>
  <c r="AF208" i="28"/>
  <c r="AL207" i="28"/>
  <c r="AK207" i="28"/>
  <c r="AG207" i="28"/>
  <c r="AF207" i="28"/>
  <c r="AL206" i="28"/>
  <c r="AK206" i="28"/>
  <c r="AG206" i="28"/>
  <c r="AF206" i="28"/>
  <c r="AL205" i="28"/>
  <c r="AK205" i="28"/>
  <c r="AG205" i="28"/>
  <c r="AF205" i="28"/>
  <c r="AL204" i="28"/>
  <c r="AK204" i="28"/>
  <c r="AG204" i="28"/>
  <c r="AF204" i="28"/>
  <c r="AL203" i="28"/>
  <c r="AK203" i="28"/>
  <c r="AG203" i="28"/>
  <c r="AF203" i="28"/>
  <c r="AL202" i="28"/>
  <c r="AK202" i="28"/>
  <c r="AG202" i="28"/>
  <c r="AF202" i="28"/>
  <c r="AL201" i="28"/>
  <c r="AK201" i="28"/>
  <c r="AG201" i="28"/>
  <c r="AF201" i="28"/>
  <c r="AL200" i="28"/>
  <c r="AK200" i="28"/>
  <c r="AG200" i="28"/>
  <c r="AF200" i="28"/>
  <c r="AL199" i="28"/>
  <c r="AK199" i="28"/>
  <c r="AG199" i="28"/>
  <c r="AF199" i="28"/>
  <c r="AL198" i="28"/>
  <c r="AK198" i="28"/>
  <c r="AG198" i="28"/>
  <c r="AF198" i="28"/>
  <c r="AL197" i="28"/>
  <c r="AK197" i="28"/>
  <c r="AG197" i="28"/>
  <c r="AF197" i="28"/>
  <c r="AL196" i="28"/>
  <c r="AK196" i="28"/>
  <c r="AG196" i="28"/>
  <c r="AF196" i="28"/>
  <c r="AL195" i="28"/>
  <c r="AK195" i="28"/>
  <c r="AG195" i="28"/>
  <c r="AF195" i="28"/>
  <c r="AL194" i="28"/>
  <c r="AK194" i="28"/>
  <c r="AG194" i="28"/>
  <c r="AF194" i="28"/>
  <c r="AL193" i="28"/>
  <c r="AK193" i="28"/>
  <c r="AG193" i="28"/>
  <c r="AF193" i="28"/>
  <c r="AL192" i="28"/>
  <c r="AK192" i="28"/>
  <c r="AG192" i="28"/>
  <c r="AF192" i="28"/>
  <c r="AL191" i="28"/>
  <c r="AK191" i="28"/>
  <c r="AG191" i="28"/>
  <c r="AF191" i="28"/>
  <c r="AL190" i="28"/>
  <c r="AK190" i="28"/>
  <c r="AG190" i="28"/>
  <c r="AF190" i="28"/>
  <c r="AL189" i="28"/>
  <c r="AK189" i="28"/>
  <c r="AG189" i="28"/>
  <c r="AF189" i="28"/>
  <c r="AL188" i="28"/>
  <c r="AK188" i="28"/>
  <c r="AG188" i="28"/>
  <c r="AF188" i="28"/>
  <c r="AL187" i="28"/>
  <c r="AK187" i="28"/>
  <c r="AG187" i="28"/>
  <c r="AF187" i="28"/>
  <c r="AL186" i="28"/>
  <c r="AK186" i="28"/>
  <c r="AG186" i="28"/>
  <c r="AF186" i="28"/>
  <c r="AL185" i="28"/>
  <c r="AK185" i="28"/>
  <c r="AG185" i="28"/>
  <c r="AF185" i="28"/>
  <c r="AL184" i="28"/>
  <c r="AK184" i="28"/>
  <c r="AG184" i="28"/>
  <c r="AF184" i="28"/>
  <c r="AL183" i="28"/>
  <c r="AK183" i="28"/>
  <c r="AG183" i="28"/>
  <c r="AF183" i="28"/>
  <c r="AL182" i="28"/>
  <c r="AK182" i="28"/>
  <c r="AG182" i="28"/>
  <c r="AF182" i="28"/>
  <c r="AL181" i="28"/>
  <c r="AK181" i="28"/>
  <c r="AG181" i="28"/>
  <c r="AF181" i="28"/>
  <c r="AL180" i="28"/>
  <c r="AK180" i="28"/>
  <c r="AG180" i="28"/>
  <c r="AF180" i="28"/>
  <c r="AL179" i="28"/>
  <c r="AK179" i="28"/>
  <c r="AG179" i="28"/>
  <c r="AF179" i="28"/>
  <c r="AL178" i="28"/>
  <c r="AK178" i="28"/>
  <c r="AG178" i="28"/>
  <c r="AF178" i="28"/>
  <c r="AL177" i="28"/>
  <c r="AK177" i="28"/>
  <c r="AG177" i="28"/>
  <c r="AF177" i="28"/>
  <c r="AL176" i="28"/>
  <c r="AK176" i="28"/>
  <c r="AG176" i="28"/>
  <c r="AF176" i="28"/>
  <c r="AL175" i="28"/>
  <c r="AK175" i="28"/>
  <c r="AG175" i="28"/>
  <c r="AF175" i="28"/>
  <c r="AL174" i="28"/>
  <c r="AK174" i="28"/>
  <c r="AG174" i="28"/>
  <c r="AF174" i="28"/>
  <c r="AL173" i="28"/>
  <c r="AK173" i="28"/>
  <c r="AG173" i="28"/>
  <c r="AF173" i="28"/>
  <c r="AL172" i="28"/>
  <c r="AK172" i="28"/>
  <c r="AG172" i="28"/>
  <c r="AF172" i="28"/>
  <c r="AL171" i="28"/>
  <c r="AK171" i="28"/>
  <c r="AG171" i="28"/>
  <c r="AF171" i="28"/>
  <c r="AL170" i="28"/>
  <c r="AK170" i="28"/>
  <c r="AG170" i="28"/>
  <c r="AF170" i="28"/>
  <c r="AL169" i="28"/>
  <c r="AK169" i="28"/>
  <c r="AG169" i="28"/>
  <c r="AF169" i="28"/>
  <c r="AL168" i="28"/>
  <c r="AK168" i="28"/>
  <c r="AG168" i="28"/>
  <c r="AF168" i="28"/>
  <c r="AL167" i="28"/>
  <c r="AK167" i="28"/>
  <c r="AG167" i="28"/>
  <c r="AF167" i="28"/>
  <c r="AL166" i="28"/>
  <c r="AK166" i="28"/>
  <c r="AG166" i="28"/>
  <c r="AF166" i="28"/>
  <c r="AL165" i="28"/>
  <c r="AK165" i="28"/>
  <c r="AG165" i="28"/>
  <c r="AF165" i="28"/>
  <c r="AL164" i="28"/>
  <c r="AK164" i="28"/>
  <c r="AG164" i="28"/>
  <c r="AF164" i="28"/>
  <c r="AL163" i="28"/>
  <c r="AK163" i="28"/>
  <c r="AG163" i="28"/>
  <c r="AF163" i="28"/>
  <c r="AL162" i="28"/>
  <c r="AK162" i="28"/>
  <c r="AG162" i="28"/>
  <c r="AF162" i="28"/>
  <c r="AL161" i="28"/>
  <c r="AK161" i="28"/>
  <c r="AG161" i="28"/>
  <c r="AF161" i="28"/>
  <c r="AL160" i="28"/>
  <c r="AK160" i="28"/>
  <c r="AG160" i="28"/>
  <c r="AF160" i="28"/>
  <c r="AL159" i="28"/>
  <c r="AK159" i="28"/>
  <c r="AG159" i="28"/>
  <c r="AF159" i="28"/>
  <c r="AL158" i="28"/>
  <c r="AK158" i="28"/>
  <c r="AG158" i="28"/>
  <c r="AF158" i="28"/>
  <c r="AL157" i="28"/>
  <c r="AK157" i="28"/>
  <c r="AG157" i="28"/>
  <c r="AF157" i="28"/>
  <c r="AL156" i="28"/>
  <c r="AK156" i="28"/>
  <c r="AG156" i="28"/>
  <c r="AF156" i="28"/>
  <c r="AL155" i="28"/>
  <c r="AK155" i="28"/>
  <c r="AG155" i="28"/>
  <c r="AF155" i="28"/>
  <c r="AL154" i="28"/>
  <c r="AK154" i="28"/>
  <c r="AG154" i="28"/>
  <c r="AF154" i="28"/>
  <c r="AL153" i="28"/>
  <c r="AK153" i="28"/>
  <c r="AG153" i="28"/>
  <c r="AF153" i="28"/>
  <c r="AL152" i="28"/>
  <c r="AK152" i="28"/>
  <c r="AG152" i="28"/>
  <c r="AF152" i="28"/>
  <c r="AL151" i="28"/>
  <c r="AK151" i="28"/>
  <c r="AG151" i="28"/>
  <c r="AF151" i="28"/>
  <c r="AL150" i="28"/>
  <c r="AK150" i="28"/>
  <c r="AG150" i="28"/>
  <c r="AF150" i="28"/>
  <c r="AL149" i="28"/>
  <c r="AK149" i="28"/>
  <c r="AG149" i="28"/>
  <c r="AF149" i="28"/>
  <c r="AL148" i="28"/>
  <c r="AK148" i="28"/>
  <c r="AG148" i="28"/>
  <c r="AF148" i="28"/>
  <c r="AL147" i="28"/>
  <c r="AK147" i="28"/>
  <c r="AG147" i="28"/>
  <c r="AF147" i="28"/>
  <c r="AL146" i="28"/>
  <c r="AK146" i="28"/>
  <c r="AG146" i="28"/>
  <c r="AF146" i="28"/>
  <c r="AL145" i="28"/>
  <c r="AK145" i="28"/>
  <c r="AG145" i="28"/>
  <c r="AF145" i="28"/>
  <c r="AL144" i="28"/>
  <c r="AK144" i="28"/>
  <c r="AG144" i="28"/>
  <c r="AF144" i="28"/>
  <c r="AL143" i="28"/>
  <c r="AK143" i="28"/>
  <c r="AG143" i="28"/>
  <c r="AF143" i="28"/>
  <c r="AL142" i="28"/>
  <c r="AK142" i="28"/>
  <c r="AG142" i="28"/>
  <c r="AF142" i="28"/>
  <c r="AL141" i="28"/>
  <c r="AK141" i="28"/>
  <c r="AG141" i="28"/>
  <c r="AF141" i="28"/>
  <c r="AL140" i="28"/>
  <c r="AK140" i="28"/>
  <c r="AG140" i="28"/>
  <c r="AF140" i="28"/>
  <c r="AL139" i="28"/>
  <c r="AK139" i="28"/>
  <c r="AG139" i="28"/>
  <c r="AF139" i="28"/>
  <c r="AL138" i="28"/>
  <c r="AK138" i="28"/>
  <c r="AG138" i="28"/>
  <c r="AF138" i="28"/>
  <c r="AL137" i="28"/>
  <c r="AK137" i="28"/>
  <c r="AG137" i="28"/>
  <c r="AF137" i="28"/>
  <c r="AL136" i="28"/>
  <c r="AK136" i="28"/>
  <c r="AG136" i="28"/>
  <c r="AF136" i="28"/>
  <c r="AL135" i="28"/>
  <c r="AK135" i="28"/>
  <c r="AG135" i="28"/>
  <c r="AF135" i="28"/>
  <c r="AL134" i="28"/>
  <c r="AK134" i="28"/>
  <c r="AG134" i="28"/>
  <c r="AF134" i="28"/>
  <c r="AL133" i="28"/>
  <c r="AK133" i="28"/>
  <c r="AG133" i="28"/>
  <c r="AF133" i="28"/>
  <c r="AL132" i="28"/>
  <c r="AK132" i="28"/>
  <c r="AG132" i="28"/>
  <c r="AF132" i="28"/>
  <c r="AL131" i="28"/>
  <c r="AK131" i="28"/>
  <c r="AG131" i="28"/>
  <c r="AF131" i="28"/>
  <c r="AL130" i="28"/>
  <c r="AK130" i="28"/>
  <c r="AG130" i="28"/>
  <c r="AF130" i="28"/>
  <c r="AL129" i="28"/>
  <c r="AK129" i="28"/>
  <c r="AG129" i="28"/>
  <c r="AF129" i="28"/>
  <c r="AL128" i="28"/>
  <c r="AK128" i="28"/>
  <c r="AG128" i="28"/>
  <c r="AF128" i="28"/>
  <c r="AL127" i="28"/>
  <c r="AK127" i="28"/>
  <c r="AG127" i="28"/>
  <c r="AF127" i="28"/>
  <c r="AL126" i="28"/>
  <c r="AK126" i="28"/>
  <c r="AG126" i="28"/>
  <c r="AF126" i="28"/>
  <c r="AL125" i="28"/>
  <c r="AK125" i="28"/>
  <c r="AG125" i="28"/>
  <c r="AF125" i="28"/>
  <c r="AL124" i="28"/>
  <c r="AK124" i="28"/>
  <c r="AG124" i="28"/>
  <c r="AF124" i="28"/>
  <c r="AL123" i="28"/>
  <c r="AK123" i="28"/>
  <c r="AG123" i="28"/>
  <c r="AF123" i="28"/>
  <c r="AL122" i="28"/>
  <c r="AK122" i="28"/>
  <c r="AG122" i="28"/>
  <c r="AF122" i="28"/>
  <c r="AL121" i="28"/>
  <c r="AK121" i="28"/>
  <c r="AG121" i="28"/>
  <c r="AF121" i="28"/>
  <c r="AL120" i="28"/>
  <c r="AK120" i="28"/>
  <c r="AG120" i="28"/>
  <c r="AF120" i="28"/>
  <c r="AL119" i="28"/>
  <c r="AK119" i="28"/>
  <c r="AG119" i="28"/>
  <c r="AF119" i="28"/>
  <c r="AL118" i="28"/>
  <c r="AK118" i="28"/>
  <c r="AG118" i="28"/>
  <c r="AF118" i="28"/>
  <c r="AL117" i="28"/>
  <c r="AK117" i="28"/>
  <c r="AG117" i="28"/>
  <c r="AF117" i="28"/>
  <c r="AL116" i="28"/>
  <c r="AK116" i="28"/>
  <c r="AG116" i="28"/>
  <c r="AF116" i="28"/>
  <c r="AL115" i="28"/>
  <c r="AK115" i="28"/>
  <c r="AG115" i="28"/>
  <c r="AF115" i="28"/>
  <c r="AL114" i="28"/>
  <c r="AK114" i="28"/>
  <c r="AG114" i="28"/>
  <c r="AF114" i="28"/>
  <c r="AL113" i="28"/>
  <c r="AK113" i="28"/>
  <c r="AG113" i="28"/>
  <c r="AF113" i="28"/>
  <c r="AL112" i="28"/>
  <c r="AK112" i="28"/>
  <c r="AG112" i="28"/>
  <c r="AF112" i="28"/>
  <c r="AL111" i="28"/>
  <c r="AK111" i="28"/>
  <c r="AG111" i="28"/>
  <c r="AF111" i="28"/>
  <c r="AL110" i="28"/>
  <c r="AK110" i="28"/>
  <c r="AG110" i="28"/>
  <c r="AF110" i="28"/>
  <c r="AL109" i="28"/>
  <c r="AK109" i="28"/>
  <c r="AG109" i="28"/>
  <c r="AF109" i="28"/>
  <c r="AL108" i="28"/>
  <c r="AK108" i="28"/>
  <c r="AG108" i="28"/>
  <c r="AF108" i="28"/>
  <c r="AL107" i="28"/>
  <c r="AK107" i="28"/>
  <c r="AG107" i="28"/>
  <c r="AF107" i="28"/>
  <c r="AL106" i="28"/>
  <c r="AK106" i="28"/>
  <c r="AG106" i="28"/>
  <c r="AF106" i="28"/>
  <c r="AL105" i="28"/>
  <c r="AK105" i="28"/>
  <c r="AG105" i="28"/>
  <c r="AF105" i="28"/>
  <c r="AL104" i="28"/>
  <c r="AK104" i="28"/>
  <c r="AG104" i="28"/>
  <c r="AF104" i="28"/>
  <c r="AL103" i="28"/>
  <c r="AK103" i="28"/>
  <c r="AG103" i="28"/>
  <c r="AF103" i="28"/>
  <c r="AL102" i="28"/>
  <c r="AK102" i="28"/>
  <c r="AG102" i="28"/>
  <c r="AF102" i="28"/>
  <c r="AL101" i="28"/>
  <c r="AK101" i="28"/>
  <c r="AG101" i="28"/>
  <c r="AF101" i="28"/>
  <c r="AL100" i="28"/>
  <c r="AK100" i="28"/>
  <c r="AG100" i="28"/>
  <c r="AF100" i="28"/>
  <c r="AL99" i="28"/>
  <c r="AK99" i="28"/>
  <c r="AG99" i="28"/>
  <c r="AF99" i="28"/>
  <c r="AL98" i="28"/>
  <c r="AK98" i="28"/>
  <c r="AG98" i="28"/>
  <c r="AF98" i="28"/>
  <c r="AL97" i="28"/>
  <c r="AK97" i="28"/>
  <c r="AG97" i="28"/>
  <c r="AF97" i="28"/>
  <c r="AL96" i="28"/>
  <c r="AK96" i="28"/>
  <c r="AG96" i="28"/>
  <c r="AF96" i="28"/>
  <c r="AL95" i="28"/>
  <c r="AK95" i="28"/>
  <c r="AG95" i="28"/>
  <c r="AF95" i="28"/>
  <c r="AL94" i="28"/>
  <c r="AK94" i="28"/>
  <c r="AG94" i="28"/>
  <c r="AF94" i="28"/>
  <c r="AL93" i="28"/>
  <c r="AK93" i="28"/>
  <c r="AG93" i="28"/>
  <c r="AF93" i="28"/>
  <c r="AL92" i="28"/>
  <c r="AK92" i="28"/>
  <c r="AG92" i="28"/>
  <c r="AF92" i="28"/>
  <c r="AL91" i="28"/>
  <c r="AK91" i="28"/>
  <c r="AG91" i="28"/>
  <c r="AF91" i="28"/>
  <c r="AL90" i="28"/>
  <c r="AK90" i="28"/>
  <c r="AG90" i="28"/>
  <c r="AF90" i="28"/>
  <c r="AL89" i="28"/>
  <c r="AK89" i="28"/>
  <c r="AG89" i="28"/>
  <c r="AF89" i="28"/>
  <c r="AL88" i="28"/>
  <c r="AK88" i="28"/>
  <c r="AG88" i="28"/>
  <c r="AF88" i="28"/>
  <c r="AL87" i="28"/>
  <c r="AK87" i="28"/>
  <c r="AG87" i="28"/>
  <c r="AF87" i="28"/>
  <c r="AL86" i="28"/>
  <c r="AK86" i="28"/>
  <c r="AG86" i="28"/>
  <c r="AF86" i="28"/>
  <c r="AL85" i="28"/>
  <c r="AK85" i="28"/>
  <c r="AG85" i="28"/>
  <c r="AF85" i="28"/>
  <c r="AL84" i="28"/>
  <c r="AK84" i="28"/>
  <c r="AG84" i="28"/>
  <c r="AF84" i="28"/>
  <c r="AL83" i="28"/>
  <c r="AK83" i="28"/>
  <c r="AG83" i="28"/>
  <c r="AF83" i="28"/>
  <c r="AL82" i="28"/>
  <c r="AK82" i="28"/>
  <c r="AG82" i="28"/>
  <c r="AF82" i="28"/>
  <c r="AL81" i="28"/>
  <c r="AK81" i="28"/>
  <c r="AG81" i="28"/>
  <c r="AF81" i="28"/>
  <c r="AL80" i="28"/>
  <c r="AK80" i="28"/>
  <c r="AG80" i="28"/>
  <c r="AF80" i="28"/>
  <c r="AL79" i="28"/>
  <c r="AK79" i="28"/>
  <c r="AG79" i="28"/>
  <c r="AF79" i="28"/>
  <c r="AL78" i="28"/>
  <c r="AK78" i="28"/>
  <c r="AG78" i="28"/>
  <c r="AF78" i="28"/>
  <c r="AL77" i="28"/>
  <c r="AK77" i="28"/>
  <c r="AG77" i="28"/>
  <c r="AF77" i="28"/>
  <c r="AL76" i="28"/>
  <c r="AK76" i="28"/>
  <c r="AG76" i="28"/>
  <c r="AF76" i="28"/>
  <c r="AL75" i="28"/>
  <c r="AK75" i="28"/>
  <c r="AG75" i="28"/>
  <c r="AF75" i="28"/>
  <c r="AL74" i="28"/>
  <c r="AK74" i="28"/>
  <c r="AG74" i="28"/>
  <c r="AF74" i="28"/>
  <c r="AL73" i="28"/>
  <c r="AK73" i="28"/>
  <c r="AG73" i="28"/>
  <c r="AF73" i="28"/>
  <c r="AL72" i="28"/>
  <c r="AK72" i="28"/>
  <c r="AG72" i="28"/>
  <c r="AF72" i="28"/>
  <c r="AL71" i="28"/>
  <c r="AK71" i="28"/>
  <c r="AG71" i="28"/>
  <c r="AF71" i="28"/>
  <c r="AL70" i="28"/>
  <c r="AK70" i="28"/>
  <c r="AG70" i="28"/>
  <c r="AF70" i="28"/>
  <c r="AL69" i="28"/>
  <c r="AK69" i="28"/>
  <c r="AG69" i="28"/>
  <c r="AF69" i="28"/>
  <c r="AL68" i="28"/>
  <c r="AK68" i="28"/>
  <c r="AG68" i="28"/>
  <c r="AF68" i="28"/>
  <c r="AL67" i="28"/>
  <c r="AK67" i="28"/>
  <c r="AG67" i="28"/>
  <c r="AF67" i="28"/>
  <c r="AL66" i="28"/>
  <c r="AK66" i="28"/>
  <c r="AG66" i="28"/>
  <c r="AF66" i="28"/>
  <c r="AL65" i="28"/>
  <c r="AK65" i="28"/>
  <c r="AG65" i="28"/>
  <c r="AF65" i="28"/>
  <c r="AL64" i="28"/>
  <c r="AK64" i="28"/>
  <c r="AG64" i="28"/>
  <c r="AF64" i="28"/>
  <c r="AL63" i="28"/>
  <c r="AK63" i="28"/>
  <c r="AG63" i="28"/>
  <c r="AF63" i="28"/>
  <c r="AL62" i="28"/>
  <c r="AK62" i="28"/>
  <c r="AG62" i="28"/>
  <c r="AF62" i="28"/>
  <c r="AL61" i="28"/>
  <c r="AK61" i="28"/>
  <c r="AG61" i="28"/>
  <c r="AH61" i="28" s="1"/>
  <c r="AF61" i="28"/>
  <c r="AL60" i="28"/>
  <c r="AK60" i="28"/>
  <c r="AG60" i="28"/>
  <c r="AF60" i="28"/>
  <c r="AL59" i="28"/>
  <c r="AK59" i="28"/>
  <c r="AG59" i="28"/>
  <c r="AF59" i="28"/>
  <c r="AL58" i="28"/>
  <c r="AK58" i="28"/>
  <c r="AG58" i="28"/>
  <c r="AF58" i="28"/>
  <c r="AL57" i="28"/>
  <c r="AK57" i="28"/>
  <c r="AG57" i="28"/>
  <c r="AF57" i="28"/>
  <c r="AL56" i="28"/>
  <c r="AK56" i="28"/>
  <c r="AG56" i="28"/>
  <c r="AF56" i="28"/>
  <c r="AL55" i="28"/>
  <c r="AK55" i="28"/>
  <c r="AG55" i="28"/>
  <c r="AF55" i="28"/>
  <c r="AL54" i="28"/>
  <c r="AK54" i="28"/>
  <c r="AG54" i="28"/>
  <c r="AF54" i="28"/>
  <c r="AL53" i="28"/>
  <c r="AK53" i="28"/>
  <c r="AG53" i="28"/>
  <c r="AF53" i="28"/>
  <c r="AL52" i="28"/>
  <c r="AK52" i="28"/>
  <c r="AG52" i="28"/>
  <c r="AF52" i="28"/>
  <c r="AL51" i="28"/>
  <c r="AK51" i="28"/>
  <c r="AG51" i="28"/>
  <c r="AF51" i="28"/>
  <c r="AL50" i="28"/>
  <c r="AK50" i="28"/>
  <c r="AG50" i="28"/>
  <c r="AF50" i="28"/>
  <c r="AL49" i="28"/>
  <c r="AK49" i="28"/>
  <c r="AG49" i="28"/>
  <c r="AF49" i="28"/>
  <c r="AL48" i="28"/>
  <c r="AK48" i="28"/>
  <c r="AG48" i="28"/>
  <c r="AF48" i="28"/>
  <c r="AL47" i="28"/>
  <c r="AK47" i="28"/>
  <c r="AG47" i="28"/>
  <c r="AF47" i="28"/>
  <c r="AH47" i="28" s="1"/>
  <c r="AL46" i="28"/>
  <c r="AK46" i="28"/>
  <c r="AG46" i="28"/>
  <c r="AF46" i="28"/>
  <c r="AL45" i="28"/>
  <c r="AK45" i="28"/>
  <c r="AM45" i="28" s="1"/>
  <c r="AG45" i="28"/>
  <c r="AF45" i="28"/>
  <c r="AL44" i="28"/>
  <c r="AK44" i="28"/>
  <c r="AG44" i="28"/>
  <c r="AF44" i="28"/>
  <c r="AL43" i="28"/>
  <c r="AK43" i="28"/>
  <c r="AG43" i="28"/>
  <c r="AF43" i="28"/>
  <c r="AL42" i="28"/>
  <c r="AK42" i="28"/>
  <c r="AG42" i="28"/>
  <c r="AF42" i="28"/>
  <c r="AL41" i="28"/>
  <c r="AK41" i="28"/>
  <c r="AG41" i="28"/>
  <c r="AF41" i="28"/>
  <c r="AL40" i="28"/>
  <c r="AK40" i="28"/>
  <c r="AG40" i="28"/>
  <c r="AF40" i="28"/>
  <c r="AL39" i="28"/>
  <c r="AK39" i="28"/>
  <c r="AG39" i="28"/>
  <c r="AF39" i="28"/>
  <c r="AL38" i="28"/>
  <c r="AK38" i="28"/>
  <c r="AG38" i="28"/>
  <c r="AF38" i="28"/>
  <c r="AL37" i="28"/>
  <c r="AK37" i="28"/>
  <c r="AG37" i="28"/>
  <c r="AF37" i="28"/>
  <c r="AL36" i="28"/>
  <c r="AK36" i="28"/>
  <c r="AG36" i="28"/>
  <c r="AF36" i="28"/>
  <c r="AL35" i="28"/>
  <c r="AK35" i="28"/>
  <c r="AG35" i="28"/>
  <c r="AF35" i="28"/>
  <c r="AL34" i="28"/>
  <c r="AK34" i="28"/>
  <c r="AG34" i="28"/>
  <c r="AF34" i="28"/>
  <c r="AL33" i="28"/>
  <c r="AK33" i="28"/>
  <c r="AG33" i="28"/>
  <c r="AF33" i="28"/>
  <c r="AL32" i="28"/>
  <c r="AK32" i="28"/>
  <c r="AG32" i="28"/>
  <c r="AF32" i="28"/>
  <c r="AL31" i="28"/>
  <c r="AK31" i="28"/>
  <c r="AG31" i="28"/>
  <c r="AF31" i="28"/>
  <c r="AL30" i="28"/>
  <c r="AK30" i="28"/>
  <c r="AG30" i="28"/>
  <c r="AF30" i="28"/>
  <c r="AL29" i="28"/>
  <c r="AK29" i="28"/>
  <c r="AG29" i="28"/>
  <c r="AF29" i="28"/>
  <c r="AL28" i="28"/>
  <c r="AK28" i="28"/>
  <c r="AG28" i="28"/>
  <c r="AF28" i="28"/>
  <c r="AL27" i="28"/>
  <c r="AK27" i="28"/>
  <c r="AG27" i="28"/>
  <c r="AF27" i="28"/>
  <c r="AL26" i="28"/>
  <c r="AK26" i="28"/>
  <c r="AG26" i="28"/>
  <c r="AF26" i="28"/>
  <c r="AL25" i="28"/>
  <c r="AK25" i="28"/>
  <c r="AG25" i="28"/>
  <c r="AF25" i="28"/>
  <c r="AL24" i="28"/>
  <c r="AK24" i="28"/>
  <c r="AG24" i="28"/>
  <c r="AF24" i="28"/>
  <c r="AL23" i="28"/>
  <c r="AK23" i="28"/>
  <c r="AG23" i="28"/>
  <c r="AF23" i="28"/>
  <c r="AL22" i="28"/>
  <c r="AK22" i="28"/>
  <c r="AG22" i="28"/>
  <c r="AF22" i="28"/>
  <c r="AL21" i="28"/>
  <c r="AK21" i="28"/>
  <c r="AG21" i="28"/>
  <c r="AF21" i="28"/>
  <c r="AL20" i="28"/>
  <c r="AK20" i="28"/>
  <c r="AG20" i="28"/>
  <c r="AF20" i="28"/>
  <c r="AL19" i="28"/>
  <c r="AK19" i="28"/>
  <c r="AG19" i="28"/>
  <c r="AF19" i="28"/>
  <c r="AL18" i="28"/>
  <c r="AK18" i="28"/>
  <c r="AG18" i="28"/>
  <c r="AF18" i="28"/>
  <c r="AL17" i="28"/>
  <c r="AK17" i="28"/>
  <c r="AG17" i="28"/>
  <c r="AF17" i="28"/>
  <c r="AL16" i="28"/>
  <c r="AK16" i="28"/>
  <c r="AG16" i="28"/>
  <c r="AF16" i="28"/>
  <c r="AL15" i="28"/>
  <c r="AK15" i="28"/>
  <c r="AG15" i="28"/>
  <c r="AF15" i="28"/>
  <c r="AL14" i="28"/>
  <c r="AK14" i="28"/>
  <c r="AG14" i="28"/>
  <c r="AF14" i="28"/>
  <c r="AL13" i="28"/>
  <c r="AK13" i="28"/>
  <c r="AM13" i="28" s="1"/>
  <c r="AG13" i="28"/>
  <c r="AF13" i="28"/>
  <c r="AL12" i="28"/>
  <c r="AK12" i="28"/>
  <c r="AG12" i="28"/>
  <c r="AF12" i="28"/>
  <c r="AL11" i="28"/>
  <c r="AK11" i="28"/>
  <c r="AG11" i="28"/>
  <c r="AF11" i="28"/>
  <c r="AL10" i="28"/>
  <c r="AK10" i="28"/>
  <c r="AG10" i="28"/>
  <c r="AF10" i="28"/>
  <c r="AL9" i="28"/>
  <c r="AK9" i="28"/>
  <c r="AG9" i="28"/>
  <c r="AF9" i="28"/>
  <c r="AL8" i="28"/>
  <c r="AK8" i="28"/>
  <c r="AG8" i="28"/>
  <c r="AF8" i="28"/>
  <c r="AL7" i="28"/>
  <c r="AK7" i="28"/>
  <c r="AG7" i="28"/>
  <c r="AF7" i="28"/>
  <c r="AO6" i="28"/>
  <c r="AN6" i="28"/>
  <c r="AJ6" i="28"/>
  <c r="AI6" i="28"/>
  <c r="AE6" i="28"/>
  <c r="AD6" i="28"/>
  <c r="AC6" i="28"/>
  <c r="AB6" i="28"/>
  <c r="AA6" i="28"/>
  <c r="Z6" i="28"/>
  <c r="Y6" i="28"/>
  <c r="X6" i="28"/>
  <c r="W6" i="28"/>
  <c r="V6" i="28"/>
  <c r="U6" i="28"/>
  <c r="T6" i="28"/>
  <c r="S6" i="28"/>
  <c r="R6" i="28"/>
  <c r="Q6" i="28"/>
  <c r="P6" i="28"/>
  <c r="M6" i="28"/>
  <c r="L6" i="28"/>
  <c r="K6" i="28"/>
  <c r="J6" i="28"/>
  <c r="I6" i="28"/>
  <c r="H6" i="28"/>
  <c r="G6" i="28"/>
  <c r="F6" i="28"/>
  <c r="E6" i="28"/>
  <c r="D6" i="28"/>
  <c r="C1" i="28"/>
  <c r="D1" i="28" s="1"/>
  <c r="E1" i="28" s="1"/>
  <c r="F1" i="28" s="1"/>
  <c r="G1" i="28" s="1"/>
  <c r="H1" i="28" s="1"/>
  <c r="I1" i="28" s="1"/>
  <c r="J1" i="28" s="1"/>
  <c r="K1" i="28" s="1"/>
  <c r="L1" i="28" s="1"/>
  <c r="M1" i="28" s="1"/>
  <c r="N1" i="28" s="1"/>
  <c r="O1" i="28" s="1"/>
  <c r="P1" i="28" s="1"/>
  <c r="Q1" i="28" s="1"/>
  <c r="R1" i="28" s="1"/>
  <c r="S1" i="28" s="1"/>
  <c r="T1" i="28" s="1"/>
  <c r="U1" i="28" s="1"/>
  <c r="V1" i="28" s="1"/>
  <c r="W1" i="28" s="1"/>
  <c r="X1" i="28" s="1"/>
  <c r="Y1" i="28" s="1"/>
  <c r="Z1" i="28" s="1"/>
  <c r="AA1" i="28" s="1"/>
  <c r="AB1" i="28" s="1"/>
  <c r="AC1" i="28" s="1"/>
  <c r="AD1" i="28" s="1"/>
  <c r="AE1" i="28" s="1"/>
  <c r="AF1" i="28" s="1"/>
  <c r="AG1" i="28" s="1"/>
  <c r="AH1" i="28" s="1"/>
  <c r="AI1" i="28" s="1"/>
  <c r="AJ1" i="28" s="1"/>
  <c r="AK1" i="28" s="1"/>
  <c r="AL1" i="28" s="1"/>
  <c r="AM1" i="28" s="1"/>
  <c r="AN1" i="28" s="1"/>
  <c r="AO1" i="28" s="1"/>
  <c r="G229" i="32"/>
  <c r="Q329" i="26"/>
  <c r="Q328" i="26"/>
  <c r="Q327" i="26"/>
  <c r="Q326" i="26"/>
  <c r="Q325" i="26"/>
  <c r="Q324" i="26"/>
  <c r="Q323" i="26"/>
  <c r="Q322" i="26"/>
  <c r="Q321" i="26"/>
  <c r="Q320" i="26"/>
  <c r="Q319" i="26"/>
  <c r="Q318" i="26"/>
  <c r="Q317" i="26"/>
  <c r="Q316" i="26"/>
  <c r="Q315" i="26"/>
  <c r="Q314" i="26"/>
  <c r="Q313" i="26"/>
  <c r="Q312" i="26"/>
  <c r="Q311" i="26"/>
  <c r="Q310" i="26"/>
  <c r="Q309" i="26"/>
  <c r="Q308" i="26"/>
  <c r="Q307" i="26"/>
  <c r="Q306" i="26"/>
  <c r="Q305" i="26"/>
  <c r="Q304" i="26"/>
  <c r="Q303" i="26"/>
  <c r="Q302" i="26"/>
  <c r="Q301" i="26"/>
  <c r="Q300" i="26"/>
  <c r="Q299" i="26"/>
  <c r="Q298" i="26"/>
  <c r="Q297" i="26"/>
  <c r="Q296" i="26"/>
  <c r="Q295" i="26"/>
  <c r="Q294" i="26"/>
  <c r="Q293" i="26"/>
  <c r="Q292" i="26"/>
  <c r="Q291" i="26"/>
  <c r="Q290" i="26"/>
  <c r="Q289" i="26"/>
  <c r="Q288" i="26"/>
  <c r="Q287" i="26"/>
  <c r="Q286" i="26"/>
  <c r="Q285" i="26"/>
  <c r="Q284" i="26"/>
  <c r="Q283" i="26"/>
  <c r="Q282" i="26"/>
  <c r="Q281" i="26"/>
  <c r="Q280" i="26"/>
  <c r="Q279" i="26"/>
  <c r="Q278" i="26"/>
  <c r="Q277" i="26"/>
  <c r="Q276" i="26"/>
  <c r="Q275" i="26"/>
  <c r="Q274" i="26"/>
  <c r="Q273" i="26"/>
  <c r="Q272" i="26"/>
  <c r="Q271" i="26"/>
  <c r="Q270" i="26"/>
  <c r="Q269" i="26"/>
  <c r="Q268" i="26"/>
  <c r="Q267" i="26"/>
  <c r="Q266" i="26"/>
  <c r="Q265" i="26"/>
  <c r="Q264" i="26"/>
  <c r="Q263" i="26"/>
  <c r="Q262" i="26"/>
  <c r="Q261" i="26"/>
  <c r="Q260" i="26"/>
  <c r="Q259" i="26"/>
  <c r="Q258" i="26"/>
  <c r="Q257" i="26"/>
  <c r="Q256" i="26"/>
  <c r="Q255" i="26"/>
  <c r="Q254" i="26"/>
  <c r="Q253" i="26"/>
  <c r="Q252" i="26"/>
  <c r="Q251" i="26"/>
  <c r="Q250" i="26"/>
  <c r="Q249" i="26"/>
  <c r="Q248" i="26"/>
  <c r="Q247" i="26"/>
  <c r="Q246" i="26"/>
  <c r="Q245" i="26"/>
  <c r="Q244" i="26"/>
  <c r="Q243" i="26"/>
  <c r="Q242" i="26"/>
  <c r="Q241" i="26"/>
  <c r="Q240" i="26"/>
  <c r="Q239" i="26"/>
  <c r="Q238" i="26"/>
  <c r="Q237" i="26"/>
  <c r="Q236" i="26"/>
  <c r="Q235" i="26"/>
  <c r="Q234" i="26"/>
  <c r="Q233" i="26"/>
  <c r="Q232" i="26"/>
  <c r="Q231" i="26"/>
  <c r="Q230" i="26"/>
  <c r="Q229" i="26"/>
  <c r="Q228" i="26"/>
  <c r="Q227" i="26"/>
  <c r="Q226" i="26"/>
  <c r="Q225" i="26"/>
  <c r="Q224" i="26"/>
  <c r="Q223" i="26"/>
  <c r="Q222" i="26"/>
  <c r="Q221" i="26"/>
  <c r="Q220" i="26"/>
  <c r="Q219" i="26"/>
  <c r="Q218" i="26"/>
  <c r="Q217" i="26"/>
  <c r="Q216" i="26"/>
  <c r="Q215" i="26"/>
  <c r="Q214" i="26"/>
  <c r="Q213" i="26"/>
  <c r="Q212" i="26"/>
  <c r="Q211" i="26"/>
  <c r="Q210" i="26"/>
  <c r="Q209" i="26"/>
  <c r="Q208" i="26"/>
  <c r="Q207" i="26"/>
  <c r="Q206" i="26"/>
  <c r="Q205" i="26"/>
  <c r="Q204" i="26"/>
  <c r="Q203" i="26"/>
  <c r="Q202" i="26"/>
  <c r="Q201" i="26"/>
  <c r="Q200" i="26"/>
  <c r="Q199" i="26"/>
  <c r="Q198" i="26"/>
  <c r="Q197" i="26"/>
  <c r="Q196" i="26"/>
  <c r="Q195" i="26"/>
  <c r="Q194" i="26"/>
  <c r="Q193" i="26"/>
  <c r="Q192" i="26"/>
  <c r="Q191" i="26"/>
  <c r="Q190" i="26"/>
  <c r="Q189" i="26"/>
  <c r="Q188" i="26"/>
  <c r="Q187" i="26"/>
  <c r="Q186" i="26"/>
  <c r="Q185" i="26"/>
  <c r="Q184" i="26"/>
  <c r="Q183" i="26"/>
  <c r="Q182" i="26"/>
  <c r="Q181" i="26"/>
  <c r="Q180" i="26"/>
  <c r="Q179" i="26"/>
  <c r="Q178" i="26"/>
  <c r="Q177" i="26"/>
  <c r="Q176" i="26"/>
  <c r="Q175" i="26"/>
  <c r="Q174" i="26"/>
  <c r="Q173" i="26"/>
  <c r="Q172" i="26"/>
  <c r="Q171" i="26"/>
  <c r="Q170" i="26"/>
  <c r="Q169" i="26"/>
  <c r="Q168" i="26"/>
  <c r="Q167" i="26"/>
  <c r="Q166" i="26"/>
  <c r="Q165" i="26"/>
  <c r="Q164" i="26"/>
  <c r="Q163" i="26"/>
  <c r="Q162" i="26"/>
  <c r="Q161" i="26"/>
  <c r="Q160" i="26"/>
  <c r="Q159" i="26"/>
  <c r="Q158" i="26"/>
  <c r="Q157" i="26"/>
  <c r="Q156" i="26"/>
  <c r="Q155" i="26"/>
  <c r="Q154" i="26"/>
  <c r="Q153" i="26"/>
  <c r="Q152" i="26"/>
  <c r="Q151" i="26"/>
  <c r="Q150" i="26"/>
  <c r="Q149" i="26"/>
  <c r="Q148" i="26"/>
  <c r="Q147" i="26"/>
  <c r="Q146" i="26"/>
  <c r="Q145" i="26"/>
  <c r="Q144" i="26"/>
  <c r="Q143" i="26"/>
  <c r="Q142" i="26"/>
  <c r="Q141" i="26"/>
  <c r="Q140" i="26"/>
  <c r="Q139" i="26"/>
  <c r="Q138" i="26"/>
  <c r="Q137" i="26"/>
  <c r="Q136" i="26"/>
  <c r="Q135" i="26"/>
  <c r="Q134" i="26"/>
  <c r="Q133" i="26"/>
  <c r="Q132" i="26"/>
  <c r="Q131" i="26"/>
  <c r="Q130" i="26"/>
  <c r="Q129" i="26"/>
  <c r="Q128" i="26"/>
  <c r="Q127" i="26"/>
  <c r="Q126" i="26"/>
  <c r="Q125" i="26"/>
  <c r="Q124" i="26"/>
  <c r="Q123" i="26"/>
  <c r="Q122" i="26"/>
  <c r="Q121" i="26"/>
  <c r="Q120" i="26"/>
  <c r="Q119" i="26"/>
  <c r="Q118" i="26"/>
  <c r="Q117" i="26"/>
  <c r="Q116" i="26"/>
  <c r="Q115" i="26"/>
  <c r="Q114" i="26"/>
  <c r="Q113" i="26"/>
  <c r="Q112" i="26"/>
  <c r="Q111" i="26"/>
  <c r="Q110" i="26"/>
  <c r="Q109" i="26"/>
  <c r="Q108" i="26"/>
  <c r="Q107" i="26"/>
  <c r="Q106" i="26"/>
  <c r="Q105" i="26"/>
  <c r="Q104" i="26"/>
  <c r="Q103" i="26"/>
  <c r="Q102" i="26"/>
  <c r="Q101" i="26"/>
  <c r="Q100" i="26"/>
  <c r="Q99" i="26"/>
  <c r="Q98" i="26"/>
  <c r="Q97" i="26"/>
  <c r="Q96" i="26"/>
  <c r="Q95" i="26"/>
  <c r="Q94" i="26"/>
  <c r="Q93" i="26"/>
  <c r="Q92" i="26"/>
  <c r="Q91" i="26"/>
  <c r="Q90" i="26"/>
  <c r="Q89" i="26"/>
  <c r="Q88" i="26"/>
  <c r="Q87" i="26"/>
  <c r="Q86" i="26"/>
  <c r="Q85" i="26"/>
  <c r="Q84" i="26"/>
  <c r="Q83" i="26"/>
  <c r="Q82" i="26"/>
  <c r="Q81" i="26"/>
  <c r="Q80" i="26"/>
  <c r="Q79" i="26"/>
  <c r="Q78" i="26"/>
  <c r="Q77" i="26"/>
  <c r="Q76" i="26"/>
  <c r="Q75" i="26"/>
  <c r="Q74" i="26"/>
  <c r="Q73" i="26"/>
  <c r="Q72" i="26"/>
  <c r="Q71" i="26"/>
  <c r="Q70" i="26"/>
  <c r="Q69" i="26"/>
  <c r="Q68" i="26"/>
  <c r="Q67" i="26"/>
  <c r="Q66" i="26"/>
  <c r="Q65" i="26"/>
  <c r="Q64" i="26"/>
  <c r="Q63" i="26"/>
  <c r="Q62" i="26"/>
  <c r="Q61" i="26"/>
  <c r="Q60" i="26"/>
  <c r="Q59" i="26"/>
  <c r="Q58" i="26"/>
  <c r="Q57" i="26"/>
  <c r="Q56" i="26"/>
  <c r="Q55" i="26"/>
  <c r="Q54" i="26"/>
  <c r="Q53" i="26"/>
  <c r="Q52" i="26"/>
  <c r="Q51" i="26"/>
  <c r="Q50" i="26"/>
  <c r="Q49" i="26"/>
  <c r="Q48" i="26"/>
  <c r="Q47" i="26"/>
  <c r="Q46" i="26"/>
  <c r="Q45" i="26"/>
  <c r="Q44" i="26"/>
  <c r="Q43" i="26"/>
  <c r="Q42" i="26"/>
  <c r="Q41" i="26"/>
  <c r="Q40" i="26"/>
  <c r="Q39" i="26"/>
  <c r="Q38" i="26"/>
  <c r="Q37" i="26"/>
  <c r="Q36" i="26"/>
  <c r="Q35" i="26"/>
  <c r="Q34" i="26"/>
  <c r="Q33" i="26"/>
  <c r="Q32" i="26"/>
  <c r="Q31" i="26"/>
  <c r="Q30" i="26"/>
  <c r="Q29" i="26"/>
  <c r="Q28" i="26"/>
  <c r="Q27" i="26"/>
  <c r="Q26" i="26"/>
  <c r="Q25" i="26"/>
  <c r="Q24" i="26"/>
  <c r="Q23" i="26"/>
  <c r="Q22" i="26"/>
  <c r="Q21" i="26"/>
  <c r="Q20" i="26"/>
  <c r="Q19" i="26"/>
  <c r="Q18" i="26"/>
  <c r="Q17" i="26"/>
  <c r="Q16" i="26"/>
  <c r="Q15" i="26"/>
  <c r="Q14" i="26"/>
  <c r="Q13" i="26"/>
  <c r="Q12" i="26"/>
  <c r="Q11" i="26"/>
  <c r="Q10" i="26"/>
  <c r="Q9" i="26"/>
  <c r="Q8" i="26"/>
  <c r="Q7" i="26"/>
  <c r="Q6" i="26"/>
  <c r="Q5" i="26"/>
  <c r="Q4" i="26"/>
  <c r="Q3" i="26"/>
  <c r="Q2" i="26"/>
  <c r="AH15" i="28" l="1"/>
  <c r="AM166" i="28"/>
  <c r="AM42" i="28"/>
  <c r="AM18" i="28"/>
  <c r="AH20" i="28"/>
  <c r="AH76" i="28"/>
  <c r="AM82" i="28"/>
  <c r="AH332" i="28"/>
  <c r="AH14" i="28"/>
  <c r="AM28" i="28"/>
  <c r="AM133" i="28"/>
  <c r="AM149" i="28"/>
  <c r="AH271" i="28"/>
  <c r="AH279" i="28"/>
  <c r="AH287" i="28"/>
  <c r="AM293" i="28"/>
  <c r="AM333" i="28"/>
  <c r="AM242" i="28"/>
  <c r="AM258" i="28"/>
  <c r="AM55" i="28"/>
  <c r="AM63" i="28"/>
  <c r="AH65" i="28"/>
  <c r="AH137" i="28"/>
  <c r="AM159" i="28"/>
  <c r="AH161" i="28"/>
  <c r="AM183" i="28"/>
  <c r="AM263" i="28"/>
  <c r="AM271" i="28"/>
  <c r="AM54" i="28"/>
  <c r="AM62" i="28"/>
  <c r="AM94" i="28"/>
  <c r="AH7" i="28"/>
  <c r="AM290" i="28"/>
  <c r="AM298" i="28"/>
  <c r="AM279" i="28"/>
  <c r="AM8" i="28"/>
  <c r="AH72" i="28"/>
  <c r="AH304" i="28"/>
  <c r="AM334" i="28"/>
  <c r="AM66" i="28"/>
  <c r="AH124" i="28"/>
  <c r="AH132" i="28"/>
  <c r="AM138" i="28"/>
  <c r="AM178" i="28"/>
  <c r="AM181" i="28"/>
  <c r="AM197" i="28"/>
  <c r="AH199" i="28"/>
  <c r="AM221" i="28"/>
  <c r="AM229" i="28"/>
  <c r="AH231" i="28"/>
  <c r="AM306" i="28"/>
  <c r="AM314" i="28"/>
  <c r="AM40" i="28"/>
  <c r="AH84" i="28"/>
  <c r="AH164" i="28"/>
  <c r="AM186" i="28"/>
  <c r="AH42" i="28"/>
  <c r="AH10" i="28"/>
  <c r="AM88" i="28"/>
  <c r="AH30" i="28"/>
  <c r="AH307" i="28"/>
  <c r="AH315" i="28"/>
  <c r="AM24" i="28"/>
  <c r="AM120" i="28"/>
  <c r="AH242" i="28"/>
  <c r="AH24" i="28"/>
  <c r="AM30" i="28"/>
  <c r="AH80" i="28"/>
  <c r="AH18" i="28"/>
  <c r="AM48" i="28"/>
  <c r="AH82" i="28"/>
  <c r="AH186" i="28"/>
  <c r="AH234" i="28"/>
  <c r="AM83" i="28"/>
  <c r="AH328" i="28"/>
  <c r="AM97" i="28"/>
  <c r="AM145" i="28"/>
  <c r="AM172" i="28"/>
  <c r="AH182" i="28"/>
  <c r="AM237" i="28"/>
  <c r="AH37" i="28"/>
  <c r="AM126" i="28"/>
  <c r="AM142" i="28"/>
  <c r="AM150" i="28"/>
  <c r="AH171" i="28"/>
  <c r="AM199" i="28"/>
  <c r="AM207" i="28"/>
  <c r="AM215" i="28"/>
  <c r="AM223" i="28"/>
  <c r="AM253" i="28"/>
  <c r="AM261" i="28"/>
  <c r="AM322" i="28"/>
  <c r="AH99" i="28"/>
  <c r="AH107" i="28"/>
  <c r="AH188" i="28"/>
  <c r="AH212" i="28"/>
  <c r="AM64" i="28"/>
  <c r="AH66" i="28"/>
  <c r="AM80" i="28"/>
  <c r="AH125" i="28"/>
  <c r="AH165" i="28"/>
  <c r="AM171" i="28"/>
  <c r="AH260" i="28"/>
  <c r="AH228" i="28"/>
  <c r="AH71" i="28"/>
  <c r="AH79" i="28"/>
  <c r="AH95" i="28"/>
  <c r="AH111" i="28"/>
  <c r="AM117" i="28"/>
  <c r="AH119" i="28"/>
  <c r="AM154" i="28"/>
  <c r="AH178" i="28"/>
  <c r="AH51" i="28"/>
  <c r="AH91" i="28"/>
  <c r="AM105" i="28"/>
  <c r="AH185" i="28"/>
  <c r="AH196" i="28"/>
  <c r="AM218" i="28"/>
  <c r="AM90" i="28"/>
  <c r="AM235" i="28"/>
  <c r="AM289" i="28"/>
  <c r="AM71" i="28"/>
  <c r="AH172" i="28"/>
  <c r="AM251" i="28"/>
  <c r="AM259" i="28"/>
  <c r="AM270" i="28"/>
  <c r="AH154" i="28"/>
  <c r="AM250" i="28"/>
  <c r="AH274" i="28"/>
  <c r="AM57" i="28"/>
  <c r="AM65" i="28"/>
  <c r="AH75" i="28"/>
  <c r="AM95" i="28"/>
  <c r="AH97" i="28"/>
  <c r="AM103" i="28"/>
  <c r="AM111" i="28"/>
  <c r="AH135" i="28"/>
  <c r="AH143" i="28"/>
  <c r="AM157" i="28"/>
  <c r="AH170" i="28"/>
  <c r="AM236" i="28"/>
  <c r="AM247" i="28"/>
  <c r="AM255" i="28"/>
  <c r="AH263" i="28"/>
  <c r="AM277" i="28"/>
  <c r="AH295" i="28"/>
  <c r="AH303" i="28"/>
  <c r="AH311" i="28"/>
  <c r="AH319" i="28"/>
  <c r="AH327" i="28"/>
  <c r="AH11" i="28"/>
  <c r="AM106" i="28"/>
  <c r="AM204" i="28"/>
  <c r="AH222" i="28"/>
  <c r="AH13" i="28"/>
  <c r="AH45" i="28"/>
  <c r="AM51" i="28"/>
  <c r="AM67" i="28"/>
  <c r="AM70" i="28"/>
  <c r="AM75" i="28"/>
  <c r="AH77" i="28"/>
  <c r="AM86" i="28"/>
  <c r="AH88" i="28"/>
  <c r="AH115" i="28"/>
  <c r="AM135" i="28"/>
  <c r="AH140" i="28"/>
  <c r="AM146" i="28"/>
  <c r="AM162" i="28"/>
  <c r="AH167" i="28"/>
  <c r="AM173" i="28"/>
  <c r="AM190" i="28"/>
  <c r="AM206" i="28"/>
  <c r="AM214" i="28"/>
  <c r="AM219" i="28"/>
  <c r="AM227" i="28"/>
  <c r="AH268" i="28"/>
  <c r="AH276" i="28"/>
  <c r="AM282" i="28"/>
  <c r="AH27" i="28"/>
  <c r="AH43" i="28"/>
  <c r="AM114" i="28"/>
  <c r="AH314" i="28"/>
  <c r="AM9" i="28"/>
  <c r="AH89" i="28"/>
  <c r="AH198" i="28"/>
  <c r="AH330" i="28"/>
  <c r="AM21" i="28"/>
  <c r="AM29" i="28"/>
  <c r="AH36" i="28"/>
  <c r="AM53" i="28"/>
  <c r="AM56" i="28"/>
  <c r="AH63" i="28"/>
  <c r="AH74" i="28"/>
  <c r="AH93" i="28"/>
  <c r="AM99" i="28"/>
  <c r="AM102" i="28"/>
  <c r="AM107" i="28"/>
  <c r="AH126" i="28"/>
  <c r="AH158" i="28"/>
  <c r="AH191" i="28"/>
  <c r="AH207" i="28"/>
  <c r="AH210" i="28"/>
  <c r="AH215" i="28"/>
  <c r="AM254" i="28"/>
  <c r="AH262" i="28"/>
  <c r="AM292" i="28"/>
  <c r="AM316" i="28"/>
  <c r="AM324" i="28"/>
  <c r="AH78" i="28"/>
  <c r="AH206" i="28"/>
  <c r="AH298" i="28"/>
  <c r="AM85" i="28"/>
  <c r="AM96" i="28"/>
  <c r="AH98" i="28"/>
  <c r="AM202" i="28"/>
  <c r="AM226" i="28"/>
  <c r="AH100" i="28"/>
  <c r="AH122" i="28"/>
  <c r="AH266" i="28"/>
  <c r="AH290" i="28"/>
  <c r="AM15" i="28"/>
  <c r="AM39" i="28"/>
  <c r="AH41" i="28"/>
  <c r="AM79" i="28"/>
  <c r="AH103" i="28"/>
  <c r="AM109" i="28"/>
  <c r="AH133" i="28"/>
  <c r="AM139" i="28"/>
  <c r="AM234" i="28"/>
  <c r="AH247" i="28"/>
  <c r="AM267" i="28"/>
  <c r="AM283" i="28"/>
  <c r="AM291" i="28"/>
  <c r="AH309" i="28"/>
  <c r="AM11" i="28"/>
  <c r="AM17" i="28"/>
  <c r="AM20" i="28"/>
  <c r="AH25" i="28"/>
  <c r="AH28" i="28"/>
  <c r="AH31" i="28"/>
  <c r="AM37" i="28"/>
  <c r="AH39" i="28"/>
  <c r="AH53" i="28"/>
  <c r="AM59" i="28"/>
  <c r="AH70" i="28"/>
  <c r="AH87" i="28"/>
  <c r="AH102" i="28"/>
  <c r="AH110" i="28"/>
  <c r="AM123" i="28"/>
  <c r="AM132" i="28"/>
  <c r="AH134" i="28"/>
  <c r="AH151" i="28"/>
  <c r="AH163" i="28"/>
  <c r="AM164" i="28"/>
  <c r="AH166" i="28"/>
  <c r="AM167" i="28"/>
  <c r="AM175" i="28"/>
  <c r="AH180" i="28"/>
  <c r="AH194" i="28"/>
  <c r="AM198" i="28"/>
  <c r="AH203" i="28"/>
  <c r="AH214" i="28"/>
  <c r="AH217" i="28"/>
  <c r="AH220" i="28"/>
  <c r="AM246" i="28"/>
  <c r="AH254" i="28"/>
  <c r="AM266" i="28"/>
  <c r="AM269" i="28"/>
  <c r="AM286" i="28"/>
  <c r="AH293" i="28"/>
  <c r="AM300" i="28"/>
  <c r="AM308" i="28"/>
  <c r="AH316" i="28"/>
  <c r="AH324" i="28"/>
  <c r="AH19" i="28"/>
  <c r="AM34" i="28"/>
  <c r="AH50" i="28"/>
  <c r="AH64" i="28"/>
  <c r="AM131" i="28"/>
  <c r="AH148" i="28"/>
  <c r="AH159" i="28"/>
  <c r="AM189" i="28"/>
  <c r="AM194" i="28"/>
  <c r="AM203" i="28"/>
  <c r="AH239" i="28"/>
  <c r="AM257" i="28"/>
  <c r="AM274" i="28"/>
  <c r="AH282" i="28"/>
  <c r="AH296" i="28"/>
  <c r="AM305" i="28"/>
  <c r="AM310" i="28"/>
  <c r="AM330" i="28"/>
  <c r="AM47" i="28"/>
  <c r="AH101" i="28"/>
  <c r="AM113" i="28"/>
  <c r="AM143" i="28"/>
  <c r="AM174" i="28"/>
  <c r="AM191" i="28"/>
  <c r="AH202" i="28"/>
  <c r="AM225" i="28"/>
  <c r="AH236" i="28"/>
  <c r="AM245" i="28"/>
  <c r="AH250" i="28"/>
  <c r="AM268" i="28"/>
  <c r="AM299" i="28"/>
  <c r="AH312" i="28"/>
  <c r="AM321" i="28"/>
  <c r="AM7" i="28"/>
  <c r="AM10" i="28"/>
  <c r="AH29" i="28"/>
  <c r="AH32" i="28"/>
  <c r="AM33" i="28"/>
  <c r="AM38" i="28"/>
  <c r="AM41" i="28"/>
  <c r="AH52" i="28"/>
  <c r="AM58" i="28"/>
  <c r="AH60" i="28"/>
  <c r="AM72" i="28"/>
  <c r="AH83" i="28"/>
  <c r="AM104" i="28"/>
  <c r="AH106" i="28"/>
  <c r="AH118" i="28"/>
  <c r="AM119" i="28"/>
  <c r="AM122" i="28"/>
  <c r="AM182" i="28"/>
  <c r="AH190" i="28"/>
  <c r="AM205" i="28"/>
  <c r="AM222" i="28"/>
  <c r="AH230" i="28"/>
  <c r="AM231" i="28"/>
  <c r="AM239" i="28"/>
  <c r="AH244" i="28"/>
  <c r="AH255" i="28"/>
  <c r="AH258" i="28"/>
  <c r="AM262" i="28"/>
  <c r="AH267" i="28"/>
  <c r="AH278" i="28"/>
  <c r="AH281" i="28"/>
  <c r="AH284" i="28"/>
  <c r="AH292" i="28"/>
  <c r="AM301" i="28"/>
  <c r="AH306" i="28"/>
  <c r="AM309" i="28"/>
  <c r="AH320" i="28"/>
  <c r="AH325" i="28"/>
  <c r="AM332" i="28"/>
  <c r="AM16" i="28"/>
  <c r="AM50" i="28"/>
  <c r="AH55" i="28"/>
  <c r="AM61" i="28"/>
  <c r="AH69" i="28"/>
  <c r="AM84" i="28"/>
  <c r="AH92" i="28"/>
  <c r="AH142" i="28"/>
  <c r="AM151" i="28"/>
  <c r="AH156" i="28"/>
  <c r="AH270" i="28"/>
  <c r="AM285" i="28"/>
  <c r="AH9" i="28"/>
  <c r="AH85" i="28"/>
  <c r="AM92" i="28"/>
  <c r="AM98" i="28"/>
  <c r="AM130" i="28"/>
  <c r="AH147" i="28"/>
  <c r="AH175" i="28"/>
  <c r="AM193" i="28"/>
  <c r="AH204" i="28"/>
  <c r="AM210" i="28"/>
  <c r="AM213" i="28"/>
  <c r="AH218" i="28"/>
  <c r="AH238" i="28"/>
  <c r="AM287" i="28"/>
  <c r="AH23" i="28"/>
  <c r="AM26" i="28"/>
  <c r="AM46" i="28"/>
  <c r="AM49" i="28"/>
  <c r="AM52" i="28"/>
  <c r="AH54" i="28"/>
  <c r="AH68" i="28"/>
  <c r="AM74" i="28"/>
  <c r="AM112" i="28"/>
  <c r="AH120" i="28"/>
  <c r="AH138" i="28"/>
  <c r="AH149" i="28"/>
  <c r="AM170" i="28"/>
  <c r="AH183" i="28"/>
  <c r="AM187" i="28"/>
  <c r="AM195" i="28"/>
  <c r="AH223" i="28"/>
  <c r="AH226" i="28"/>
  <c r="AM230" i="28"/>
  <c r="AH235" i="28"/>
  <c r="AH246" i="28"/>
  <c r="AH249" i="28"/>
  <c r="AH252" i="28"/>
  <c r="AM278" i="28"/>
  <c r="AH286" i="28"/>
  <c r="AH300" i="28"/>
  <c r="AH308" i="28"/>
  <c r="AM317" i="28"/>
  <c r="AH322" i="28"/>
  <c r="AM325" i="28"/>
  <c r="AM14" i="28"/>
  <c r="AH16" i="28"/>
  <c r="AM32" i="28"/>
  <c r="AH34" i="28"/>
  <c r="AM35" i="28"/>
  <c r="AH38" i="28"/>
  <c r="AM43" i="28"/>
  <c r="AH56" i="28"/>
  <c r="AM141" i="28"/>
  <c r="AH157" i="28"/>
  <c r="AM158" i="28"/>
  <c r="AH8" i="28"/>
  <c r="AH12" i="28"/>
  <c r="AH26" i="28"/>
  <c r="AM27" i="28"/>
  <c r="AH48" i="28"/>
  <c r="AH59" i="28"/>
  <c r="AM110" i="28"/>
  <c r="AM128" i="28"/>
  <c r="AH130" i="28"/>
  <c r="AM134" i="28"/>
  <c r="AH174" i="28"/>
  <c r="AH109" i="28"/>
  <c r="AH22" i="28"/>
  <c r="AM23" i="28"/>
  <c r="AM31" i="28"/>
  <c r="AH33" i="28"/>
  <c r="AH40" i="28"/>
  <c r="AH44" i="28"/>
  <c r="AH58" i="28"/>
  <c r="AM125" i="28"/>
  <c r="AH127" i="28"/>
  <c r="AM148" i="28"/>
  <c r="AH150" i="28"/>
  <c r="AG6" i="28"/>
  <c r="AM19" i="28"/>
  <c r="AH21" i="28"/>
  <c r="AM22" i="28"/>
  <c r="AH96" i="28"/>
  <c r="AH144" i="28"/>
  <c r="AM168" i="28"/>
  <c r="AH181" i="28"/>
  <c r="AM25" i="28"/>
  <c r="AH35" i="28"/>
  <c r="AH46" i="28"/>
  <c r="AH57" i="28"/>
  <c r="AH67" i="28"/>
  <c r="AM89" i="28"/>
  <c r="AM93" i="28"/>
  <c r="AM121" i="28"/>
  <c r="AH123" i="28"/>
  <c r="AM60" i="28"/>
  <c r="AM78" i="28"/>
  <c r="AH112" i="28"/>
  <c r="AH116" i="28"/>
  <c r="AM124" i="28"/>
  <c r="AH136" i="28"/>
  <c r="AM137" i="28"/>
  <c r="AM144" i="28"/>
  <c r="AH146" i="28"/>
  <c r="AM147" i="28"/>
  <c r="AH153" i="28"/>
  <c r="AH160" i="28"/>
  <c r="AM161" i="28"/>
  <c r="AH173" i="28"/>
  <c r="AH177" i="28"/>
  <c r="AH184" i="28"/>
  <c r="AM185" i="28"/>
  <c r="AM192" i="28"/>
  <c r="AH195" i="28"/>
  <c r="AM196" i="28"/>
  <c r="AH205" i="28"/>
  <c r="AH209" i="28"/>
  <c r="AH216" i="28"/>
  <c r="AM217" i="28"/>
  <c r="AM224" i="28"/>
  <c r="AH227" i="28"/>
  <c r="AM228" i="28"/>
  <c r="AH237" i="28"/>
  <c r="AH241" i="28"/>
  <c r="AH248" i="28"/>
  <c r="AM249" i="28"/>
  <c r="AM256" i="28"/>
  <c r="AH259" i="28"/>
  <c r="AM260" i="28"/>
  <c r="AH269" i="28"/>
  <c r="AH273" i="28"/>
  <c r="AH280" i="28"/>
  <c r="AM281" i="28"/>
  <c r="AM288" i="28"/>
  <c r="AH291" i="28"/>
  <c r="AH294" i="28"/>
  <c r="AM295" i="28"/>
  <c r="AH297" i="28"/>
  <c r="AM304" i="28"/>
  <c r="AH310" i="28"/>
  <c r="AM311" i="28"/>
  <c r="AH313" i="28"/>
  <c r="AM320" i="28"/>
  <c r="AH323" i="28"/>
  <c r="AH326" i="28"/>
  <c r="AM327" i="28"/>
  <c r="AH329" i="28"/>
  <c r="AH62" i="28"/>
  <c r="AH73" i="28"/>
  <c r="AM77" i="28"/>
  <c r="AM81" i="28"/>
  <c r="AH90" i="28"/>
  <c r="AM91" i="28"/>
  <c r="AH94" i="28"/>
  <c r="AH104" i="28"/>
  <c r="AH108" i="28"/>
  <c r="AM116" i="28"/>
  <c r="AM127" i="28"/>
  <c r="AH129" i="28"/>
  <c r="AM136" i="28"/>
  <c r="AH139" i="28"/>
  <c r="AM140" i="28"/>
  <c r="AH152" i="28"/>
  <c r="AM153" i="28"/>
  <c r="AM160" i="28"/>
  <c r="AH162" i="28"/>
  <c r="AM163" i="28"/>
  <c r="AH169" i="28"/>
  <c r="AH176" i="28"/>
  <c r="AM177" i="28"/>
  <c r="AM184" i="28"/>
  <c r="AH187" i="28"/>
  <c r="AM188" i="28"/>
  <c r="AH197" i="28"/>
  <c r="AH201" i="28"/>
  <c r="AH208" i="28"/>
  <c r="AM209" i="28"/>
  <c r="AM216" i="28"/>
  <c r="AH219" i="28"/>
  <c r="AM220" i="28"/>
  <c r="AH229" i="28"/>
  <c r="AH233" i="28"/>
  <c r="AH240" i="28"/>
  <c r="AM241" i="28"/>
  <c r="AM248" i="28"/>
  <c r="AH251" i="28"/>
  <c r="AM252" i="28"/>
  <c r="AH261" i="28"/>
  <c r="AH265" i="28"/>
  <c r="AH272" i="28"/>
  <c r="AM273" i="28"/>
  <c r="AM280" i="28"/>
  <c r="AH283" i="28"/>
  <c r="AM284" i="28"/>
  <c r="AM294" i="28"/>
  <c r="AM297" i="28"/>
  <c r="AM313" i="28"/>
  <c r="AM326" i="28"/>
  <c r="AM329" i="28"/>
  <c r="AM69" i="28"/>
  <c r="AM73" i="28"/>
  <c r="AH86" i="28"/>
  <c r="AM87" i="28"/>
  <c r="AM101" i="28"/>
  <c r="AH114" i="28"/>
  <c r="AM115" i="28"/>
  <c r="AH117" i="28"/>
  <c r="AM118" i="28"/>
  <c r="AH121" i="28"/>
  <c r="AH128" i="28"/>
  <c r="AM129" i="28"/>
  <c r="AH141" i="28"/>
  <c r="AH145" i="28"/>
  <c r="AM152" i="28"/>
  <c r="AH155" i="28"/>
  <c r="AM156" i="28"/>
  <c r="AH168" i="28"/>
  <c r="AM169" i="28"/>
  <c r="AM176" i="28"/>
  <c r="AH179" i="28"/>
  <c r="AM180" i="28"/>
  <c r="AH189" i="28"/>
  <c r="AH193" i="28"/>
  <c r="AH200" i="28"/>
  <c r="AM201" i="28"/>
  <c r="AM208" i="28"/>
  <c r="AH211" i="28"/>
  <c r="AM212" i="28"/>
  <c r="AH221" i="28"/>
  <c r="AH225" i="28"/>
  <c r="AH232" i="28"/>
  <c r="AM233" i="28"/>
  <c r="AM240" i="28"/>
  <c r="AH243" i="28"/>
  <c r="AM244" i="28"/>
  <c r="AH253" i="28"/>
  <c r="AH257" i="28"/>
  <c r="AH264" i="28"/>
  <c r="AM265" i="28"/>
  <c r="AM272" i="28"/>
  <c r="AH275" i="28"/>
  <c r="AM276" i="28"/>
  <c r="AH285" i="28"/>
  <c r="AH289" i="28"/>
  <c r="AM296" i="28"/>
  <c r="AH299" i="28"/>
  <c r="AH302" i="28"/>
  <c r="AM303" i="28"/>
  <c r="AH305" i="28"/>
  <c r="AM312" i="28"/>
  <c r="AH318" i="28"/>
  <c r="AM319" i="28"/>
  <c r="AH321" i="28"/>
  <c r="AM328" i="28"/>
  <c r="AH331" i="28"/>
  <c r="AH334" i="28"/>
  <c r="AM155" i="28"/>
  <c r="AM165" i="28"/>
  <c r="AM179" i="28"/>
  <c r="AM211" i="28"/>
  <c r="AM243" i="28"/>
  <c r="AM275" i="28"/>
  <c r="AH301" i="28"/>
  <c r="AH317" i="28"/>
  <c r="AM318" i="28"/>
  <c r="AH333" i="28"/>
  <c r="AH192" i="28"/>
  <c r="AM200" i="28"/>
  <c r="AH213" i="28"/>
  <c r="AH224" i="28"/>
  <c r="AM232" i="28"/>
  <c r="AH245" i="28"/>
  <c r="AH256" i="28"/>
  <c r="AM264" i="28"/>
  <c r="AH277" i="28"/>
  <c r="AH288" i="28"/>
  <c r="AH49" i="28"/>
  <c r="AH113" i="28"/>
  <c r="AH131" i="28"/>
  <c r="AM36" i="28"/>
  <c r="AM68" i="28"/>
  <c r="AM100" i="28"/>
  <c r="AH17" i="28"/>
  <c r="AH81" i="28"/>
  <c r="AM307" i="28"/>
  <c r="AM323" i="28"/>
  <c r="AK6" i="28"/>
  <c r="AM12" i="28"/>
  <c r="AM44" i="28"/>
  <c r="AM76" i="28"/>
  <c r="AM108" i="28"/>
  <c r="AL6" i="28"/>
  <c r="AH105" i="28"/>
  <c r="Q1" i="26"/>
  <c r="H1" i="26"/>
  <c r="AM6" i="28" l="1"/>
  <c r="AH6" i="28"/>
  <c r="C90" i="27"/>
  <c r="C89" i="27"/>
  <c r="C88" i="27"/>
  <c r="C87" i="27"/>
  <c r="C86" i="27"/>
  <c r="C85" i="27"/>
  <c r="C84" i="27"/>
  <c r="C83" i="27"/>
  <c r="C82" i="27"/>
  <c r="C81" i="27"/>
  <c r="I334" i="27"/>
  <c r="I333" i="27"/>
  <c r="I332" i="27"/>
  <c r="I331" i="27"/>
  <c r="I330" i="27"/>
  <c r="I329" i="27"/>
  <c r="I328" i="27"/>
  <c r="I327" i="27"/>
  <c r="I326" i="27"/>
  <c r="I325" i="27"/>
  <c r="I324" i="27"/>
  <c r="I323" i="27"/>
  <c r="I322" i="27"/>
  <c r="I321" i="27"/>
  <c r="I320" i="27"/>
  <c r="I319" i="27"/>
  <c r="I318" i="27"/>
  <c r="I317" i="27"/>
  <c r="I316" i="27"/>
  <c r="I315" i="27"/>
  <c r="I314" i="27"/>
  <c r="I313" i="27"/>
  <c r="I312" i="27"/>
  <c r="I311" i="27"/>
  <c r="I310" i="27"/>
  <c r="I309" i="27"/>
  <c r="I308" i="27"/>
  <c r="I307" i="27"/>
  <c r="I306" i="27"/>
  <c r="I305" i="27"/>
  <c r="I304" i="27"/>
  <c r="I303" i="27"/>
  <c r="I302" i="27"/>
  <c r="I301" i="27"/>
  <c r="I300" i="27"/>
  <c r="I299" i="27"/>
  <c r="I298" i="27"/>
  <c r="I297" i="27"/>
  <c r="I296" i="27"/>
  <c r="I295" i="27"/>
  <c r="I294" i="27"/>
  <c r="I293" i="27"/>
  <c r="I292" i="27"/>
  <c r="I291" i="27"/>
  <c r="I290" i="27"/>
  <c r="I289" i="27"/>
  <c r="I288" i="27"/>
  <c r="I287" i="27"/>
  <c r="I286" i="27"/>
  <c r="I285" i="27"/>
  <c r="I284" i="27"/>
  <c r="I283" i="27"/>
  <c r="I282" i="27"/>
  <c r="I281" i="27"/>
  <c r="I280" i="27"/>
  <c r="I279" i="27"/>
  <c r="I278" i="27"/>
  <c r="I277" i="27"/>
  <c r="I276" i="27"/>
  <c r="I275" i="27"/>
  <c r="I274" i="27"/>
  <c r="I273" i="27"/>
  <c r="I272" i="27"/>
  <c r="I271" i="27"/>
  <c r="I270" i="27"/>
  <c r="I269" i="27"/>
  <c r="I268" i="27"/>
  <c r="I267" i="27"/>
  <c r="I266" i="27"/>
  <c r="I265" i="27"/>
  <c r="I264" i="27"/>
  <c r="I263" i="27"/>
  <c r="I262" i="27"/>
  <c r="I261" i="27"/>
  <c r="I260" i="27"/>
  <c r="I259" i="27"/>
  <c r="I258" i="27"/>
  <c r="I257" i="27"/>
  <c r="I256" i="27"/>
  <c r="I255" i="27"/>
  <c r="I254" i="27"/>
  <c r="I253" i="27"/>
  <c r="I252" i="27"/>
  <c r="I251" i="27"/>
  <c r="I250" i="27"/>
  <c r="I249" i="27"/>
  <c r="I248" i="27"/>
  <c r="I247" i="27"/>
  <c r="I246" i="27"/>
  <c r="I245" i="27"/>
  <c r="I244" i="27"/>
  <c r="I243" i="27"/>
  <c r="I242" i="27"/>
  <c r="I241" i="27"/>
  <c r="I240" i="27"/>
  <c r="I239" i="27"/>
  <c r="I238" i="27"/>
  <c r="I237" i="27"/>
  <c r="I236" i="27"/>
  <c r="I235" i="27"/>
  <c r="I234" i="27"/>
  <c r="I233" i="27"/>
  <c r="I232" i="27"/>
  <c r="I231" i="27"/>
  <c r="I230" i="27"/>
  <c r="I229" i="27"/>
  <c r="I228" i="27"/>
  <c r="I227" i="27"/>
  <c r="I226" i="27"/>
  <c r="I225" i="27"/>
  <c r="I224" i="27"/>
  <c r="I223" i="27"/>
  <c r="I222" i="27"/>
  <c r="I221" i="27"/>
  <c r="I220" i="27"/>
  <c r="I219" i="27"/>
  <c r="I218" i="27"/>
  <c r="I217" i="27"/>
  <c r="I216" i="27"/>
  <c r="I215" i="27"/>
  <c r="I214" i="27"/>
  <c r="I213" i="27"/>
  <c r="I212" i="27"/>
  <c r="I211" i="27"/>
  <c r="I210" i="27"/>
  <c r="I209" i="27"/>
  <c r="I208" i="27"/>
  <c r="I207" i="27"/>
  <c r="I206" i="27"/>
  <c r="I205" i="27"/>
  <c r="I204" i="27"/>
  <c r="I203" i="27"/>
  <c r="I202" i="27"/>
  <c r="I201" i="27"/>
  <c r="I200" i="27"/>
  <c r="I199" i="27"/>
  <c r="I198" i="27"/>
  <c r="I197" i="27"/>
  <c r="I196" i="27"/>
  <c r="I195" i="27"/>
  <c r="I194" i="27"/>
  <c r="I193" i="27"/>
  <c r="I192" i="27"/>
  <c r="I191" i="27"/>
  <c r="I190" i="27"/>
  <c r="I189" i="27"/>
  <c r="I188" i="27"/>
  <c r="I187" i="27"/>
  <c r="I186" i="27"/>
  <c r="I185" i="27"/>
  <c r="I184" i="27"/>
  <c r="I183" i="27"/>
  <c r="I182" i="27"/>
  <c r="I181" i="27"/>
  <c r="I180" i="27"/>
  <c r="I179" i="27"/>
  <c r="I178" i="27"/>
  <c r="I177" i="27"/>
  <c r="I176" i="27"/>
  <c r="I175" i="27"/>
  <c r="I174" i="27"/>
  <c r="I173" i="27"/>
  <c r="I172" i="27"/>
  <c r="I171" i="27"/>
  <c r="I170" i="27"/>
  <c r="I169" i="27"/>
  <c r="I168" i="27"/>
  <c r="I167" i="27"/>
  <c r="I166" i="27"/>
  <c r="I165" i="27"/>
  <c r="I164" i="27"/>
  <c r="I163" i="27"/>
  <c r="I162" i="27"/>
  <c r="I161" i="27"/>
  <c r="I160" i="27"/>
  <c r="I159" i="27"/>
  <c r="I158" i="27"/>
  <c r="I157" i="27"/>
  <c r="I156" i="27"/>
  <c r="I155" i="27"/>
  <c r="I154" i="27"/>
  <c r="I153" i="27"/>
  <c r="I152" i="27"/>
  <c r="I151" i="27"/>
  <c r="I150" i="27"/>
  <c r="I149" i="27"/>
  <c r="I148" i="27"/>
  <c r="I147" i="27"/>
  <c r="I146" i="27"/>
  <c r="I145" i="27"/>
  <c r="I144" i="27"/>
  <c r="I143" i="27"/>
  <c r="I142" i="27"/>
  <c r="I141" i="27"/>
  <c r="I140" i="27"/>
  <c r="I139" i="27"/>
  <c r="I138" i="27"/>
  <c r="I137" i="27"/>
  <c r="I136" i="27"/>
  <c r="I135" i="27"/>
  <c r="I134" i="27"/>
  <c r="I133" i="27"/>
  <c r="I132" i="27"/>
  <c r="I131" i="27"/>
  <c r="I130" i="27"/>
  <c r="I129" i="27"/>
  <c r="I128" i="27"/>
  <c r="I127" i="27"/>
  <c r="I126" i="27"/>
  <c r="I125" i="27"/>
  <c r="I124" i="27"/>
  <c r="I123" i="27"/>
  <c r="I122" i="27"/>
  <c r="I121" i="27"/>
  <c r="I120" i="27"/>
  <c r="I119" i="27"/>
  <c r="I118" i="27"/>
  <c r="I117" i="27"/>
  <c r="I116" i="27"/>
  <c r="I115" i="27"/>
  <c r="I114" i="27"/>
  <c r="I113" i="27"/>
  <c r="I112" i="27"/>
  <c r="I111" i="27"/>
  <c r="I110" i="27"/>
  <c r="I109" i="27"/>
  <c r="I108" i="27"/>
  <c r="I107" i="27"/>
  <c r="I106" i="27"/>
  <c r="I105" i="27"/>
  <c r="I104" i="27"/>
  <c r="I103" i="27"/>
  <c r="I102" i="27"/>
  <c r="I101" i="27"/>
  <c r="I100" i="27"/>
  <c r="I99" i="27"/>
  <c r="I98" i="27"/>
  <c r="I97" i="27"/>
  <c r="I96" i="27"/>
  <c r="I95" i="27"/>
  <c r="I94" i="27"/>
  <c r="I93" i="27"/>
  <c r="I92" i="27"/>
  <c r="I91" i="27"/>
  <c r="I90" i="27"/>
  <c r="I89" i="27"/>
  <c r="I88" i="27"/>
  <c r="I87" i="27"/>
  <c r="I86" i="27"/>
  <c r="I85" i="27"/>
  <c r="I84" i="27"/>
  <c r="I83" i="27"/>
  <c r="I82" i="27"/>
  <c r="I81" i="27"/>
  <c r="I80" i="27"/>
  <c r="I79" i="27"/>
  <c r="I78" i="27"/>
  <c r="I77" i="27"/>
  <c r="I76" i="27"/>
  <c r="I75" i="27"/>
  <c r="I74" i="27"/>
  <c r="I73" i="27"/>
  <c r="I72" i="27"/>
  <c r="I71" i="27"/>
  <c r="I70" i="27"/>
  <c r="I69" i="27"/>
  <c r="I68" i="27"/>
  <c r="I67" i="27"/>
  <c r="I66" i="27"/>
  <c r="I65" i="27"/>
  <c r="I64" i="27"/>
  <c r="I63" i="27"/>
  <c r="I62" i="27"/>
  <c r="I61" i="27"/>
  <c r="I60" i="27"/>
  <c r="I59" i="27"/>
  <c r="I58" i="27"/>
  <c r="I57" i="27"/>
  <c r="I56" i="27"/>
  <c r="I55" i="27"/>
  <c r="I54" i="27"/>
  <c r="I53" i="27"/>
  <c r="I52" i="27"/>
  <c r="I51" i="27"/>
  <c r="I50" i="27"/>
  <c r="I49" i="27"/>
  <c r="I48" i="27"/>
  <c r="I47" i="27"/>
  <c r="I46" i="27"/>
  <c r="I45" i="27"/>
  <c r="I44" i="27"/>
  <c r="I43" i="27"/>
  <c r="I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2" i="27"/>
  <c r="I11" i="27"/>
  <c r="I10" i="27"/>
  <c r="I9" i="27"/>
  <c r="I8" i="27"/>
  <c r="I7" i="27"/>
  <c r="K335" i="27" l="1"/>
  <c r="M334" i="27"/>
  <c r="M333" i="27"/>
  <c r="M332" i="27"/>
  <c r="M331" i="27"/>
  <c r="M330" i="27"/>
  <c r="M329" i="27"/>
  <c r="M328" i="27"/>
  <c r="M327" i="27"/>
  <c r="M326" i="27"/>
  <c r="M325" i="27"/>
  <c r="M324" i="27"/>
  <c r="M323" i="27"/>
  <c r="M322" i="27"/>
  <c r="M321" i="27"/>
  <c r="M320" i="27"/>
  <c r="M319" i="27"/>
  <c r="M318" i="27"/>
  <c r="M317" i="27"/>
  <c r="M316" i="27"/>
  <c r="M315" i="27"/>
  <c r="M314" i="27"/>
  <c r="M313" i="27"/>
  <c r="M312" i="27"/>
  <c r="M311" i="27"/>
  <c r="M310" i="27"/>
  <c r="M309" i="27"/>
  <c r="M308" i="27"/>
  <c r="M307" i="27"/>
  <c r="M306" i="27"/>
  <c r="M305" i="27"/>
  <c r="M304" i="27"/>
  <c r="M303" i="27"/>
  <c r="M302" i="27"/>
  <c r="M301" i="27"/>
  <c r="M300" i="27"/>
  <c r="M299" i="27"/>
  <c r="M298" i="27"/>
  <c r="M297" i="27"/>
  <c r="M296" i="27"/>
  <c r="M295" i="27"/>
  <c r="M294" i="27"/>
  <c r="M293" i="27"/>
  <c r="M292" i="27"/>
  <c r="M291" i="27"/>
  <c r="M290" i="27"/>
  <c r="M289" i="27"/>
  <c r="M288" i="27"/>
  <c r="M287" i="27"/>
  <c r="M286" i="27"/>
  <c r="M285" i="27"/>
  <c r="M284" i="27"/>
  <c r="M283" i="27"/>
  <c r="M282" i="27"/>
  <c r="M281" i="27"/>
  <c r="M280" i="27"/>
  <c r="M279" i="27"/>
  <c r="M278" i="27"/>
  <c r="M277" i="27"/>
  <c r="M276" i="27"/>
  <c r="M275" i="27"/>
  <c r="M274" i="27"/>
  <c r="M273" i="27"/>
  <c r="M272" i="27"/>
  <c r="M271" i="27"/>
  <c r="M270" i="27"/>
  <c r="M269" i="27"/>
  <c r="M268" i="27"/>
  <c r="M267" i="27"/>
  <c r="M266" i="27"/>
  <c r="M265" i="27"/>
  <c r="M264" i="27"/>
  <c r="M263" i="27"/>
  <c r="M262" i="27"/>
  <c r="M261" i="27"/>
  <c r="M260" i="27"/>
  <c r="M259" i="27"/>
  <c r="M258" i="27"/>
  <c r="M257" i="27"/>
  <c r="M256" i="27"/>
  <c r="M255" i="27"/>
  <c r="M254" i="27"/>
  <c r="M253" i="27"/>
  <c r="M252" i="27"/>
  <c r="M251" i="27"/>
  <c r="M250" i="27"/>
  <c r="M249" i="27"/>
  <c r="M248" i="27"/>
  <c r="M247" i="27"/>
  <c r="M246" i="27"/>
  <c r="M245" i="27"/>
  <c r="M244" i="27"/>
  <c r="M243" i="27"/>
  <c r="M242" i="27"/>
  <c r="M241" i="27"/>
  <c r="M240" i="27"/>
  <c r="M239" i="27"/>
  <c r="M238" i="27"/>
  <c r="M237" i="27"/>
  <c r="M236" i="27"/>
  <c r="M235" i="27"/>
  <c r="M234" i="27"/>
  <c r="M233" i="27"/>
  <c r="M232" i="27"/>
  <c r="M231" i="27"/>
  <c r="M230" i="27"/>
  <c r="M229" i="27"/>
  <c r="M228" i="27"/>
  <c r="M227" i="27"/>
  <c r="M226" i="27"/>
  <c r="M225" i="27"/>
  <c r="M224" i="27"/>
  <c r="M223" i="27"/>
  <c r="M222" i="27"/>
  <c r="M221" i="27"/>
  <c r="M220" i="27"/>
  <c r="M219" i="27"/>
  <c r="M218" i="27"/>
  <c r="M217" i="27"/>
  <c r="M216" i="27"/>
  <c r="M215" i="27"/>
  <c r="M214" i="27"/>
  <c r="M213" i="27"/>
  <c r="M212" i="27"/>
  <c r="M211" i="27"/>
  <c r="M210" i="27"/>
  <c r="M209" i="27"/>
  <c r="M208" i="27"/>
  <c r="M207" i="27"/>
  <c r="M206" i="27"/>
  <c r="M205" i="27"/>
  <c r="M204" i="27"/>
  <c r="M203" i="27"/>
  <c r="M202" i="27"/>
  <c r="M201" i="27"/>
  <c r="M200" i="27"/>
  <c r="M199" i="27"/>
  <c r="M198" i="27"/>
  <c r="M197" i="27"/>
  <c r="M196" i="27"/>
  <c r="M195" i="27"/>
  <c r="M194" i="27"/>
  <c r="M193" i="27"/>
  <c r="M192" i="27"/>
  <c r="M191" i="27"/>
  <c r="M190" i="27"/>
  <c r="M189" i="27"/>
  <c r="M188" i="27"/>
  <c r="M187" i="27"/>
  <c r="M186" i="27"/>
  <c r="M185" i="27"/>
  <c r="M184" i="27"/>
  <c r="M183" i="27"/>
  <c r="M182" i="27"/>
  <c r="M181" i="27"/>
  <c r="M180" i="27"/>
  <c r="M179" i="27"/>
  <c r="M178" i="27"/>
  <c r="M177" i="27"/>
  <c r="M176" i="27"/>
  <c r="M175" i="27"/>
  <c r="M174" i="27"/>
  <c r="M173" i="27"/>
  <c r="M172" i="27"/>
  <c r="M171" i="27"/>
  <c r="M170" i="27"/>
  <c r="M169" i="27"/>
  <c r="M168" i="27"/>
  <c r="M167" i="27"/>
  <c r="M166" i="27"/>
  <c r="M165" i="27"/>
  <c r="M164" i="27"/>
  <c r="M163" i="27"/>
  <c r="M162" i="27"/>
  <c r="M161" i="27"/>
  <c r="M160" i="27"/>
  <c r="M159" i="27"/>
  <c r="M158" i="27"/>
  <c r="M157" i="27"/>
  <c r="M156" i="27"/>
  <c r="M155" i="27"/>
  <c r="M154" i="27"/>
  <c r="M153" i="27"/>
  <c r="M152" i="27"/>
  <c r="M151" i="27"/>
  <c r="M150" i="27"/>
  <c r="M149" i="27"/>
  <c r="M148" i="27"/>
  <c r="M147" i="27"/>
  <c r="M146" i="27"/>
  <c r="M145" i="27"/>
  <c r="M144" i="27"/>
  <c r="M143" i="27"/>
  <c r="M142" i="27"/>
  <c r="M141" i="27"/>
  <c r="M140" i="27"/>
  <c r="M139" i="27"/>
  <c r="M138" i="27"/>
  <c r="M137" i="27"/>
  <c r="M136" i="27"/>
  <c r="M135" i="27"/>
  <c r="M134" i="27"/>
  <c r="M133" i="27"/>
  <c r="M132" i="27"/>
  <c r="M131" i="27"/>
  <c r="M130" i="27"/>
  <c r="M129" i="27"/>
  <c r="M128" i="27"/>
  <c r="M127" i="27"/>
  <c r="M126" i="27"/>
  <c r="M125" i="27"/>
  <c r="M124" i="27"/>
  <c r="M123" i="27"/>
  <c r="M122" i="27"/>
  <c r="M121" i="27"/>
  <c r="M120" i="27"/>
  <c r="M119" i="27"/>
  <c r="M118" i="27"/>
  <c r="M117" i="27"/>
  <c r="M116" i="27"/>
  <c r="M115" i="27"/>
  <c r="M114" i="27"/>
  <c r="M113" i="27"/>
  <c r="M112" i="27"/>
  <c r="M111" i="27"/>
  <c r="M110" i="27"/>
  <c r="M109" i="27"/>
  <c r="M108" i="27"/>
  <c r="M107" i="27"/>
  <c r="M106" i="27"/>
  <c r="M105" i="27"/>
  <c r="M104" i="27"/>
  <c r="M103" i="27"/>
  <c r="M102" i="27"/>
  <c r="M101" i="27"/>
  <c r="M100" i="27"/>
  <c r="M99" i="27"/>
  <c r="M98" i="27"/>
  <c r="M97" i="27"/>
  <c r="M96" i="27"/>
  <c r="M95" i="27"/>
  <c r="M94" i="27"/>
  <c r="M93" i="27"/>
  <c r="M92" i="27"/>
  <c r="M91" i="27"/>
  <c r="M90" i="27"/>
  <c r="M89" i="27"/>
  <c r="M88" i="27"/>
  <c r="M87" i="27"/>
  <c r="M86" i="27"/>
  <c r="M85" i="27"/>
  <c r="M84" i="27"/>
  <c r="M83" i="27"/>
  <c r="M82" i="27"/>
  <c r="M81" i="27"/>
  <c r="M80" i="27"/>
  <c r="M79" i="27"/>
  <c r="M78" i="27"/>
  <c r="M77" i="27"/>
  <c r="M76" i="27"/>
  <c r="M75" i="27"/>
  <c r="M74" i="27"/>
  <c r="M73" i="27"/>
  <c r="M72" i="27"/>
  <c r="M71" i="27"/>
  <c r="M70" i="27"/>
  <c r="M69" i="27"/>
  <c r="M68" i="27"/>
  <c r="M67" i="27"/>
  <c r="M66" i="27"/>
  <c r="M65" i="27"/>
  <c r="M64" i="27"/>
  <c r="M63" i="27"/>
  <c r="M62" i="27"/>
  <c r="M61" i="27"/>
  <c r="M60" i="27"/>
  <c r="M59" i="27"/>
  <c r="M58" i="27"/>
  <c r="M57" i="27"/>
  <c r="M56" i="27"/>
  <c r="M55" i="27"/>
  <c r="M54" i="27"/>
  <c r="M53" i="27"/>
  <c r="M52" i="27"/>
  <c r="M51" i="27"/>
  <c r="M50" i="27"/>
  <c r="M49" i="27"/>
  <c r="M48" i="27"/>
  <c r="M47" i="27"/>
  <c r="M46" i="27"/>
  <c r="M45" i="27"/>
  <c r="M44" i="27"/>
  <c r="M43" i="27"/>
  <c r="M42" i="27"/>
  <c r="M41" i="27"/>
  <c r="M40" i="27"/>
  <c r="M39" i="27"/>
  <c r="M38" i="27"/>
  <c r="M37" i="27"/>
  <c r="M36" i="27"/>
  <c r="M35" i="27"/>
  <c r="M34" i="27"/>
  <c r="M33" i="27"/>
  <c r="M32" i="27"/>
  <c r="M31" i="27"/>
  <c r="M30" i="27"/>
  <c r="M29" i="27"/>
  <c r="M28" i="27"/>
  <c r="M27" i="27"/>
  <c r="M26" i="27"/>
  <c r="M25" i="27"/>
  <c r="M24" i="27"/>
  <c r="M23" i="27"/>
  <c r="M22" i="27"/>
  <c r="M21" i="27"/>
  <c r="M20" i="27"/>
  <c r="M19" i="27"/>
  <c r="M18" i="27"/>
  <c r="M17" i="27"/>
  <c r="M16" i="27"/>
  <c r="M15" i="27"/>
  <c r="M14" i="27"/>
  <c r="M13" i="27"/>
  <c r="M12" i="27"/>
  <c r="M11" i="27"/>
  <c r="M10" i="27"/>
  <c r="M9" i="27"/>
  <c r="M8" i="27"/>
  <c r="M7" i="27"/>
  <c r="A335" i="28" l="1"/>
  <c r="G268" i="32" l="1"/>
  <c r="G210" i="32"/>
  <c r="G104" i="32"/>
  <c r="B36" i="24" l="1"/>
  <c r="N36" i="24"/>
  <c r="B5" i="55"/>
  <c r="B37" i="24" s="1"/>
  <c r="N37" i="24"/>
  <c r="E324" i="53"/>
  <c r="F324" i="53"/>
  <c r="I324" i="53"/>
  <c r="H324" i="53"/>
  <c r="G324" i="53"/>
  <c r="O36" i="24" l="1"/>
  <c r="F318" i="26" l="1"/>
  <c r="F314" i="26"/>
  <c r="F219" i="26"/>
  <c r="F210" i="26"/>
  <c r="F113" i="26"/>
  <c r="G164" i="32"/>
  <c r="G313" i="32"/>
  <c r="G305" i="32"/>
  <c r="G329" i="32"/>
  <c r="G101" i="32"/>
  <c r="G108" i="32"/>
  <c r="G289" i="32"/>
  <c r="G279" i="32"/>
  <c r="B24" i="1" l="1"/>
  <c r="AQ6" i="28" l="1"/>
  <c r="B1" i="24" l="1"/>
  <c r="F1" i="56" s="1"/>
  <c r="AP6" i="28"/>
  <c r="F83" i="26"/>
  <c r="F80" i="26"/>
  <c r="F79" i="26"/>
  <c r="F78" i="26"/>
  <c r="F77" i="26"/>
  <c r="F76" i="26"/>
  <c r="F84" i="26"/>
  <c r="F85" i="26"/>
  <c r="F81" i="26"/>
  <c r="F82" i="26"/>
  <c r="F29" i="26"/>
  <c r="F142" i="26"/>
  <c r="F115" i="26"/>
  <c r="C10" i="56" l="1"/>
  <c r="C13" i="56" s="1"/>
  <c r="B18" i="24" s="1"/>
  <c r="E10" i="24"/>
  <c r="G146" i="32" l="1"/>
  <c r="AI292" i="32"/>
  <c r="AI291" i="32"/>
  <c r="AI290" i="32"/>
  <c r="AI289" i="32"/>
  <c r="AI288" i="32"/>
  <c r="AI287" i="32"/>
  <c r="AI286" i="32"/>
  <c r="AI285" i="32"/>
  <c r="AI284" i="32"/>
  <c r="AI283" i="32"/>
  <c r="AI282" i="32"/>
  <c r="AI281" i="32"/>
  <c r="AI280" i="32"/>
  <c r="AI279" i="32"/>
  <c r="AI278" i="32"/>
  <c r="AI277" i="32"/>
  <c r="AI276" i="32"/>
  <c r="AI275" i="32"/>
  <c r="AI274" i="32"/>
  <c r="AI273" i="32"/>
  <c r="AI272" i="32"/>
  <c r="AI271" i="32"/>
  <c r="AI270" i="32"/>
  <c r="AI269" i="32"/>
  <c r="AI268" i="32"/>
  <c r="AI267" i="32"/>
  <c r="AI266" i="32"/>
  <c r="AI265" i="32"/>
  <c r="AI264" i="32"/>
  <c r="AI263" i="32"/>
  <c r="AI262" i="32"/>
  <c r="AI261" i="32"/>
  <c r="AI260" i="32"/>
  <c r="AI259" i="32"/>
  <c r="G304" i="32"/>
  <c r="AI258" i="32"/>
  <c r="AI257" i="32"/>
  <c r="AI256" i="32"/>
  <c r="AI255" i="32"/>
  <c r="AI254" i="32"/>
  <c r="AI253" i="32"/>
  <c r="AI252" i="32"/>
  <c r="AI251" i="32"/>
  <c r="AI250" i="32"/>
  <c r="AI249" i="32"/>
  <c r="AI248" i="32"/>
  <c r="AI247" i="32"/>
  <c r="AI246" i="32"/>
  <c r="AI245" i="32"/>
  <c r="AI244" i="32"/>
  <c r="AI243" i="32"/>
  <c r="AI242" i="32"/>
  <c r="AI241" i="32"/>
  <c r="AI240" i="32"/>
  <c r="AI239" i="32"/>
  <c r="AI238" i="32"/>
  <c r="AI237" i="32"/>
  <c r="AI236" i="32"/>
  <c r="AI235" i="32"/>
  <c r="AI234" i="32"/>
  <c r="AI233" i="32"/>
  <c r="AI232" i="32"/>
  <c r="AI231" i="32"/>
  <c r="AI230" i="32"/>
  <c r="AI229" i="32"/>
  <c r="AI228" i="32"/>
  <c r="AI227" i="32"/>
  <c r="AI226" i="32"/>
  <c r="AI225" i="32"/>
  <c r="AI224" i="32"/>
  <c r="AI223" i="32"/>
  <c r="AI222" i="32"/>
  <c r="AI221" i="32"/>
  <c r="AI220" i="32"/>
  <c r="AI219" i="32"/>
  <c r="AI218" i="32"/>
  <c r="AI217" i="32"/>
  <c r="AI216" i="32"/>
  <c r="AI215" i="32"/>
  <c r="AI214" i="32"/>
  <c r="AI213" i="32"/>
  <c r="AI212" i="32"/>
  <c r="AI211" i="32"/>
  <c r="AI210" i="32"/>
  <c r="AI209" i="32"/>
  <c r="AI208" i="32"/>
  <c r="AI207" i="32"/>
  <c r="AI206" i="32"/>
  <c r="AI205" i="32"/>
  <c r="AI204" i="32"/>
  <c r="AI203" i="32"/>
  <c r="AI202" i="32"/>
  <c r="AI201" i="32"/>
  <c r="AI200" i="32"/>
  <c r="AI199" i="32"/>
  <c r="AI198" i="32"/>
  <c r="AI197" i="32"/>
  <c r="AI196" i="32"/>
  <c r="AI195" i="32"/>
  <c r="AI194" i="32"/>
  <c r="AI193" i="32"/>
  <c r="AI192" i="32"/>
  <c r="AI191" i="32"/>
  <c r="AI190" i="32"/>
  <c r="AI189" i="32"/>
  <c r="AI188" i="32"/>
  <c r="AI187" i="32"/>
  <c r="AI186" i="32"/>
  <c r="AI185" i="32"/>
  <c r="AI184" i="32"/>
  <c r="AI183" i="32"/>
  <c r="AI182" i="32"/>
  <c r="AI181" i="32"/>
  <c r="AI180" i="32"/>
  <c r="AI179" i="32"/>
  <c r="AI178" i="32"/>
  <c r="AI177" i="32"/>
  <c r="AI176" i="32"/>
  <c r="AI175" i="32"/>
  <c r="AI174" i="32"/>
  <c r="AI173" i="32"/>
  <c r="AI172" i="32"/>
  <c r="AI171" i="32"/>
  <c r="AI170" i="32"/>
  <c r="AI169" i="32"/>
  <c r="AI168" i="32"/>
  <c r="AI167" i="32"/>
  <c r="AI166" i="32"/>
  <c r="AI165" i="32"/>
  <c r="AI164" i="32"/>
  <c r="AI163" i="32"/>
  <c r="AI162" i="32"/>
  <c r="AI161" i="32"/>
  <c r="AI160" i="32"/>
  <c r="AI159" i="32"/>
  <c r="AI158" i="32"/>
  <c r="AI157" i="32"/>
  <c r="AI156" i="32"/>
  <c r="AI155" i="32"/>
  <c r="AI154" i="32"/>
  <c r="AI153" i="32"/>
  <c r="AI152" i="32"/>
  <c r="AI151" i="32"/>
  <c r="AI150" i="32"/>
  <c r="AI149" i="32"/>
  <c r="AI148" i="32"/>
  <c r="AI147" i="32"/>
  <c r="AI146" i="32"/>
  <c r="AI145" i="32"/>
  <c r="AI144" i="32"/>
  <c r="AI143" i="32"/>
  <c r="AI142" i="32"/>
  <c r="AI141" i="32"/>
  <c r="AI140" i="32"/>
  <c r="AI139" i="32"/>
  <c r="AI138" i="32"/>
  <c r="AI137" i="32"/>
  <c r="AI136" i="32"/>
  <c r="AI135" i="32"/>
  <c r="AI134" i="32"/>
  <c r="AI133" i="32"/>
  <c r="AI132" i="32"/>
  <c r="AI131" i="32"/>
  <c r="AI130" i="32"/>
  <c r="AI129" i="32"/>
  <c r="AI128" i="32"/>
  <c r="AI127" i="32"/>
  <c r="AI126" i="32"/>
  <c r="AI125" i="32"/>
  <c r="AI124" i="32"/>
  <c r="AI123" i="32"/>
  <c r="AI122" i="32"/>
  <c r="AI121" i="32"/>
  <c r="AI120" i="32"/>
  <c r="AI119" i="32"/>
  <c r="AI118" i="32"/>
  <c r="AI117" i="32"/>
  <c r="AI116" i="32"/>
  <c r="AI115" i="32"/>
  <c r="AI114" i="32"/>
  <c r="AI113" i="32"/>
  <c r="AI112" i="32"/>
  <c r="AI111" i="32"/>
  <c r="AI110" i="32"/>
  <c r="AI109" i="32"/>
  <c r="AI108" i="32"/>
  <c r="AI107" i="32"/>
  <c r="AI106" i="32"/>
  <c r="AI105" i="32"/>
  <c r="AI104" i="32"/>
  <c r="AI103" i="32"/>
  <c r="AI102" i="32"/>
  <c r="AI101" i="32"/>
  <c r="AI100" i="32"/>
  <c r="AI99" i="32"/>
  <c r="AI98" i="32"/>
  <c r="AI97" i="32"/>
  <c r="AI96" i="32"/>
  <c r="AI95" i="32"/>
  <c r="AI94" i="32"/>
  <c r="AI93" i="32"/>
  <c r="AI92" i="32"/>
  <c r="AI91" i="32"/>
  <c r="AI90" i="32"/>
  <c r="AI89" i="32"/>
  <c r="AI88" i="32"/>
  <c r="AI87" i="32"/>
  <c r="AI86" i="32"/>
  <c r="AI85" i="32"/>
  <c r="AI84" i="32"/>
  <c r="AI83" i="32"/>
  <c r="AI82" i="32"/>
  <c r="AI81" i="32"/>
  <c r="AI80" i="32"/>
  <c r="AI79" i="32"/>
  <c r="AI78" i="32"/>
  <c r="AI77" i="32"/>
  <c r="AI76" i="32"/>
  <c r="AI75" i="32"/>
  <c r="AI74" i="32"/>
  <c r="AI73" i="32"/>
  <c r="AI72" i="32"/>
  <c r="AI71" i="32"/>
  <c r="AI70" i="32"/>
  <c r="AI69" i="32"/>
  <c r="AI68" i="32"/>
  <c r="AI67" i="32"/>
  <c r="AI66" i="32"/>
  <c r="AI65" i="32"/>
  <c r="AI64" i="32"/>
  <c r="AI63" i="32"/>
  <c r="AI62" i="32"/>
  <c r="AI61" i="32"/>
  <c r="AI60" i="32"/>
  <c r="AI59" i="32"/>
  <c r="AI58" i="32"/>
  <c r="AI57" i="32"/>
  <c r="AI56" i="32"/>
  <c r="AI55" i="32"/>
  <c r="AI54" i="32"/>
  <c r="AI53" i="32"/>
  <c r="AI52" i="32"/>
  <c r="AI51" i="32"/>
  <c r="AI50" i="32"/>
  <c r="AI49" i="32"/>
  <c r="AI48" i="32"/>
  <c r="AI47" i="32"/>
  <c r="AI46" i="32"/>
  <c r="AI45" i="32"/>
  <c r="AI44" i="32"/>
  <c r="AI43" i="32"/>
  <c r="AI42" i="32"/>
  <c r="AI41" i="32"/>
  <c r="AI40" i="32"/>
  <c r="AI39" i="32"/>
  <c r="AI38" i="32"/>
  <c r="AI37" i="32"/>
  <c r="AI36" i="32"/>
  <c r="AI35" i="32"/>
  <c r="AI34" i="32"/>
  <c r="AI33" i="32"/>
  <c r="AI32" i="32"/>
  <c r="AI31" i="32"/>
  <c r="AI30" i="32"/>
  <c r="AI29" i="32"/>
  <c r="AI28" i="32"/>
  <c r="AI27" i="32"/>
  <c r="AI26" i="32"/>
  <c r="AI25" i="32"/>
  <c r="AI24" i="32"/>
  <c r="AI23" i="32"/>
  <c r="AI22" i="32"/>
  <c r="AI21" i="32"/>
  <c r="AI20" i="32"/>
  <c r="AI19" i="32"/>
  <c r="AI18" i="32"/>
  <c r="AI17" i="32"/>
  <c r="AI16" i="32"/>
  <c r="AI15" i="32"/>
  <c r="AI14" i="32"/>
  <c r="AI13" i="32"/>
  <c r="AI12" i="32"/>
  <c r="AI11" i="32"/>
  <c r="AI10" i="32"/>
  <c r="AI9" i="32"/>
  <c r="AI8" i="32"/>
  <c r="AI7" i="32"/>
  <c r="AI6" i="32"/>
  <c r="AI5" i="32"/>
  <c r="AI4" i="32"/>
  <c r="AI3" i="32"/>
  <c r="AI2" i="32"/>
  <c r="AR6" i="28" l="1"/>
  <c r="F329" i="26" l="1"/>
  <c r="F328" i="26"/>
  <c r="F327" i="26"/>
  <c r="F326" i="26"/>
  <c r="F325" i="26"/>
  <c r="F324" i="26"/>
  <c r="F323" i="26"/>
  <c r="F322" i="26"/>
  <c r="F321" i="26"/>
  <c r="F320" i="26"/>
  <c r="F319" i="26"/>
  <c r="F317" i="26"/>
  <c r="F316" i="26"/>
  <c r="F315" i="26"/>
  <c r="F313" i="26"/>
  <c r="F312" i="26"/>
  <c r="F311" i="26"/>
  <c r="F310" i="26"/>
  <c r="F309" i="26"/>
  <c r="F308" i="26"/>
  <c r="F307" i="26"/>
  <c r="F306" i="26"/>
  <c r="F305" i="26"/>
  <c r="F304" i="26"/>
  <c r="F303" i="26"/>
  <c r="F302" i="26"/>
  <c r="F301" i="26"/>
  <c r="F300" i="26"/>
  <c r="F299" i="26"/>
  <c r="F298" i="26"/>
  <c r="F297" i="26"/>
  <c r="F296" i="26"/>
  <c r="F295" i="26"/>
  <c r="F294" i="26"/>
  <c r="F293" i="26"/>
  <c r="F292" i="26"/>
  <c r="F291" i="26"/>
  <c r="F290" i="26"/>
  <c r="F289" i="26"/>
  <c r="F288" i="26"/>
  <c r="F287" i="26"/>
  <c r="F286" i="26"/>
  <c r="F285" i="26"/>
  <c r="F284" i="26"/>
  <c r="F283" i="26"/>
  <c r="F282" i="26"/>
  <c r="F281" i="26"/>
  <c r="F280" i="26"/>
  <c r="F279" i="26"/>
  <c r="F278" i="26"/>
  <c r="F277" i="26"/>
  <c r="F276" i="26"/>
  <c r="F275" i="26"/>
  <c r="F274" i="26"/>
  <c r="F273" i="26"/>
  <c r="F272" i="26"/>
  <c r="F271" i="26"/>
  <c r="F270" i="26"/>
  <c r="F269" i="26"/>
  <c r="F268" i="26"/>
  <c r="F267" i="26"/>
  <c r="F266" i="26"/>
  <c r="F265" i="26"/>
  <c r="F264" i="26"/>
  <c r="F263" i="26"/>
  <c r="F262" i="26"/>
  <c r="F261" i="26"/>
  <c r="F260" i="26"/>
  <c r="F259" i="26"/>
  <c r="F258" i="26"/>
  <c r="F257" i="26"/>
  <c r="F256" i="26"/>
  <c r="F255" i="26"/>
  <c r="F254" i="26"/>
  <c r="F253" i="26"/>
  <c r="F252" i="26"/>
  <c r="F251" i="26"/>
  <c r="F250" i="26"/>
  <c r="F249" i="26"/>
  <c r="F248" i="26"/>
  <c r="F247" i="26"/>
  <c r="F246" i="26"/>
  <c r="F245" i="26"/>
  <c r="F244" i="26"/>
  <c r="F243" i="26"/>
  <c r="F242" i="26"/>
  <c r="F241" i="26"/>
  <c r="F240" i="26"/>
  <c r="F239" i="26"/>
  <c r="F238" i="26"/>
  <c r="F237" i="26"/>
  <c r="F236" i="26"/>
  <c r="F235" i="26"/>
  <c r="F234" i="26"/>
  <c r="F233" i="26"/>
  <c r="F232" i="26"/>
  <c r="F231" i="26"/>
  <c r="F230" i="26"/>
  <c r="F228" i="26"/>
  <c r="F227" i="26"/>
  <c r="F226" i="26"/>
  <c r="F224" i="26"/>
  <c r="F223" i="26"/>
  <c r="F222" i="26"/>
  <c r="F221" i="26"/>
  <c r="F220" i="26"/>
  <c r="F218" i="26"/>
  <c r="F217" i="26"/>
  <c r="F216" i="26"/>
  <c r="F215" i="26"/>
  <c r="F214" i="26"/>
  <c r="F213" i="26"/>
  <c r="F212" i="26"/>
  <c r="F211" i="26"/>
  <c r="F209" i="26"/>
  <c r="F208" i="26"/>
  <c r="F207" i="26"/>
  <c r="F206" i="26"/>
  <c r="F205" i="26"/>
  <c r="F204" i="26"/>
  <c r="F203" i="26"/>
  <c r="F202" i="26"/>
  <c r="F201" i="26"/>
  <c r="F200" i="26"/>
  <c r="F199" i="26"/>
  <c r="F198" i="26"/>
  <c r="F197" i="26"/>
  <c r="F196" i="26"/>
  <c r="F195" i="26"/>
  <c r="F194" i="26"/>
  <c r="F193" i="26"/>
  <c r="F192" i="26"/>
  <c r="F191" i="26"/>
  <c r="F190" i="26"/>
  <c r="F189" i="26"/>
  <c r="F188" i="26"/>
  <c r="F187" i="26"/>
  <c r="F186" i="26"/>
  <c r="F185" i="26"/>
  <c r="F184" i="26"/>
  <c r="F183" i="26"/>
  <c r="F182" i="26"/>
  <c r="F181" i="26"/>
  <c r="F180" i="26"/>
  <c r="F179" i="26"/>
  <c r="F178" i="26"/>
  <c r="F177" i="26"/>
  <c r="F176" i="26"/>
  <c r="F175" i="26"/>
  <c r="F174" i="26"/>
  <c r="F173" i="26"/>
  <c r="F172" i="26"/>
  <c r="F171" i="26"/>
  <c r="F170" i="26"/>
  <c r="F169" i="26"/>
  <c r="F168" i="26"/>
  <c r="F167" i="26"/>
  <c r="F166" i="26"/>
  <c r="F165" i="26"/>
  <c r="F164" i="26"/>
  <c r="F163" i="26"/>
  <c r="F162" i="26"/>
  <c r="F161" i="26"/>
  <c r="F160" i="26"/>
  <c r="F159" i="26"/>
  <c r="F158" i="26"/>
  <c r="F157" i="26"/>
  <c r="F156" i="26"/>
  <c r="F155" i="26"/>
  <c r="F154" i="26"/>
  <c r="F153" i="26"/>
  <c r="F152" i="26"/>
  <c r="F151" i="26"/>
  <c r="F150" i="26"/>
  <c r="F149" i="26"/>
  <c r="F148" i="26"/>
  <c r="F147" i="26"/>
  <c r="F146" i="26"/>
  <c r="F145" i="26"/>
  <c r="F144" i="26"/>
  <c r="F143" i="26"/>
  <c r="F141" i="26"/>
  <c r="F140" i="26"/>
  <c r="F139" i="26"/>
  <c r="F138" i="26"/>
  <c r="F137" i="26"/>
  <c r="F136" i="26"/>
  <c r="F135" i="26"/>
  <c r="F134" i="26"/>
  <c r="F133" i="26"/>
  <c r="F225" i="26"/>
  <c r="F132" i="26"/>
  <c r="F131" i="26"/>
  <c r="F130" i="26"/>
  <c r="F129" i="26"/>
  <c r="F128" i="26"/>
  <c r="F127" i="26"/>
  <c r="F126" i="26"/>
  <c r="F125" i="26"/>
  <c r="F124" i="26"/>
  <c r="F123" i="26"/>
  <c r="F122" i="26"/>
  <c r="F121" i="26"/>
  <c r="F120" i="26"/>
  <c r="F119" i="26"/>
  <c r="F118" i="26"/>
  <c r="F117" i="26"/>
  <c r="F116" i="26"/>
  <c r="F114" i="26"/>
  <c r="F112" i="26"/>
  <c r="F111" i="26"/>
  <c r="F110" i="26"/>
  <c r="F109" i="26"/>
  <c r="F108" i="26"/>
  <c r="F107" i="26"/>
  <c r="F106" i="26"/>
  <c r="F105" i="26"/>
  <c r="F229" i="26"/>
  <c r="F104" i="26"/>
  <c r="F103" i="26"/>
  <c r="F102" i="26"/>
  <c r="F101" i="26"/>
  <c r="F100" i="26"/>
  <c r="F99" i="26"/>
  <c r="F98" i="26"/>
  <c r="F97" i="26"/>
  <c r="F96" i="26"/>
  <c r="F95" i="26"/>
  <c r="F94" i="26"/>
  <c r="F93" i="26"/>
  <c r="F92" i="26"/>
  <c r="F91" i="26"/>
  <c r="F90" i="26"/>
  <c r="F89" i="26"/>
  <c r="F88" i="26"/>
  <c r="F87" i="26"/>
  <c r="F8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8" i="26"/>
  <c r="F27" i="26"/>
  <c r="F26" i="26"/>
  <c r="F25" i="26"/>
  <c r="F24" i="26"/>
  <c r="F23" i="26"/>
  <c r="F22" i="26"/>
  <c r="F21" i="26"/>
  <c r="F20" i="26"/>
  <c r="F19" i="26"/>
  <c r="F18" i="26"/>
  <c r="F17" i="26"/>
  <c r="F16" i="26"/>
  <c r="F15" i="26"/>
  <c r="F14" i="26"/>
  <c r="F13" i="26"/>
  <c r="F12" i="26"/>
  <c r="F11" i="26"/>
  <c r="F10" i="26"/>
  <c r="F9" i="26"/>
  <c r="F8" i="26"/>
  <c r="F7" i="26"/>
  <c r="F6" i="26"/>
  <c r="F5" i="26"/>
  <c r="F4" i="26"/>
  <c r="F3" i="26"/>
  <c r="F2" i="26"/>
  <c r="F1" i="26" l="1"/>
  <c r="G100" i="32"/>
  <c r="B5" i="25" l="1"/>
  <c r="M40" i="24" l="1"/>
  <c r="M54" i="24" s="1"/>
  <c r="L40" i="24"/>
  <c r="L54" i="24" s="1"/>
  <c r="M46" i="24"/>
  <c r="M55" i="24" s="1"/>
  <c r="L46" i="24"/>
  <c r="L55" i="24" s="1"/>
  <c r="M33" i="24"/>
  <c r="M53" i="24" s="1"/>
  <c r="L33" i="24"/>
  <c r="L53" i="24" s="1"/>
  <c r="M13" i="24"/>
  <c r="M52" i="24" s="1"/>
  <c r="L13" i="24"/>
  <c r="L52" i="24" s="1"/>
  <c r="M9" i="24"/>
  <c r="M51" i="24" s="1"/>
  <c r="L9" i="24"/>
  <c r="L51" i="24" s="1"/>
  <c r="N48" i="24"/>
  <c r="N47" i="24"/>
  <c r="N44" i="24"/>
  <c r="O44" i="24" s="1"/>
  <c r="N43" i="24"/>
  <c r="N42" i="24"/>
  <c r="N41" i="24"/>
  <c r="N35" i="24"/>
  <c r="N24" i="24"/>
  <c r="N23" i="24"/>
  <c r="N22" i="24"/>
  <c r="N21" i="24"/>
  <c r="N20" i="24"/>
  <c r="N19" i="24"/>
  <c r="N17" i="24"/>
  <c r="N15" i="24"/>
  <c r="N14" i="24"/>
  <c r="N10" i="24"/>
  <c r="N9" i="24" s="1"/>
  <c r="N51" i="24" s="1"/>
  <c r="N33" i="24" l="1"/>
  <c r="N40" i="24"/>
  <c r="N54" i="24" s="1"/>
  <c r="N13" i="24"/>
  <c r="N52" i="24" s="1"/>
  <c r="N46" i="24"/>
  <c r="N55" i="24" s="1"/>
  <c r="M56" i="24"/>
  <c r="L56" i="24"/>
  <c r="B15" i="24"/>
  <c r="O15" i="24" s="1"/>
  <c r="G247" i="32"/>
  <c r="G64" i="32"/>
  <c r="G327" i="32"/>
  <c r="G170" i="32"/>
  <c r="G295" i="32"/>
  <c r="G219" i="32"/>
  <c r="G265" i="32"/>
  <c r="G241" i="32"/>
  <c r="G72" i="32"/>
  <c r="G44" i="32"/>
  <c r="G96" i="32"/>
  <c r="G204" i="32"/>
  <c r="G42" i="32"/>
  <c r="G218" i="32"/>
  <c r="G284" i="32"/>
  <c r="G136" i="32"/>
  <c r="G143" i="32"/>
  <c r="G165" i="32"/>
  <c r="G176" i="32"/>
  <c r="G156" i="32"/>
  <c r="G145" i="32"/>
  <c r="G16" i="32"/>
  <c r="G91" i="32"/>
  <c r="G12" i="32"/>
  <c r="G215" i="32"/>
  <c r="G303" i="32"/>
  <c r="G46" i="32"/>
  <c r="G290" i="32"/>
  <c r="G43" i="32"/>
  <c r="G63" i="32"/>
  <c r="G301" i="32"/>
  <c r="G285" i="32"/>
  <c r="G239" i="32"/>
  <c r="G106" i="32"/>
  <c r="G227" i="32"/>
  <c r="G192" i="32"/>
  <c r="G294" i="32"/>
  <c r="G182" i="32"/>
  <c r="G328" i="32"/>
  <c r="G125" i="32"/>
  <c r="G183" i="32"/>
  <c r="G150" i="32"/>
  <c r="G45" i="32"/>
  <c r="G89" i="32"/>
  <c r="G277" i="32"/>
  <c r="G140" i="32"/>
  <c r="G47" i="32"/>
  <c r="G297" i="32"/>
  <c r="G310" i="32"/>
  <c r="G36" i="32"/>
  <c r="G195" i="32"/>
  <c r="G216" i="32"/>
  <c r="G142" i="32"/>
  <c r="G263" i="32"/>
  <c r="G237" i="32"/>
  <c r="G61" i="32"/>
  <c r="G312" i="32"/>
  <c r="G137" i="32"/>
  <c r="G65" i="32"/>
  <c r="G35" i="32"/>
  <c r="G95" i="32"/>
  <c r="G32" i="32"/>
  <c r="G153" i="32"/>
  <c r="G154" i="32"/>
  <c r="G175" i="32"/>
  <c r="G262" i="32"/>
  <c r="G266" i="32"/>
  <c r="G102" i="32"/>
  <c r="G58" i="32"/>
  <c r="G273" i="32"/>
  <c r="G135" i="32"/>
  <c r="G255" i="32"/>
  <c r="G159" i="32"/>
  <c r="G117" i="32"/>
  <c r="G151" i="32"/>
  <c r="G6" i="32"/>
  <c r="G69" i="32"/>
  <c r="G169" i="32"/>
  <c r="G133" i="32"/>
  <c r="G87" i="32"/>
  <c r="G272" i="32"/>
  <c r="G158" i="32"/>
  <c r="G253" i="32"/>
  <c r="G167" i="32"/>
  <c r="G49" i="32"/>
  <c r="G130" i="32"/>
  <c r="G5" i="32"/>
  <c r="G246" i="32"/>
  <c r="G22" i="32"/>
  <c r="G48" i="32"/>
  <c r="G243" i="32"/>
  <c r="G141" i="32"/>
  <c r="G196" i="32"/>
  <c r="G275" i="32"/>
  <c r="G113" i="32"/>
  <c r="G92" i="32"/>
  <c r="G316" i="32"/>
  <c r="G68" i="32"/>
  <c r="G14" i="32"/>
  <c r="G94" i="32"/>
  <c r="G209" i="32"/>
  <c r="G41" i="32"/>
  <c r="G201" i="32"/>
  <c r="G62" i="32"/>
  <c r="G278" i="32"/>
  <c r="G296" i="32"/>
  <c r="G25" i="32"/>
  <c r="G281" i="32"/>
  <c r="G220" i="32"/>
  <c r="G270" i="32"/>
  <c r="G248" i="32"/>
  <c r="G56" i="32"/>
  <c r="G174" i="32"/>
  <c r="G181" i="32"/>
  <c r="G320" i="32"/>
  <c r="G172" i="32"/>
  <c r="G258" i="32"/>
  <c r="G230" i="32"/>
  <c r="G188" i="32"/>
  <c r="G200" i="32"/>
  <c r="G288" i="32"/>
  <c r="G157" i="32"/>
  <c r="G206" i="32"/>
  <c r="G19" i="32"/>
  <c r="G191" i="32"/>
  <c r="G193" i="32"/>
  <c r="G173" i="32"/>
  <c r="G111" i="32"/>
  <c r="G180" i="32"/>
  <c r="G211" i="32"/>
  <c r="G149" i="32"/>
  <c r="G251" i="32"/>
  <c r="G103" i="32"/>
  <c r="G261" i="32"/>
  <c r="G59" i="32"/>
  <c r="G107" i="32"/>
  <c r="G319" i="32"/>
  <c r="G190" i="32"/>
  <c r="G54" i="32"/>
  <c r="G4" i="32"/>
  <c r="G231" i="32"/>
  <c r="G264" i="32"/>
  <c r="G33" i="32"/>
  <c r="G315" i="32"/>
  <c r="G34" i="32"/>
  <c r="G208" i="32"/>
  <c r="G194" i="32"/>
  <c r="G287" i="32"/>
  <c r="G17" i="32"/>
  <c r="G322" i="32"/>
  <c r="G3" i="32"/>
  <c r="G161" i="32"/>
  <c r="G163" i="32"/>
  <c r="G171" i="32"/>
  <c r="G144" i="32"/>
  <c r="G317" i="32"/>
  <c r="G98" i="32"/>
  <c r="G128" i="32"/>
  <c r="G97" i="32"/>
  <c r="G30" i="32"/>
  <c r="G324" i="32"/>
  <c r="G40" i="32"/>
  <c r="G127" i="32"/>
  <c r="G70" i="32"/>
  <c r="G286" i="32"/>
  <c r="G67" i="32"/>
  <c r="G29" i="32"/>
  <c r="G259" i="32"/>
  <c r="G31" i="32"/>
  <c r="G179" i="32"/>
  <c r="G9" i="32"/>
  <c r="G18" i="32"/>
  <c r="G115" i="32"/>
  <c r="G114" i="32"/>
  <c r="G228" i="32"/>
  <c r="G274" i="32"/>
  <c r="G276" i="32"/>
  <c r="G184" i="32"/>
  <c r="G124" i="32"/>
  <c r="G134" i="32"/>
  <c r="G252" i="32"/>
  <c r="G118" i="32"/>
  <c r="G256" i="32"/>
  <c r="G283" i="32"/>
  <c r="G8" i="32"/>
  <c r="G238" i="32"/>
  <c r="G293" i="32"/>
  <c r="G11" i="32"/>
  <c r="G254" i="32"/>
  <c r="G232" i="32"/>
  <c r="G299" i="32"/>
  <c r="G109" i="32"/>
  <c r="G155" i="32"/>
  <c r="G74" i="32"/>
  <c r="G90" i="32"/>
  <c r="G245" i="32"/>
  <c r="G214" i="32"/>
  <c r="G38" i="32"/>
  <c r="G222" i="32"/>
  <c r="G21" i="32"/>
  <c r="G221" i="32"/>
  <c r="G260" i="32"/>
  <c r="G52" i="32"/>
  <c r="G185" i="32"/>
  <c r="G187" i="32"/>
  <c r="G189" i="32"/>
  <c r="G323" i="32"/>
  <c r="G244" i="32"/>
  <c r="G50" i="32"/>
  <c r="G225" i="32"/>
  <c r="G282" i="32"/>
  <c r="G71" i="32"/>
  <c r="G160" i="32"/>
  <c r="G152" i="32"/>
  <c r="G177" i="32"/>
  <c r="G112" i="32"/>
  <c r="G2" i="32"/>
  <c r="G99" i="32"/>
  <c r="G321" i="32"/>
  <c r="G75" i="32"/>
  <c r="G162" i="32"/>
  <c r="G242" i="32"/>
  <c r="G257" i="32"/>
  <c r="G51" i="32"/>
  <c r="G306" i="32"/>
  <c r="G226" i="32"/>
  <c r="G302" i="32"/>
  <c r="G212" i="32"/>
  <c r="G119" i="32"/>
  <c r="G178" i="32"/>
  <c r="G205" i="32"/>
  <c r="G233" i="32"/>
  <c r="G116" i="32"/>
  <c r="G198" i="32"/>
  <c r="G55" i="32"/>
  <c r="G121" i="32"/>
  <c r="G309" i="32"/>
  <c r="G147" i="32"/>
  <c r="G66" i="32"/>
  <c r="G203" i="32"/>
  <c r="G20" i="32"/>
  <c r="G199" i="32"/>
  <c r="G122" i="32"/>
  <c r="G325" i="32"/>
  <c r="G120" i="32"/>
  <c r="G28" i="32"/>
  <c r="G291" i="32"/>
  <c r="G139" i="32"/>
  <c r="G60" i="32"/>
  <c r="G235" i="32"/>
  <c r="G10" i="32"/>
  <c r="G23" i="32"/>
  <c r="G88" i="32"/>
  <c r="G307" i="32"/>
  <c r="G105" i="32"/>
  <c r="G129" i="32"/>
  <c r="G110" i="32"/>
  <c r="G298" i="32"/>
  <c r="G223" i="32"/>
  <c r="G224" i="32"/>
  <c r="G24" i="32"/>
  <c r="G249" i="32"/>
  <c r="G53" i="32"/>
  <c r="G213" i="32"/>
  <c r="G311" i="32"/>
  <c r="G26" i="32"/>
  <c r="G27" i="32"/>
  <c r="G132" i="32"/>
  <c r="G73" i="32"/>
  <c r="G148" i="32"/>
  <c r="G234" i="32"/>
  <c r="G217" i="32"/>
  <c r="G93" i="32"/>
  <c r="G126" i="32"/>
  <c r="G207" i="32"/>
  <c r="G123" i="32"/>
  <c r="G7" i="32"/>
  <c r="G39" i="32"/>
  <c r="G236" i="32"/>
  <c r="G138" i="32"/>
  <c r="G202" i="32"/>
  <c r="G308" i="32"/>
  <c r="C45" i="4"/>
  <c r="C48" i="4" s="1"/>
  <c r="C147" i="4" s="1"/>
  <c r="B7" i="9"/>
  <c r="B28" i="38"/>
  <c r="B48" i="24" s="1"/>
  <c r="O48" i="24" s="1"/>
  <c r="B21" i="38"/>
  <c r="B19" i="38"/>
  <c r="B14" i="38"/>
  <c r="B12" i="38"/>
  <c r="B9" i="38"/>
  <c r="B10" i="38" s="1"/>
  <c r="B5" i="19"/>
  <c r="O37" i="24" s="1"/>
  <c r="C45" i="33"/>
  <c r="E19" i="24"/>
  <c r="C37" i="33"/>
  <c r="C16" i="33"/>
  <c r="B24" i="31"/>
  <c r="C17" i="31" s="1"/>
  <c r="D17" i="31" s="1"/>
  <c r="D13" i="31"/>
  <c r="F22" i="24"/>
  <c r="E22" i="24"/>
  <c r="D22" i="24"/>
  <c r="B22" i="24"/>
  <c r="O22" i="24" s="1"/>
  <c r="E8" i="8"/>
  <c r="F24" i="24" s="1"/>
  <c r="D8" i="8"/>
  <c r="E24" i="24" s="1"/>
  <c r="C8" i="8"/>
  <c r="C24" i="24" s="1"/>
  <c r="B8" i="8"/>
  <c r="B24" i="24" s="1"/>
  <c r="O24" i="24" s="1"/>
  <c r="B7" i="7"/>
  <c r="B23" i="24" s="1"/>
  <c r="O23" i="24" s="1"/>
  <c r="B43" i="24"/>
  <c r="O43" i="24" s="1"/>
  <c r="B5" i="21"/>
  <c r="B42" i="24" s="1"/>
  <c r="O42" i="24" s="1"/>
  <c r="B6" i="20"/>
  <c r="B41" i="24" s="1"/>
  <c r="O41" i="24" s="1"/>
  <c r="G11" i="24"/>
  <c r="G9" i="24" s="1"/>
  <c r="G6" i="18"/>
  <c r="F35" i="24" s="1"/>
  <c r="F33" i="24" s="1"/>
  <c r="F6" i="18"/>
  <c r="G35" i="24" s="1"/>
  <c r="G33" i="24" s="1"/>
  <c r="G53" i="24" s="1"/>
  <c r="E6" i="18"/>
  <c r="D6" i="18"/>
  <c r="C6" i="18"/>
  <c r="E35" i="24" s="1"/>
  <c r="B6" i="18"/>
  <c r="B35" i="24" s="1"/>
  <c r="O35" i="24" s="1"/>
  <c r="C9" i="17"/>
  <c r="C11" i="17" s="1"/>
  <c r="E31" i="24" s="1"/>
  <c r="C9" i="16"/>
  <c r="C11" i="16" s="1"/>
  <c r="E30" i="24" s="1"/>
  <c r="C9" i="15"/>
  <c r="C11" i="15" s="1"/>
  <c r="E29" i="24" s="1"/>
  <c r="C9" i="14"/>
  <c r="C11" i="14" s="1"/>
  <c r="E28" i="24" s="1"/>
  <c r="C9" i="13"/>
  <c r="C11" i="13"/>
  <c r="E27" i="24" s="1"/>
  <c r="C9" i="12"/>
  <c r="C11" i="12" s="1"/>
  <c r="E26" i="24" s="1"/>
  <c r="C9" i="11"/>
  <c r="C11" i="11" s="1"/>
  <c r="E34" i="24" s="1"/>
  <c r="C9" i="10"/>
  <c r="C11" i="10" s="1"/>
  <c r="E25" i="24" s="1"/>
  <c r="D6" i="5"/>
  <c r="F21" i="24" s="1"/>
  <c r="C6" i="5"/>
  <c r="E21" i="24" s="1"/>
  <c r="B6" i="5"/>
  <c r="B21" i="24" s="1"/>
  <c r="O21" i="24" s="1"/>
  <c r="G5" i="2"/>
  <c r="G14" i="24" s="1"/>
  <c r="G13" i="24" s="1"/>
  <c r="G52" i="24" s="1"/>
  <c r="F5" i="2"/>
  <c r="E5" i="2"/>
  <c r="C14" i="24"/>
  <c r="D5" i="2"/>
  <c r="C5" i="2"/>
  <c r="E14" i="24" s="1"/>
  <c r="B5" i="2"/>
  <c r="B14" i="24" s="1"/>
  <c r="O14" i="24" s="1"/>
  <c r="B16" i="1"/>
  <c r="C10" i="24"/>
  <c r="C9" i="24" s="1"/>
  <c r="C51" i="24" s="1"/>
  <c r="B9" i="1"/>
  <c r="B10" i="24" s="1"/>
  <c r="O10" i="24" s="1"/>
  <c r="C7" i="3"/>
  <c r="C14" i="3" s="1"/>
  <c r="E9" i="24"/>
  <c r="E51" i="24" s="1"/>
  <c r="D9" i="24"/>
  <c r="D51" i="24" s="1"/>
  <c r="F9" i="24"/>
  <c r="F51" i="24" s="1"/>
  <c r="E7" i="24"/>
  <c r="D7" i="24"/>
  <c r="D21" i="24" s="1"/>
  <c r="D13" i="24" s="1"/>
  <c r="D52" i="24" s="1"/>
  <c r="C7" i="24"/>
  <c r="F7" i="24"/>
  <c r="G7" i="24"/>
  <c r="B7" i="24"/>
  <c r="D53" i="24"/>
  <c r="C53" i="24"/>
  <c r="B9" i="24" l="1"/>
  <c r="O9" i="24" s="1"/>
  <c r="E33" i="24"/>
  <c r="E53" i="24" s="1"/>
  <c r="E13" i="24"/>
  <c r="E52" i="24" s="1"/>
  <c r="C16" i="24"/>
  <c r="C13" i="24" s="1"/>
  <c r="C52" i="24" s="1"/>
  <c r="C54" i="24" s="1"/>
  <c r="C22" i="31"/>
  <c r="D22" i="31" s="1"/>
  <c r="C20" i="31"/>
  <c r="D20" i="31" s="1"/>
  <c r="C19" i="31"/>
  <c r="D19" i="31" s="1"/>
  <c r="C16" i="31"/>
  <c r="D16" i="31" s="1"/>
  <c r="C18" i="31"/>
  <c r="D18" i="31" s="1"/>
  <c r="C23" i="31"/>
  <c r="D23" i="31" s="1"/>
  <c r="C38" i="33"/>
  <c r="C39" i="33" s="1"/>
  <c r="B19" i="24" s="1"/>
  <c r="O19" i="24" s="1"/>
  <c r="F53" i="24"/>
  <c r="F16" i="24"/>
  <c r="F13" i="24" s="1"/>
  <c r="G51" i="24"/>
  <c r="G54" i="24" s="1"/>
  <c r="G44" i="24"/>
  <c r="G40" i="24" s="1"/>
  <c r="G47" i="24"/>
  <c r="D54" i="24"/>
  <c r="B33" i="24"/>
  <c r="B53" i="24" s="1"/>
  <c r="D55" i="24"/>
  <c r="N53" i="24"/>
  <c r="N56" i="24" s="1"/>
  <c r="D47" i="24"/>
  <c r="F1" i="4"/>
  <c r="F1" i="31"/>
  <c r="D27" i="31" l="1"/>
  <c r="D28" i="31" s="1"/>
  <c r="F10" i="31"/>
  <c r="F44" i="31" s="1"/>
  <c r="B51" i="24"/>
  <c r="O51" i="24" s="1"/>
  <c r="E55" i="24"/>
  <c r="E54" i="24"/>
  <c r="E56" i="24" s="1"/>
  <c r="E44" i="24"/>
  <c r="E40" i="24" s="1"/>
  <c r="E47" i="24"/>
  <c r="I56" i="4"/>
  <c r="H56" i="4"/>
  <c r="I66" i="4"/>
  <c r="H66" i="4"/>
  <c r="B7" i="4"/>
  <c r="G63" i="4"/>
  <c r="G61" i="4"/>
  <c r="G62" i="4"/>
  <c r="G53" i="4"/>
  <c r="G51" i="4"/>
  <c r="G52" i="4"/>
  <c r="B35" i="31"/>
  <c r="A35" i="31" s="1"/>
  <c r="B34" i="31"/>
  <c r="B6" i="4"/>
  <c r="B86" i="4" s="1"/>
  <c r="C86" i="4" s="1"/>
  <c r="B5" i="4"/>
  <c r="B123" i="4" s="1"/>
  <c r="C123" i="4" s="1"/>
  <c r="C129" i="4"/>
  <c r="C11" i="4"/>
  <c r="C12" i="4"/>
  <c r="C139" i="4"/>
  <c r="C141" i="4" s="1"/>
  <c r="C168" i="4" s="1"/>
  <c r="B110" i="4"/>
  <c r="C110" i="4" s="1"/>
  <c r="C96" i="4"/>
  <c r="C72" i="4"/>
  <c r="C61" i="4"/>
  <c r="B38" i="4"/>
  <c r="C38" i="4" s="1"/>
  <c r="C128" i="4"/>
  <c r="C34" i="4"/>
  <c r="C121" i="4"/>
  <c r="C105" i="4"/>
  <c r="C82" i="4"/>
  <c r="C53" i="4"/>
  <c r="C33" i="4"/>
  <c r="C115" i="4"/>
  <c r="B100" i="4"/>
  <c r="C100" i="4" s="1"/>
  <c r="C81" i="4"/>
  <c r="C63" i="4"/>
  <c r="C51" i="4"/>
  <c r="C106" i="4"/>
  <c r="C95" i="4"/>
  <c r="C71" i="4"/>
  <c r="C19" i="4"/>
  <c r="C20" i="4"/>
  <c r="B24" i="4"/>
  <c r="C55" i="24"/>
  <c r="C56" i="24" s="1"/>
  <c r="D56" i="24"/>
  <c r="O53" i="24"/>
  <c r="D24" i="31"/>
  <c r="C47" i="24"/>
  <c r="G55" i="24"/>
  <c r="G56" i="24" s="1"/>
  <c r="O33" i="24"/>
  <c r="F47" i="24"/>
  <c r="F52" i="24"/>
  <c r="B4" i="31"/>
  <c r="A4" i="31"/>
  <c r="F45" i="31" l="1"/>
  <c r="J44" i="31"/>
  <c r="G55" i="4"/>
  <c r="C64" i="4"/>
  <c r="C149" i="4" s="1"/>
  <c r="D161" i="4" s="1"/>
  <c r="G65" i="4"/>
  <c r="A34" i="31"/>
  <c r="G54" i="4"/>
  <c r="G64" i="4"/>
  <c r="B37" i="31"/>
  <c r="A37" i="31" s="1"/>
  <c r="B36" i="31"/>
  <c r="A36" i="31" s="1"/>
  <c r="D29" i="31"/>
  <c r="B40" i="31" s="1"/>
  <c r="C13" i="4"/>
  <c r="C16" i="4" s="1"/>
  <c r="C144" i="4" s="1"/>
  <c r="F55" i="24"/>
  <c r="F54" i="24"/>
  <c r="C83" i="4"/>
  <c r="C87" i="4" s="1"/>
  <c r="B76" i="4"/>
  <c r="C76" i="4" s="1"/>
  <c r="C136" i="4"/>
  <c r="C54" i="4"/>
  <c r="C148" i="4" s="1"/>
  <c r="D160" i="4" s="1"/>
  <c r="C124" i="4"/>
  <c r="C166" i="4" s="1"/>
  <c r="B25" i="4"/>
  <c r="B26" i="4" s="1"/>
  <c r="C28" i="4" s="1"/>
  <c r="B131" i="4"/>
  <c r="C131" i="4" s="1"/>
  <c r="B117" i="4"/>
  <c r="C117" i="4" s="1"/>
  <c r="C118" i="4" s="1"/>
  <c r="C165" i="4" s="1"/>
  <c r="C107" i="4"/>
  <c r="C111" i="4" s="1"/>
  <c r="C153" i="4" s="1"/>
  <c r="C97" i="4"/>
  <c r="C101" i="4" s="1"/>
  <c r="C35" i="4"/>
  <c r="C39" i="4" s="1"/>
  <c r="C146" i="4" s="1"/>
  <c r="C21" i="4"/>
  <c r="C73" i="4"/>
  <c r="A39" i="31" l="1"/>
  <c r="G56" i="4"/>
  <c r="C56" i="4" s="1"/>
  <c r="G66" i="4"/>
  <c r="C66" i="4" s="1"/>
  <c r="D31" i="31"/>
  <c r="B38" i="31" s="1"/>
  <c r="A38" i="31" s="1"/>
  <c r="F56" i="24"/>
  <c r="C133" i="4"/>
  <c r="C88" i="4"/>
  <c r="C151" i="4"/>
  <c r="F162" i="4" s="1"/>
  <c r="C65" i="4"/>
  <c r="C77" i="4"/>
  <c r="C150" i="4" s="1"/>
  <c r="D162" i="4" s="1"/>
  <c r="C55" i="4"/>
  <c r="C29" i="4"/>
  <c r="C145" i="4" s="1"/>
  <c r="D158" i="4" s="1"/>
  <c r="C152" i="4"/>
  <c r="D163" i="4" s="1"/>
  <c r="C102" i="4"/>
  <c r="C163" i="4" s="1"/>
  <c r="C40" i="4"/>
  <c r="C159" i="4" s="1"/>
  <c r="C112" i="4"/>
  <c r="C164" i="4" s="1"/>
  <c r="C57" i="4" l="1"/>
  <c r="C58" i="4" s="1"/>
  <c r="C67" i="4"/>
  <c r="C161" i="4" s="1"/>
  <c r="C134" i="4"/>
  <c r="C135" i="4" s="1"/>
  <c r="B39" i="31"/>
  <c r="B20" i="24" s="1"/>
  <c r="C154" i="4"/>
  <c r="C90" i="4"/>
  <c r="C78" i="4"/>
  <c r="C91" i="4" s="1"/>
  <c r="C162" i="4" s="1"/>
  <c r="C30" i="4"/>
  <c r="C158" i="4" s="1"/>
  <c r="C160" i="4" l="1"/>
  <c r="C39" i="31"/>
  <c r="O20" i="24"/>
  <c r="C68" i="4"/>
  <c r="C169" i="4"/>
  <c r="C171" i="4" s="1"/>
  <c r="B17" i="24" s="1"/>
  <c r="O17" i="24" s="1"/>
  <c r="B41" i="31"/>
  <c r="A42" i="31"/>
  <c r="A41" i="31"/>
  <c r="C42" i="31"/>
  <c r="C167" i="4"/>
  <c r="C173" i="4" l="1"/>
  <c r="B13" i="24"/>
  <c r="O13" i="24" s="1"/>
  <c r="B40" i="24" l="1"/>
  <c r="B47" i="24" s="1"/>
  <c r="B46" i="24" s="1"/>
  <c r="O46" i="24" s="1"/>
  <c r="B52" i="24"/>
  <c r="O52" i="24" s="1"/>
  <c r="O47" i="24" l="1"/>
  <c r="O40" i="24"/>
  <c r="B54" i="24"/>
  <c r="O54" i="24" s="1"/>
  <c r="B55" i="24" l="1"/>
  <c r="O55" i="24" s="1"/>
  <c r="B56" i="24" l="1"/>
  <c r="O5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Stone</author>
    <author>Daniel Lunghofer</author>
  </authors>
  <commentList>
    <comment ref="B5" authorId="0" shapeId="0" xr:uid="{00000000-0006-0000-0200-000001000000}">
      <text>
        <r>
          <rPr>
            <b/>
            <sz val="9"/>
            <color indexed="81"/>
            <rFont val="Tahoma"/>
            <family val="2"/>
          </rPr>
          <t>Paul Stone:</t>
        </r>
        <r>
          <rPr>
            <sz val="9"/>
            <color indexed="81"/>
            <rFont val="Tahoma"/>
            <family val="2"/>
          </rPr>
          <t xml:space="preserve">
Manually enter values in the yellow cells. See Instructions.</t>
        </r>
      </text>
    </comment>
    <comment ref="B40" authorId="1" shapeId="0" xr:uid="{00000000-0006-0000-0200-000002000000}">
      <text>
        <r>
          <rPr>
            <b/>
            <sz val="9"/>
            <color indexed="81"/>
            <rFont val="Tahoma"/>
            <family val="2"/>
          </rPr>
          <t>OSPI/SAFS:</t>
        </r>
        <r>
          <rPr>
            <sz val="9"/>
            <color indexed="81"/>
            <rFont val="Tahoma"/>
            <family val="2"/>
          </rPr>
          <t xml:space="preserve">
Amounts that are Assigned cannot reduce Unassigned Fund Balance to below zero. If amounts are Assigned but there is insufficient Fund Balance to cover them, the amount of the Assignment will be reduced accordingly.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Sando</author>
  </authors>
  <commentList>
    <comment ref="D209" authorId="0" shapeId="0" xr:uid="{9C8561F0-E2C6-42FF-A3FF-C136DE1584D3}">
      <text>
        <r>
          <rPr>
            <b/>
            <sz val="9"/>
            <color indexed="81"/>
            <rFont val="Tahoma"/>
            <family val="2"/>
          </rPr>
          <t>Mike Sando:</t>
        </r>
        <r>
          <rPr>
            <sz val="9"/>
            <color indexed="81"/>
            <rFont val="Tahoma"/>
            <family val="2"/>
          </rPr>
          <t xml:space="preserve">
Changed to 0% from the calculated -0.57</t>
        </r>
      </text>
    </comment>
    <comment ref="D233" authorId="0" shapeId="0" xr:uid="{9F192B6F-D995-46EA-86E6-A240DFDB86C8}">
      <text>
        <r>
          <rPr>
            <b/>
            <sz val="9"/>
            <color indexed="81"/>
            <rFont val="Tahoma"/>
            <charset val="1"/>
          </rPr>
          <t>Mike Sando:</t>
        </r>
        <r>
          <rPr>
            <sz val="9"/>
            <color indexed="81"/>
            <rFont val="Tahoma"/>
            <charset val="1"/>
          </rPr>
          <t xml:space="preserve">
Changed to 0% from the calculated -9.05%</t>
        </r>
      </text>
    </comment>
    <comment ref="D272" authorId="0" shapeId="0" xr:uid="{38112FF5-6DD1-4485-80D4-358083C82EE0}">
      <text>
        <r>
          <rPr>
            <b/>
            <sz val="9"/>
            <color indexed="81"/>
            <rFont val="Tahoma"/>
            <family val="2"/>
          </rPr>
          <t>Mike Sando:</t>
        </r>
        <r>
          <rPr>
            <sz val="9"/>
            <color indexed="81"/>
            <rFont val="Tahoma"/>
            <family val="2"/>
          </rPr>
          <t xml:space="preserve">
Changed to 0% form the calculated -3.18%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C1" authorId="0" shapeId="0" xr:uid="{52579041-63EF-46FF-BC76-6B4A40C9B420}">
      <text>
        <r>
          <rPr>
            <b/>
            <sz val="9"/>
            <color indexed="81"/>
            <rFont val="Tahoma"/>
            <family val="2"/>
          </rPr>
          <t>Paul Stone: To Do - Once the 1800 sum report is completed for 18-19, move the 18-19 figures here.</t>
        </r>
        <r>
          <rPr>
            <sz val="9"/>
            <color indexed="81"/>
            <rFont val="Tahoma"/>
            <family val="2"/>
          </rPr>
          <t xml:space="preserve">
</t>
        </r>
      </text>
    </comment>
    <comment ref="D1" authorId="0" shapeId="0" xr:uid="{C27862FD-FCD8-4930-A2CD-5B0F65510F7D}">
      <text>
        <r>
          <rPr>
            <b/>
            <sz val="9"/>
            <color indexed="81"/>
            <rFont val="Tahoma"/>
            <family val="2"/>
          </rPr>
          <t>Paul Stone: To Do - Once the 1800 sum report is completed for 19-20, move the 19-20 figures here.</t>
        </r>
        <r>
          <rPr>
            <sz val="9"/>
            <color indexed="81"/>
            <rFont val="Tahoma"/>
            <family val="2"/>
          </rPr>
          <t xml:space="preserve">
</t>
        </r>
      </text>
    </comment>
    <comment ref="E1" authorId="0" shapeId="0" xr:uid="{37144645-6497-4F04-AEDF-D95E930213A1}">
      <text>
        <r>
          <rPr>
            <b/>
            <sz val="9"/>
            <color indexed="81"/>
            <rFont val="Tahoma"/>
            <family val="2"/>
          </rPr>
          <t>Paul Stone: To Do - Once the 1800 sum report is completed for 19-20, move the 19-20 figures here.</t>
        </r>
        <r>
          <rPr>
            <sz val="9"/>
            <color indexed="81"/>
            <rFont val="Tahoma"/>
            <family val="2"/>
          </rPr>
          <t xml:space="preserve">
</t>
        </r>
      </text>
    </comment>
    <comment ref="F1" authorId="0" shapeId="0" xr:uid="{00000000-0006-0000-0B00-000001000000}">
      <text>
        <r>
          <rPr>
            <b/>
            <sz val="9"/>
            <color indexed="81"/>
            <rFont val="Tahoma"/>
            <family val="2"/>
          </rPr>
          <t>Paul Stone: To Do - Once the 1800 sum report is completed for 19-20, move the 19-20 figures here.</t>
        </r>
        <r>
          <rPr>
            <sz val="9"/>
            <color indexed="81"/>
            <rFont val="Tahoma"/>
            <family val="2"/>
          </rPr>
          <t xml:space="preserve">
</t>
        </r>
      </text>
    </comment>
  </commentList>
</comments>
</file>

<file path=xl/sharedStrings.xml><?xml version="1.0" encoding="utf-8"?>
<sst xmlns="http://schemas.openxmlformats.org/spreadsheetml/2006/main" count="11513" uniqueCount="2860">
  <si>
    <t>Fund Balance Reporting Tool Instructions</t>
  </si>
  <si>
    <t>This tool is provided to assist districts in properly coding their ending fund balances for the 2022–2023 school year.</t>
  </si>
  <si>
    <t>Use of this tool is optional, but the use of applicable Fund Balance account codes is required by the Accounting Manual.</t>
  </si>
  <si>
    <t>Districts may not need to utilize every fund balance GL code presented here. If a particular GL code does not apply to your district, you are not required to use it.</t>
  </si>
  <si>
    <t>It is recommended that you save a copy of this excel file for your own use.</t>
  </si>
  <si>
    <r>
      <t xml:space="preserve">The </t>
    </r>
    <r>
      <rPr>
        <b/>
        <u/>
        <sz val="12"/>
        <color theme="1"/>
        <rFont val="Calibri"/>
        <family val="2"/>
        <scheme val="minor"/>
      </rPr>
      <t>Fund Balance Summary</t>
    </r>
    <r>
      <rPr>
        <sz val="12"/>
        <color theme="1"/>
        <rFont val="Calibri"/>
        <family val="2"/>
        <scheme val="minor"/>
      </rPr>
      <t xml:space="preserve"> is the primary worksheet that summarizes all the behind-the-scenes data entered on the other sheets.</t>
    </r>
  </si>
  <si>
    <r>
      <t>In Column A, the GL account numbers and names are</t>
    </r>
    <r>
      <rPr>
        <sz val="12"/>
        <color rgb="FF0000FF"/>
        <rFont val="Calibri"/>
        <family val="2"/>
        <scheme val="minor"/>
      </rPr>
      <t xml:space="preserve"> </t>
    </r>
    <r>
      <rPr>
        <b/>
        <u/>
        <sz val="12"/>
        <color rgb="FF0000FF"/>
        <rFont val="Calibri"/>
        <family val="2"/>
        <scheme val="minor"/>
      </rPr>
      <t>hyperlinked</t>
    </r>
    <r>
      <rPr>
        <sz val="12"/>
        <color theme="1"/>
        <rFont val="Calibri"/>
        <family val="2"/>
        <scheme val="minor"/>
      </rPr>
      <t xml:space="preserve"> to the appropriate sheet. Click on the name to go to that sheet.</t>
    </r>
  </si>
  <si>
    <r>
      <t xml:space="preserve">From any other sheet, click on </t>
    </r>
    <r>
      <rPr>
        <b/>
        <sz val="12"/>
        <color rgb="FF0000FF"/>
        <rFont val="Calibri"/>
        <family val="2"/>
        <scheme val="minor"/>
      </rPr>
      <t xml:space="preserve">(Return to summary sheet) </t>
    </r>
    <r>
      <rPr>
        <sz val="12"/>
        <color theme="1"/>
        <rFont val="Calibri"/>
        <family val="2"/>
        <scheme val="minor"/>
      </rPr>
      <t>to return to the "Fund Balance Summary" sheet.</t>
    </r>
  </si>
  <si>
    <t>SHEET: FUND BALANCE SUMMARY</t>
  </si>
  <si>
    <r>
      <t>In the large yellow cell [</t>
    </r>
    <r>
      <rPr>
        <b/>
        <sz val="14"/>
        <color theme="1"/>
        <rFont val="Calibri"/>
        <family val="2"/>
        <scheme val="minor"/>
      </rPr>
      <t>A-B2</t>
    </r>
    <r>
      <rPr>
        <sz val="12"/>
        <color theme="1"/>
        <rFont val="Calibri"/>
        <family val="2"/>
        <scheme val="minor"/>
      </rPr>
      <t xml:space="preserve">], a drop-down list of districts in alphabetical order will appear. </t>
    </r>
  </si>
  <si>
    <t>Select your district. This will populate the sheet appropriately.</t>
  </si>
  <si>
    <r>
      <rPr>
        <b/>
        <sz val="12"/>
        <color theme="1"/>
        <rFont val="Calibri"/>
        <family val="2"/>
        <scheme val="minor"/>
      </rPr>
      <t>Enter</t>
    </r>
    <r>
      <rPr>
        <sz val="12"/>
        <color theme="1"/>
        <rFont val="Calibri"/>
        <family val="2"/>
        <scheme val="minor"/>
      </rPr>
      <t xml:space="preserve"> the district's total assets and deferred outflows or resources, by fund on </t>
    </r>
    <r>
      <rPr>
        <b/>
        <sz val="12"/>
        <color theme="1"/>
        <rFont val="Calibri"/>
        <family val="2"/>
        <scheme val="minor"/>
      </rPr>
      <t>line  5</t>
    </r>
    <r>
      <rPr>
        <sz val="12"/>
        <color theme="1"/>
        <rFont val="Calibri"/>
        <family val="2"/>
        <scheme val="minor"/>
      </rPr>
      <t>.</t>
    </r>
  </si>
  <si>
    <r>
      <rPr>
        <b/>
        <sz val="12"/>
        <color theme="1"/>
        <rFont val="Calibri"/>
        <family val="2"/>
        <scheme val="minor"/>
      </rPr>
      <t>Enter</t>
    </r>
    <r>
      <rPr>
        <sz val="12"/>
        <color theme="1"/>
        <rFont val="Calibri"/>
        <family val="2"/>
        <scheme val="minor"/>
      </rPr>
      <t xml:space="preserve"> the district's total liabilities and deferred inflows of resources, by fund on</t>
    </r>
    <r>
      <rPr>
        <b/>
        <sz val="12"/>
        <color theme="1"/>
        <rFont val="Calibri"/>
        <family val="2"/>
        <scheme val="minor"/>
      </rPr>
      <t xml:space="preserve"> line 6</t>
    </r>
    <r>
      <rPr>
        <sz val="12"/>
        <color theme="1"/>
        <rFont val="Calibri"/>
        <family val="2"/>
        <scheme val="minor"/>
      </rPr>
      <t>.</t>
    </r>
  </si>
  <si>
    <t>Line 7 will calculate the total Fund Balance available for each fund.</t>
  </si>
  <si>
    <r>
      <rPr>
        <b/>
        <u/>
        <sz val="14"/>
        <color theme="1"/>
        <rFont val="Calibri"/>
        <family val="2"/>
        <scheme val="minor"/>
      </rPr>
      <t>SHEET: FUND BALANCE SUMMARY</t>
    </r>
    <r>
      <rPr>
        <b/>
        <sz val="14"/>
        <color theme="1"/>
        <rFont val="Calibri"/>
        <family val="2"/>
        <scheme val="minor"/>
      </rPr>
      <t xml:space="preserve"> — </t>
    </r>
    <r>
      <rPr>
        <b/>
        <u/>
        <sz val="14"/>
        <color theme="1"/>
        <rFont val="Calibri"/>
        <family val="2"/>
        <scheme val="minor"/>
      </rPr>
      <t>COLUMNS L and M</t>
    </r>
    <r>
      <rPr>
        <b/>
        <sz val="14"/>
        <color theme="1"/>
        <rFont val="Calibri"/>
        <family val="2"/>
        <scheme val="minor"/>
      </rPr>
      <t xml:space="preserve">   </t>
    </r>
    <r>
      <rPr>
        <sz val="12"/>
        <color theme="1"/>
        <rFont val="Calibri"/>
        <family val="2"/>
        <scheme val="minor"/>
      </rPr>
      <t xml:space="preserve">     </t>
    </r>
  </si>
  <si>
    <t xml:space="preserve">GENERAL FUND EQUITY ACCOUNTS, BY SUB-FUND </t>
  </si>
  <si>
    <t xml:space="preserve">Districts are encouraged to track Fund Balance Equity, by Sub-Fund.  </t>
  </si>
  <si>
    <t xml:space="preserve">Business Managers should enter values in the yellow cells provided in columns L &amp; M. This exercise is intended to split the Equity Accounts by sub-funds. </t>
  </si>
  <si>
    <t xml:space="preserve">Columns L &amp; M are added together in column N. </t>
  </si>
  <si>
    <t>Column O compares column N to column B.</t>
  </si>
  <si>
    <t xml:space="preserve">The amounts calculated in Columns L &amp; M at Row 54 represent the General Fund ending Fund Balance, by Sub-Fund. This worksheet can be used to support amounts provided in the supplemental F-196 report: Fund Balance by Sub-Fund. </t>
  </si>
  <si>
    <t>Each sheet has its own instructions and guidance copied from the Accounting Manual.</t>
  </si>
  <si>
    <r>
      <t xml:space="preserve">It is recommended that districts print a copy of the completed </t>
    </r>
    <r>
      <rPr>
        <b/>
        <i/>
        <sz val="14"/>
        <color theme="1"/>
        <rFont val="Calibri"/>
        <family val="2"/>
        <scheme val="minor"/>
      </rPr>
      <t>GL828 worksheet</t>
    </r>
    <r>
      <rPr>
        <b/>
        <i/>
        <sz val="11"/>
        <color theme="1"/>
        <rFont val="Calibri"/>
        <family val="2"/>
        <scheme val="minor"/>
      </rPr>
      <t>, if applicable. Sign it, date it, and keep a copy on file for review by Child Nutrition Services and/or the auditors.</t>
    </r>
  </si>
  <si>
    <r>
      <t xml:space="preserve">Last Updated: September 5, 2023. 2022–2023 allocations are updated through August 2023 for the </t>
    </r>
    <r>
      <rPr>
        <u/>
        <sz val="12"/>
        <color theme="1"/>
        <rFont val="Calibri"/>
        <family val="2"/>
        <scheme val="minor"/>
      </rPr>
      <t>GL 821 Restricted</t>
    </r>
    <r>
      <rPr>
        <sz val="12"/>
        <color theme="1"/>
        <rFont val="Calibri"/>
        <family val="2"/>
        <scheme val="minor"/>
      </rPr>
      <t xml:space="preserve"> worksheet. </t>
    </r>
    <r>
      <rPr>
        <u/>
        <sz val="12"/>
        <color theme="1"/>
        <rFont val="Calibri"/>
        <family val="2"/>
        <scheme val="minor"/>
      </rPr>
      <t>GL 828 Restricted</t>
    </r>
    <r>
      <rPr>
        <sz val="12"/>
        <color theme="1"/>
        <rFont val="Calibri"/>
        <family val="2"/>
        <scheme val="minor"/>
      </rPr>
      <t xml:space="preserve"> contains updated carryover amounts and the 2022–23 Supply Chain Assistance (6198-11) Allocation.</t>
    </r>
  </si>
  <si>
    <t xml:space="preserve">For more information or questions, please contact Paul Stone by email at paul.stone@k12.wa.us. </t>
  </si>
  <si>
    <t>CCDDD</t>
  </si>
  <si>
    <t>SCHOOL  DISTRICT (22-23)</t>
  </si>
  <si>
    <t>Class</t>
  </si>
  <si>
    <t>Basis</t>
  </si>
  <si>
    <t>Nonhigh</t>
  </si>
  <si>
    <t>SCHOOL  DISTRICT (21-22)</t>
  </si>
  <si>
    <t>14005</t>
  </si>
  <si>
    <t>ABERDEEN</t>
  </si>
  <si>
    <t>Accrual</t>
  </si>
  <si>
    <t>No</t>
  </si>
  <si>
    <t>21226</t>
  </si>
  <si>
    <t>ADNA</t>
  </si>
  <si>
    <t>22017</t>
  </si>
  <si>
    <t>ALMIRA</t>
  </si>
  <si>
    <t>Cash</t>
  </si>
  <si>
    <t>Yes</t>
  </si>
  <si>
    <t>29103</t>
  </si>
  <si>
    <t>ANACORTES</t>
  </si>
  <si>
    <t>31016</t>
  </si>
  <si>
    <t>ARLINGTON</t>
  </si>
  <si>
    <t>02420</t>
  </si>
  <si>
    <t>ASOTIN</t>
  </si>
  <si>
    <t>17408</t>
  </si>
  <si>
    <t>AUBURN</t>
  </si>
  <si>
    <t>18303</t>
  </si>
  <si>
    <t>BAINBRIDGE</t>
  </si>
  <si>
    <t>06119</t>
  </si>
  <si>
    <t>BATTLE GROUND</t>
  </si>
  <si>
    <t>17405</t>
  </si>
  <si>
    <t>BELLEVUE</t>
  </si>
  <si>
    <t>37501</t>
  </si>
  <si>
    <t>BELLINGHAM</t>
  </si>
  <si>
    <t>01122</t>
  </si>
  <si>
    <t>BENGE</t>
  </si>
  <si>
    <t>27403</t>
  </si>
  <si>
    <t>BETHEL</t>
  </si>
  <si>
    <t>20203</t>
  </si>
  <si>
    <t>BICKLETON</t>
  </si>
  <si>
    <t>37503</t>
  </si>
  <si>
    <t>BLAINE</t>
  </si>
  <si>
    <t>21234</t>
  </si>
  <si>
    <t>BOISTFORT</t>
  </si>
  <si>
    <t>18100</t>
  </si>
  <si>
    <t>BREMERTON</t>
  </si>
  <si>
    <t>24111</t>
  </si>
  <si>
    <t>BREWSTER</t>
  </si>
  <si>
    <t>09075</t>
  </si>
  <si>
    <t>BRIDGEPORT</t>
  </si>
  <si>
    <t>16046</t>
  </si>
  <si>
    <t>BRINNON</t>
  </si>
  <si>
    <t>29100</t>
  </si>
  <si>
    <t>BURLINGTON EDISON</t>
  </si>
  <si>
    <t>06117</t>
  </si>
  <si>
    <t>CAMAS</t>
  </si>
  <si>
    <t>05401</t>
  </si>
  <si>
    <t>CAPE FLATTERY</t>
  </si>
  <si>
    <t>27019</t>
  </si>
  <si>
    <t>CARBONADO</t>
  </si>
  <si>
    <t>04228</t>
  </si>
  <si>
    <t>CASCADE</t>
  </si>
  <si>
    <t>04222</t>
  </si>
  <si>
    <t>CASHMERE</t>
  </si>
  <si>
    <t>08401</t>
  </si>
  <si>
    <t>CASTLE ROCK</t>
  </si>
  <si>
    <t>18901</t>
  </si>
  <si>
    <t>CATALYST</t>
  </si>
  <si>
    <t>20215</t>
  </si>
  <si>
    <t>CENTERVILLE</t>
  </si>
  <si>
    <t>18401</t>
  </si>
  <si>
    <t>CENTRAL KITSAP</t>
  </si>
  <si>
    <t>32356</t>
  </si>
  <si>
    <t>CENTRAL VALLEY</t>
  </si>
  <si>
    <t>21401</t>
  </si>
  <si>
    <t>CENTRALIA</t>
  </si>
  <si>
    <t>21302</t>
  </si>
  <si>
    <t>CHEHALIS</t>
  </si>
  <si>
    <t>32360</t>
  </si>
  <si>
    <t>CHENEY</t>
  </si>
  <si>
    <t>33036</t>
  </si>
  <si>
    <t>CHEWELAH</t>
  </si>
  <si>
    <t>27901</t>
  </si>
  <si>
    <t>CHIEF LESCHI TRIBAL</t>
  </si>
  <si>
    <t>16049</t>
  </si>
  <si>
    <t>CHIMACUM</t>
  </si>
  <si>
    <t>02250</t>
  </si>
  <si>
    <t>CLARKSTON</t>
  </si>
  <si>
    <t>19404</t>
  </si>
  <si>
    <t>CLE ELUM-ROSLYN</t>
  </si>
  <si>
    <t>27400</t>
  </si>
  <si>
    <t>CLOVER PARK</t>
  </si>
  <si>
    <t>38300</t>
  </si>
  <si>
    <t>COLFAX</t>
  </si>
  <si>
    <t>36250</t>
  </si>
  <si>
    <t>COLLEGE PLACE</t>
  </si>
  <si>
    <t>38306</t>
  </si>
  <si>
    <t>COLTON</t>
  </si>
  <si>
    <t>33206</t>
  </si>
  <si>
    <t>COLUMBIA (STEVENS)</t>
  </si>
  <si>
    <t>36400</t>
  </si>
  <si>
    <t>COLUMBIA (WALLA WALLA)</t>
  </si>
  <si>
    <t>33115</t>
  </si>
  <si>
    <t>COLVILLE</t>
  </si>
  <si>
    <t>29011</t>
  </si>
  <si>
    <t>CONCRETE</t>
  </si>
  <si>
    <t>29317</t>
  </si>
  <si>
    <t>CONWAY</t>
  </si>
  <si>
    <t>14099</t>
  </si>
  <si>
    <t>COSMOPOLIS</t>
  </si>
  <si>
    <t>13151</t>
  </si>
  <si>
    <t>COULEE-HARTLINE</t>
  </si>
  <si>
    <t>15204</t>
  </si>
  <si>
    <t>COUPEVILLE</t>
  </si>
  <si>
    <t>05313</t>
  </si>
  <si>
    <t>CRESCENT</t>
  </si>
  <si>
    <t>22073</t>
  </si>
  <si>
    <t>CRESTON</t>
  </si>
  <si>
    <t>10050</t>
  </si>
  <si>
    <t>CURLEW</t>
  </si>
  <si>
    <t>26059</t>
  </si>
  <si>
    <t>CUSICK</t>
  </si>
  <si>
    <t>19007</t>
  </si>
  <si>
    <t>DAMMAN</t>
  </si>
  <si>
    <t>31330</t>
  </si>
  <si>
    <t>DARRINGTON</t>
  </si>
  <si>
    <t>22207</t>
  </si>
  <si>
    <t>DAVENPORT</t>
  </si>
  <si>
    <t>07002</t>
  </si>
  <si>
    <t>DAYTON</t>
  </si>
  <si>
    <t>32414</t>
  </si>
  <si>
    <t>DEER PARK</t>
  </si>
  <si>
    <t>27343</t>
  </si>
  <si>
    <t>DIERINGER</t>
  </si>
  <si>
    <t>36101</t>
  </si>
  <si>
    <t>DIXIE</t>
  </si>
  <si>
    <t>32361</t>
  </si>
  <si>
    <t>EAST VALLEY (SPOKANE)</t>
  </si>
  <si>
    <t>39090</t>
  </si>
  <si>
    <t>EAST VALLEY (YAKIMA)</t>
  </si>
  <si>
    <t>09206</t>
  </si>
  <si>
    <t>EASTMONT</t>
  </si>
  <si>
    <t>19028</t>
  </si>
  <si>
    <t>EASTON</t>
  </si>
  <si>
    <t>27404</t>
  </si>
  <si>
    <t>EATONVILLE</t>
  </si>
  <si>
    <t>31015</t>
  </si>
  <si>
    <t>EDMONDS</t>
  </si>
  <si>
    <t>19401</t>
  </si>
  <si>
    <t>ELLENSBURG</t>
  </si>
  <si>
    <t>14068</t>
  </si>
  <si>
    <t>ELMA</t>
  </si>
  <si>
    <t>38308</t>
  </si>
  <si>
    <t>ENDICOTT</t>
  </si>
  <si>
    <t>04127</t>
  </si>
  <si>
    <t>ENTIAT</t>
  </si>
  <si>
    <t>17216</t>
  </si>
  <si>
    <t>ENUMCLAW</t>
  </si>
  <si>
    <t>13165</t>
  </si>
  <si>
    <t>EPHRATA</t>
  </si>
  <si>
    <t>06701</t>
  </si>
  <si>
    <t>ESA 112</t>
  </si>
  <si>
    <t>32801</t>
  </si>
  <si>
    <t>ESD 101</t>
  </si>
  <si>
    <t>39801</t>
  </si>
  <si>
    <t>ESD 105</t>
  </si>
  <si>
    <t>06801</t>
  </si>
  <si>
    <t>ESD 112</t>
  </si>
  <si>
    <t>34801</t>
  </si>
  <si>
    <t>ESD 113</t>
  </si>
  <si>
    <t>18801</t>
  </si>
  <si>
    <t>ESD 114</t>
  </si>
  <si>
    <t>17801</t>
  </si>
  <si>
    <t>ESD 121</t>
  </si>
  <si>
    <t>11801</t>
  </si>
  <si>
    <t>ESD 123</t>
  </si>
  <si>
    <t>04801</t>
  </si>
  <si>
    <t>ESD 171</t>
  </si>
  <si>
    <t>29801</t>
  </si>
  <si>
    <t>ESD 189</t>
  </si>
  <si>
    <t>21036</t>
  </si>
  <si>
    <t>EVALINE</t>
  </si>
  <si>
    <t>31002</t>
  </si>
  <si>
    <t>EVERETT</t>
  </si>
  <si>
    <t>06114</t>
  </si>
  <si>
    <t>EVERGREEN (CLARK)</t>
  </si>
  <si>
    <t>33205</t>
  </si>
  <si>
    <t>EVERGREEN (STEVENS)</t>
  </si>
  <si>
    <t>17210</t>
  </si>
  <si>
    <t>FEDERAL WAY</t>
  </si>
  <si>
    <t>37502</t>
  </si>
  <si>
    <t>FERNDALE</t>
  </si>
  <si>
    <t>27417</t>
  </si>
  <si>
    <t>FIFE</t>
  </si>
  <si>
    <t>03053</t>
  </si>
  <si>
    <t>FINLEY</t>
  </si>
  <si>
    <t>27402</t>
  </si>
  <si>
    <t>FRANKLIN PIERCE</t>
  </si>
  <si>
    <t>32358</t>
  </si>
  <si>
    <t>FREEMAN</t>
  </si>
  <si>
    <t>38302</t>
  </si>
  <si>
    <t>GARFIELD</t>
  </si>
  <si>
    <t>20401</t>
  </si>
  <si>
    <t>GLENWOOD</t>
  </si>
  <si>
    <t>20404</t>
  </si>
  <si>
    <t>GOLDENDALE</t>
  </si>
  <si>
    <t>13301</t>
  </si>
  <si>
    <t>GRAND COULEE DAM</t>
  </si>
  <si>
    <t>39200</t>
  </si>
  <si>
    <t>GRANDVIEW</t>
  </si>
  <si>
    <t>39204</t>
  </si>
  <si>
    <t>GRANGER</t>
  </si>
  <si>
    <t>31332</t>
  </si>
  <si>
    <t>GRANITE FALLS</t>
  </si>
  <si>
    <t>23054</t>
  </si>
  <si>
    <t>GRAPEVIEW</t>
  </si>
  <si>
    <t>32312</t>
  </si>
  <si>
    <t>GREAT NORTHERN</t>
  </si>
  <si>
    <t>06103</t>
  </si>
  <si>
    <t>GREEN MOUNTAIN</t>
  </si>
  <si>
    <t>34324</t>
  </si>
  <si>
    <t>GRIFFIN</t>
  </si>
  <si>
    <t>22204</t>
  </si>
  <si>
    <t>HARRINGTON</t>
  </si>
  <si>
    <t>39203</t>
  </si>
  <si>
    <t>HIGHLAND</t>
  </si>
  <si>
    <t>17401</t>
  </si>
  <si>
    <t>HIGHLINE</t>
  </si>
  <si>
    <t>06098</t>
  </si>
  <si>
    <t>HOCKINSON</t>
  </si>
  <si>
    <t>23404</t>
  </si>
  <si>
    <t>HOOD CANAL</t>
  </si>
  <si>
    <t>14028</t>
  </si>
  <si>
    <t>HOQUIAM</t>
  </si>
  <si>
    <t>27902</t>
  </si>
  <si>
    <t>IMPACT COMMENCEMENT BAY</t>
  </si>
  <si>
    <t>17911</t>
  </si>
  <si>
    <t>IMPACT PUGET SOUND</t>
  </si>
  <si>
    <t>17916</t>
  </si>
  <si>
    <t>IMPACT SALISH SEA</t>
  </si>
  <si>
    <t>10070</t>
  </si>
  <si>
    <t>INCHELIUM</t>
  </si>
  <si>
    <t>31063</t>
  </si>
  <si>
    <t>INDEX</t>
  </si>
  <si>
    <t>17411</t>
  </si>
  <si>
    <t>ISSAQUAH</t>
  </si>
  <si>
    <t>11056</t>
  </si>
  <si>
    <t>KAHLOTUS</t>
  </si>
  <si>
    <t>08402</t>
  </si>
  <si>
    <t>KALAMA</t>
  </si>
  <si>
    <t>10003</t>
  </si>
  <si>
    <t>KELLER</t>
  </si>
  <si>
    <t>08458</t>
  </si>
  <si>
    <t>KELSO</t>
  </si>
  <si>
    <t>03017</t>
  </si>
  <si>
    <t>KENNEWICK</t>
  </si>
  <si>
    <t>17415</t>
  </si>
  <si>
    <t>KENT</t>
  </si>
  <si>
    <t>33212</t>
  </si>
  <si>
    <t>KETTLE FALLS</t>
  </si>
  <si>
    <t>03052</t>
  </si>
  <si>
    <t>KIONA BENTON</t>
  </si>
  <si>
    <t>19403</t>
  </si>
  <si>
    <t>KITTITAS</t>
  </si>
  <si>
    <t>20402</t>
  </si>
  <si>
    <t>KLICKITAT</t>
  </si>
  <si>
    <t>29311</t>
  </si>
  <si>
    <t>LA CONNER</t>
  </si>
  <si>
    <t>06101</t>
  </si>
  <si>
    <t>LACENTER</t>
  </si>
  <si>
    <t>38126</t>
  </si>
  <si>
    <t>LACROSSE JOINT</t>
  </si>
  <si>
    <t>04129</t>
  </si>
  <si>
    <t>LAKE CHELAN</t>
  </si>
  <si>
    <t>31004</t>
  </si>
  <si>
    <t>LAKE STEVENS</t>
  </si>
  <si>
    <t>17414</t>
  </si>
  <si>
    <t>LAKE WASHINGTON</t>
  </si>
  <si>
    <t>31306</t>
  </si>
  <si>
    <t>LAKEWOOD</t>
  </si>
  <si>
    <t>38264</t>
  </si>
  <si>
    <t>LAMONT</t>
  </si>
  <si>
    <t>32362</t>
  </si>
  <si>
    <t>LIBERTY</t>
  </si>
  <si>
    <t>01158</t>
  </si>
  <si>
    <t>LIND</t>
  </si>
  <si>
    <t>08122</t>
  </si>
  <si>
    <t>LONGVIEW</t>
  </si>
  <si>
    <t>33183</t>
  </si>
  <si>
    <t>LOON LAKE</t>
  </si>
  <si>
    <t>28144</t>
  </si>
  <si>
    <t>LOPEZ</t>
  </si>
  <si>
    <t>32903</t>
  </si>
  <si>
    <t>LUMEN</t>
  </si>
  <si>
    <t>37903</t>
  </si>
  <si>
    <t>LUMMI TRIBAL</t>
  </si>
  <si>
    <t>20406</t>
  </si>
  <si>
    <t>LYLE</t>
  </si>
  <si>
    <t>37504</t>
  </si>
  <si>
    <t>LYNDEN</t>
  </si>
  <si>
    <t>39120</t>
  </si>
  <si>
    <t>MABTON</t>
  </si>
  <si>
    <t>09207</t>
  </si>
  <si>
    <t>MANSFIELD</t>
  </si>
  <si>
    <t>04019</t>
  </si>
  <si>
    <t>MANSON</t>
  </si>
  <si>
    <t>23311</t>
  </si>
  <si>
    <t>MARY M KNIGHT</t>
  </si>
  <si>
    <t>33207</t>
  </si>
  <si>
    <t>MARY WALKER</t>
  </si>
  <si>
    <t>31025</t>
  </si>
  <si>
    <t>MARYSVILLE</t>
  </si>
  <si>
    <t>14065</t>
  </si>
  <si>
    <t>MC CLEARY</t>
  </si>
  <si>
    <t>32354</t>
  </si>
  <si>
    <t>MEAD</t>
  </si>
  <si>
    <t>32326</t>
  </si>
  <si>
    <t>MEDICAL LAKE</t>
  </si>
  <si>
    <t>17400</t>
  </si>
  <si>
    <t>MERCER ISLAND</t>
  </si>
  <si>
    <t>37505</t>
  </si>
  <si>
    <t>MERIDIAN</t>
  </si>
  <si>
    <t>24350</t>
  </si>
  <si>
    <t>METHOW VALLEY</t>
  </si>
  <si>
    <t>30031</t>
  </si>
  <si>
    <t>MILL A</t>
  </si>
  <si>
    <t>31103</t>
  </si>
  <si>
    <t>MONROE</t>
  </si>
  <si>
    <t>14066</t>
  </si>
  <si>
    <t>MONTESANO</t>
  </si>
  <si>
    <t>21214</t>
  </si>
  <si>
    <t>MORTON</t>
  </si>
  <si>
    <t>13161</t>
  </si>
  <si>
    <t>MOSES LAKE</t>
  </si>
  <si>
    <t>21206</t>
  </si>
  <si>
    <t>MOSSYROCK</t>
  </si>
  <si>
    <t>39209</t>
  </si>
  <si>
    <t>MOUNT ADAMS</t>
  </si>
  <si>
    <t>37507</t>
  </si>
  <si>
    <t>MOUNT BAKER</t>
  </si>
  <si>
    <t>30029</t>
  </si>
  <si>
    <t>MOUNT PLEASANT</t>
  </si>
  <si>
    <t>29320</t>
  </si>
  <si>
    <t>MT VERNON</t>
  </si>
  <si>
    <t>17903</t>
  </si>
  <si>
    <t>MUCKLESHOOT TRIBAL</t>
  </si>
  <si>
    <t>31006</t>
  </si>
  <si>
    <t>MUKILTEO</t>
  </si>
  <si>
    <t>39003</t>
  </si>
  <si>
    <t>NACHES VALLEY</t>
  </si>
  <si>
    <t>21014</t>
  </si>
  <si>
    <t>NAPAVINE</t>
  </si>
  <si>
    <t>25155</t>
  </si>
  <si>
    <t>NASELLE GRAYS RIVER</t>
  </si>
  <si>
    <t>24014</t>
  </si>
  <si>
    <t>NESPELEM</t>
  </si>
  <si>
    <t>26056</t>
  </si>
  <si>
    <t>NEWPORT</t>
  </si>
  <si>
    <t>32325</t>
  </si>
  <si>
    <t>NINE MILE FALLS</t>
  </si>
  <si>
    <t>37506</t>
  </si>
  <si>
    <t>NOOKSACK VALLEY</t>
  </si>
  <si>
    <t>14064</t>
  </si>
  <si>
    <t>NORTH BEACH</t>
  </si>
  <si>
    <t>11051</t>
  </si>
  <si>
    <t>NORTH FRANKLIN</t>
  </si>
  <si>
    <t>18400</t>
  </si>
  <si>
    <t>NORTH KITSAP</t>
  </si>
  <si>
    <t>23403</t>
  </si>
  <si>
    <t>NORTH MASON</t>
  </si>
  <si>
    <t>25200</t>
  </si>
  <si>
    <t>NORTH RIVER</t>
  </si>
  <si>
    <t>34003</t>
  </si>
  <si>
    <t>NORTH THURSTON</t>
  </si>
  <si>
    <t>33211</t>
  </si>
  <si>
    <t>NORTHPORT</t>
  </si>
  <si>
    <t>17417</t>
  </si>
  <si>
    <t>NORTHSHORE</t>
  </si>
  <si>
    <t>15201</t>
  </si>
  <si>
    <t>OAK HARBOR</t>
  </si>
  <si>
    <t>38324</t>
  </si>
  <si>
    <t>OAKESDALE</t>
  </si>
  <si>
    <t>14400</t>
  </si>
  <si>
    <t>OAKVILLE</t>
  </si>
  <si>
    <t>25101</t>
  </si>
  <si>
    <t>OCEAN BEACH</t>
  </si>
  <si>
    <t>14172</t>
  </si>
  <si>
    <t>OCOSTA</t>
  </si>
  <si>
    <t>22105</t>
  </si>
  <si>
    <t>ODESSA</t>
  </si>
  <si>
    <t>24105</t>
  </si>
  <si>
    <t>OKANOGAN</t>
  </si>
  <si>
    <t>34111</t>
  </si>
  <si>
    <t>OLYMPIA</t>
  </si>
  <si>
    <t>24019</t>
  </si>
  <si>
    <t>OMAK</t>
  </si>
  <si>
    <t>21300</t>
  </si>
  <si>
    <t>ONALASKA</t>
  </si>
  <si>
    <t>33030</t>
  </si>
  <si>
    <t>ONION CREEK</t>
  </si>
  <si>
    <t>28137</t>
  </si>
  <si>
    <t>ORCAS</t>
  </si>
  <si>
    <t>32123</t>
  </si>
  <si>
    <t>ORCHARD PRAIRIE</t>
  </si>
  <si>
    <t>10065</t>
  </si>
  <si>
    <t>ORIENT</t>
  </si>
  <si>
    <t>09013</t>
  </si>
  <si>
    <t>ORONDO</t>
  </si>
  <si>
    <t>24410</t>
  </si>
  <si>
    <t>OROVILLE</t>
  </si>
  <si>
    <t>27344</t>
  </si>
  <si>
    <t>ORTING</t>
  </si>
  <si>
    <t>01147</t>
  </si>
  <si>
    <t>OTHELLO</t>
  </si>
  <si>
    <t>09102</t>
  </si>
  <si>
    <t>PALISADES</t>
  </si>
  <si>
    <t>38301</t>
  </si>
  <si>
    <t>PALOUSE</t>
  </si>
  <si>
    <t>11001</t>
  </si>
  <si>
    <t>PASCO</t>
  </si>
  <si>
    <t>24122</t>
  </si>
  <si>
    <t>PATEROS</t>
  </si>
  <si>
    <t>03050</t>
  </si>
  <si>
    <t>PATERSON</t>
  </si>
  <si>
    <t>21301</t>
  </si>
  <si>
    <t>PE ELL</t>
  </si>
  <si>
    <t>27401</t>
  </si>
  <si>
    <t>PENINSULA</t>
  </si>
  <si>
    <t>04901</t>
  </si>
  <si>
    <t>PINNACLES PREP</t>
  </si>
  <si>
    <t>23402</t>
  </si>
  <si>
    <t>PIONEER</t>
  </si>
  <si>
    <t>12110</t>
  </si>
  <si>
    <t>POMEROY</t>
  </si>
  <si>
    <t>05121</t>
  </si>
  <si>
    <t>PORT ANGELES</t>
  </si>
  <si>
    <t>16050</t>
  </si>
  <si>
    <t>PORT TOWNSEND</t>
  </si>
  <si>
    <t>36402</t>
  </si>
  <si>
    <t>PRESCOTT</t>
  </si>
  <si>
    <t>32907</t>
  </si>
  <si>
    <t>PRIDE PREP CHARTER</t>
  </si>
  <si>
    <t>03116</t>
  </si>
  <si>
    <t>PROSSER</t>
  </si>
  <si>
    <t>38267</t>
  </si>
  <si>
    <t>PULLMAN</t>
  </si>
  <si>
    <t>38901</t>
  </si>
  <si>
    <t>PULLMAN COMMUNITY MONTESSORI</t>
  </si>
  <si>
    <t>27003</t>
  </si>
  <si>
    <t>PUYALLUP</t>
  </si>
  <si>
    <t>16020</t>
  </si>
  <si>
    <t>QUEETS-CLEARWATER</t>
  </si>
  <si>
    <t>16048</t>
  </si>
  <si>
    <t>QUILCENE</t>
  </si>
  <si>
    <t>05903</t>
  </si>
  <si>
    <t>QUILEUTE TRIBAL</t>
  </si>
  <si>
    <t>05402</t>
  </si>
  <si>
    <t>QUILLAYUTE VALLEY</t>
  </si>
  <si>
    <t>14097</t>
  </si>
  <si>
    <t>QUINAULT</t>
  </si>
  <si>
    <t>13144</t>
  </si>
  <si>
    <t>QUINCY</t>
  </si>
  <si>
    <t>34307</t>
  </si>
  <si>
    <t>RAINIER</t>
  </si>
  <si>
    <t>17908</t>
  </si>
  <si>
    <t xml:space="preserve">RAINIER PREP </t>
  </si>
  <si>
    <t>17910</t>
  </si>
  <si>
    <t>RAINIER VALLEY LEADERSHIP ACADEMY</t>
  </si>
  <si>
    <t>25116</t>
  </si>
  <si>
    <t>RAYMOND</t>
  </si>
  <si>
    <t>22009</t>
  </si>
  <si>
    <t>REARDAN</t>
  </si>
  <si>
    <t>17403</t>
  </si>
  <si>
    <t>RENTON</t>
  </si>
  <si>
    <t>10309</t>
  </si>
  <si>
    <t>REPUBLIC</t>
  </si>
  <si>
    <t>03400</t>
  </si>
  <si>
    <t>RICHLAND</t>
  </si>
  <si>
    <t>06122</t>
  </si>
  <si>
    <t>RIDGEFIELD</t>
  </si>
  <si>
    <t>01160</t>
  </si>
  <si>
    <t>RITZVILLE</t>
  </si>
  <si>
    <t>32416</t>
  </si>
  <si>
    <t>RIVERSIDE</t>
  </si>
  <si>
    <t>17407</t>
  </si>
  <si>
    <t>RIVERVIEW</t>
  </si>
  <si>
    <t>34401</t>
  </si>
  <si>
    <t>ROCHESTER</t>
  </si>
  <si>
    <t>20403</t>
  </si>
  <si>
    <t>ROOSEVELT</t>
  </si>
  <si>
    <t>38320</t>
  </si>
  <si>
    <t>ROSALIA</t>
  </si>
  <si>
    <t>13160</t>
  </si>
  <si>
    <t>ROYAL</t>
  </si>
  <si>
    <t>28149</t>
  </si>
  <si>
    <t>SAN JUAN</t>
  </si>
  <si>
    <t>14104</t>
  </si>
  <si>
    <t>SATSOP</t>
  </si>
  <si>
    <t>17001</t>
  </si>
  <si>
    <t>SEATTLE</t>
  </si>
  <si>
    <t>29101</t>
  </si>
  <si>
    <t>SEDRO WOOLLEY</t>
  </si>
  <si>
    <t>39119</t>
  </si>
  <si>
    <t>SELAH</t>
  </si>
  <si>
    <t>26070</t>
  </si>
  <si>
    <t>SELKIRK</t>
  </si>
  <si>
    <t>05323</t>
  </si>
  <si>
    <t>SEQUIM</t>
  </si>
  <si>
    <t>28010</t>
  </si>
  <si>
    <t>SHAW</t>
  </si>
  <si>
    <t>23309</t>
  </si>
  <si>
    <t>SHELTON</t>
  </si>
  <si>
    <t>17412</t>
  </si>
  <si>
    <t>SHORELINE</t>
  </si>
  <si>
    <t>30002</t>
  </si>
  <si>
    <t>SKAMANIA</t>
  </si>
  <si>
    <t>17404</t>
  </si>
  <si>
    <t>SKYKOMISH</t>
  </si>
  <si>
    <t>31201</t>
  </si>
  <si>
    <t>SNOHOMISH</t>
  </si>
  <si>
    <t>17410</t>
  </si>
  <si>
    <t>SNOQUALMIE VALLEY</t>
  </si>
  <si>
    <t>13156</t>
  </si>
  <si>
    <t>SOAP LAKE</t>
  </si>
  <si>
    <t>25118</t>
  </si>
  <si>
    <t>SOUTH BEND</t>
  </si>
  <si>
    <t>18402</t>
  </si>
  <si>
    <t>SOUTH KITSAP</t>
  </si>
  <si>
    <t>15206</t>
  </si>
  <si>
    <t>SOUTH WHIDBEY</t>
  </si>
  <si>
    <t>23042</t>
  </si>
  <si>
    <t>SOUTHSIDE</t>
  </si>
  <si>
    <t>32081</t>
  </si>
  <si>
    <t>SPOKANE</t>
  </si>
  <si>
    <t>32901</t>
  </si>
  <si>
    <t>SPOKANE INT'L CHARTER</t>
  </si>
  <si>
    <t>22008</t>
  </si>
  <si>
    <t>SPRAGUE</t>
  </si>
  <si>
    <t>38322</t>
  </si>
  <si>
    <t>ST JOHN</t>
  </si>
  <si>
    <t>31401</t>
  </si>
  <si>
    <t>STANWOOD</t>
  </si>
  <si>
    <t>11054</t>
  </si>
  <si>
    <t>STAR</t>
  </si>
  <si>
    <t>07035</t>
  </si>
  <si>
    <t>STARBUCK</t>
  </si>
  <si>
    <t>04069</t>
  </si>
  <si>
    <t>STEHEKIN</t>
  </si>
  <si>
    <t>27001</t>
  </si>
  <si>
    <t>STEILACOOM HIST.</t>
  </si>
  <si>
    <t>38304</t>
  </si>
  <si>
    <t>STEPTOE</t>
  </si>
  <si>
    <t>30303</t>
  </si>
  <si>
    <t>STEVENSON-CARSON</t>
  </si>
  <si>
    <t>31311</t>
  </si>
  <si>
    <t>SULTAN</t>
  </si>
  <si>
    <t>33202</t>
  </si>
  <si>
    <t>SUMMIT VALLEY</t>
  </si>
  <si>
    <t>17905</t>
  </si>
  <si>
    <t>SUMMIT ATLAS</t>
  </si>
  <si>
    <t>27905</t>
  </si>
  <si>
    <t>SUMMIT OLYMPUS</t>
  </si>
  <si>
    <t>17902</t>
  </si>
  <si>
    <t xml:space="preserve">SUMMIT SIERRA </t>
  </si>
  <si>
    <t>27320</t>
  </si>
  <si>
    <t>SUMNER – BONNEY LAKE</t>
  </si>
  <si>
    <t>39201</t>
  </si>
  <si>
    <t>SUNNYSIDE</t>
  </si>
  <si>
    <t>18902</t>
  </si>
  <si>
    <t>SUQUAMISH TRIBAL</t>
  </si>
  <si>
    <t>27010</t>
  </si>
  <si>
    <t>TACOMA</t>
  </si>
  <si>
    <t>14077</t>
  </si>
  <si>
    <t>TAHOLAH</t>
  </si>
  <si>
    <t>17409</t>
  </si>
  <si>
    <t>TAHOMA</t>
  </si>
  <si>
    <t>38265</t>
  </si>
  <si>
    <t>TEKOA</t>
  </si>
  <si>
    <t>34402</t>
  </si>
  <si>
    <t>TENINO</t>
  </si>
  <si>
    <t>19400</t>
  </si>
  <si>
    <t>THORP</t>
  </si>
  <si>
    <t>21237</t>
  </si>
  <si>
    <t>TOLEDO</t>
  </si>
  <si>
    <t>24404</t>
  </si>
  <si>
    <t>TONASKET</t>
  </si>
  <si>
    <t>39202</t>
  </si>
  <si>
    <t>TOPPENISH</t>
  </si>
  <si>
    <t>36300</t>
  </si>
  <si>
    <t>TOUCHET</t>
  </si>
  <si>
    <t>08130</t>
  </si>
  <si>
    <t>TOUTLE LAKE</t>
  </si>
  <si>
    <t>20400</t>
  </si>
  <si>
    <t>TROUT LAKE</t>
  </si>
  <si>
    <t>17406</t>
  </si>
  <si>
    <t xml:space="preserve">TUKWILA </t>
  </si>
  <si>
    <t>34033</t>
  </si>
  <si>
    <t>TUMWATER</t>
  </si>
  <si>
    <t>39002</t>
  </si>
  <si>
    <t>UNION GAP</t>
  </si>
  <si>
    <t>27083</t>
  </si>
  <si>
    <t>UNIVERSITY PLACE</t>
  </si>
  <si>
    <t>33070</t>
  </si>
  <si>
    <t>VALLEY</t>
  </si>
  <si>
    <t>06037</t>
  </si>
  <si>
    <t>VANCOUVER</t>
  </si>
  <si>
    <t>17402</t>
  </si>
  <si>
    <t>VASHON ISLAND</t>
  </si>
  <si>
    <t>34901</t>
  </si>
  <si>
    <t>WA HE LUT</t>
  </si>
  <si>
    <t>35200</t>
  </si>
  <si>
    <t>WAHKIAKUM</t>
  </si>
  <si>
    <t>13073</t>
  </si>
  <si>
    <t>WAHLUKE</t>
  </si>
  <si>
    <t>36401</t>
  </si>
  <si>
    <t>WAITSBURG</t>
  </si>
  <si>
    <t>36140</t>
  </si>
  <si>
    <t>WALLA WALLA</t>
  </si>
  <si>
    <t>39207</t>
  </si>
  <si>
    <t>WAPATO</t>
  </si>
  <si>
    <t>13146</t>
  </si>
  <si>
    <t>WARDEN</t>
  </si>
  <si>
    <t>06112</t>
  </si>
  <si>
    <t>WASHOUGAL</t>
  </si>
  <si>
    <t>01109</t>
  </si>
  <si>
    <t>WASHTUCNA</t>
  </si>
  <si>
    <t>09209</t>
  </si>
  <si>
    <t>WATERVILLE</t>
  </si>
  <si>
    <t>33049</t>
  </si>
  <si>
    <t>WELLPINIT</t>
  </si>
  <si>
    <t>04246</t>
  </si>
  <si>
    <t>WENATCHEE</t>
  </si>
  <si>
    <t>32363</t>
  </si>
  <si>
    <t>WEST VALLEY (SPOKANE)</t>
  </si>
  <si>
    <t>39208</t>
  </si>
  <si>
    <t>WEST VALLEY (YAKIMA)</t>
  </si>
  <si>
    <t>37902</t>
  </si>
  <si>
    <t>WHATCOM INTERGENERATIONAL</t>
  </si>
  <si>
    <t>21303</t>
  </si>
  <si>
    <t>WHITE PASS</t>
  </si>
  <si>
    <t>27416</t>
  </si>
  <si>
    <t>WHITE RIVER</t>
  </si>
  <si>
    <t>20405</t>
  </si>
  <si>
    <t>WHITE SALMON</t>
  </si>
  <si>
    <t>17917</t>
  </si>
  <si>
    <t>WHY NOT YOU</t>
  </si>
  <si>
    <t>22200</t>
  </si>
  <si>
    <t>WILBUR</t>
  </si>
  <si>
    <t>25160</t>
  </si>
  <si>
    <t>WILLAPA VALLEY</t>
  </si>
  <si>
    <t>13167</t>
  </si>
  <si>
    <t>WILSON CREEK</t>
  </si>
  <si>
    <t>21232</t>
  </si>
  <si>
    <t>WINLOCK</t>
  </si>
  <si>
    <t>14117</t>
  </si>
  <si>
    <t>WISHKAH VALLEY</t>
  </si>
  <si>
    <t>20094</t>
  </si>
  <si>
    <t>WISHRAM</t>
  </si>
  <si>
    <t>08404</t>
  </si>
  <si>
    <t>WOODLAND</t>
  </si>
  <si>
    <t>39901</t>
  </si>
  <si>
    <t>YAKAMA NATION TRIBAL</t>
  </si>
  <si>
    <t>39007</t>
  </si>
  <si>
    <t>YAKIMA</t>
  </si>
  <si>
    <t>34002</t>
  </si>
  <si>
    <t>YELM</t>
  </si>
  <si>
    <t>39205</t>
  </si>
  <si>
    <t>ZILLAH</t>
  </si>
  <si>
    <t>General Fund Equity Accounts, by SUB-FUND</t>
  </si>
  <si>
    <t>FY 2022–2023</t>
  </si>
  <si>
    <t>Sub-Funds</t>
  </si>
  <si>
    <t>Total</t>
  </si>
  <si>
    <t>Check Column B to Column N. Should equal zero</t>
  </si>
  <si>
    <t>GF</t>
  </si>
  <si>
    <t>ASB</t>
  </si>
  <si>
    <t>DSF</t>
  </si>
  <si>
    <t>CPF</t>
  </si>
  <si>
    <t>TVF</t>
  </si>
  <si>
    <t>PF</t>
  </si>
  <si>
    <t>Total Assets &amp; Deferred Outflows of Resources</t>
  </si>
  <si>
    <t>Total Liabilities &amp; Deferred Inflows of Resources</t>
  </si>
  <si>
    <r>
      <rPr>
        <b/>
        <u/>
        <sz val="14"/>
        <color theme="1"/>
        <rFont val="Segoe UI"/>
        <family val="2"/>
      </rPr>
      <t>GENERAL FUND EQUITY ACCOUNTS, BY SUB-FUND</t>
    </r>
    <r>
      <rPr>
        <b/>
        <sz val="14"/>
        <color theme="1"/>
        <rFont val="Segoe UI"/>
        <family val="2"/>
      </rPr>
      <t xml:space="preserve">: </t>
    </r>
    <r>
      <rPr>
        <sz val="14"/>
        <color theme="1"/>
        <rFont val="Segoe UI"/>
        <family val="2"/>
      </rPr>
      <t xml:space="preserve">Districts are encouraged to track Fund Balance Equity by Sub-Fund. In the </t>
    </r>
    <r>
      <rPr>
        <b/>
        <sz val="14"/>
        <color rgb="FFC00000"/>
        <rFont val="Segoe UI"/>
        <family val="2"/>
      </rPr>
      <t xml:space="preserve">yellow </t>
    </r>
    <r>
      <rPr>
        <sz val="14"/>
        <color theme="1"/>
        <rFont val="Segoe UI"/>
        <family val="2"/>
      </rPr>
      <t xml:space="preserve">cells provided in </t>
    </r>
    <r>
      <rPr>
        <b/>
        <sz val="14"/>
        <color rgb="FFC00000"/>
        <rFont val="Segoe UI"/>
        <family val="2"/>
      </rPr>
      <t>columns L &amp; M</t>
    </r>
    <r>
      <rPr>
        <sz val="14"/>
        <color theme="1"/>
        <rFont val="Segoe UI"/>
        <family val="2"/>
      </rPr>
      <t xml:space="preserve">, enter values, segregated by Sub-Fund, associated with the corresponding General Ledger account values in column B. Columns L &amp; M are added together in column N. Column O compares column N to Column B.  </t>
    </r>
    <r>
      <rPr>
        <b/>
        <sz val="14"/>
        <color theme="1"/>
        <rFont val="Segoe UI"/>
        <family val="2"/>
      </rPr>
      <t xml:space="preserve">The amounts calculated in columns L &amp; M, at Row 56, are intended to represent your </t>
    </r>
    <r>
      <rPr>
        <b/>
        <sz val="14"/>
        <color rgb="FFC00000"/>
        <rFont val="Segoe UI"/>
        <family val="2"/>
      </rPr>
      <t>ENDING</t>
    </r>
    <r>
      <rPr>
        <b/>
        <sz val="14"/>
        <color theme="1"/>
        <rFont val="Segoe UI"/>
        <family val="2"/>
      </rPr>
      <t xml:space="preserve"> Fund Balance, by Sub-Fund. This worksheet, and supporting work-tabs, can be used to support amounts provided in the supplemental F-196 report: Fund Balance, by Sub-Fund.</t>
    </r>
  </si>
  <si>
    <t>Total Fund Balance</t>
  </si>
  <si>
    <t>Nonspendable</t>
  </si>
  <si>
    <t>GL 840 Inventory &amp; Prepaid Items</t>
  </si>
  <si>
    <t>GL 855 Trust Principal</t>
  </si>
  <si>
    <t>Restricted</t>
  </si>
  <si>
    <t>GL 810 Other Items</t>
  </si>
  <si>
    <t>GL 815 Unequalized Deductible Revenues</t>
  </si>
  <si>
    <t>GL 819 Restricted to Fund Purposes</t>
  </si>
  <si>
    <t>GL 821 Carryover of Restricted Revenues</t>
  </si>
  <si>
    <t>GL 823 Restricted for Transition to Kindergarten</t>
  </si>
  <si>
    <t>GL 825 Restricted for Skills Centers</t>
  </si>
  <si>
    <t>GL 828 Carryover of Food Service Revenue</t>
  </si>
  <si>
    <t>GL 830 Debt Service</t>
  </si>
  <si>
    <t>GL 835 Arbitrage Rebate</t>
  </si>
  <si>
    <t>GL 845 Self-Insurance</t>
  </si>
  <si>
    <t>GL 850 Uninsured Risks</t>
  </si>
  <si>
    <t>GL 861 Bond Proceeds</t>
  </si>
  <si>
    <t>GL 863 State Proceeds</t>
  </si>
  <si>
    <t>GL 864 Federal Proceeds</t>
  </si>
  <si>
    <t>GL 865 Other Proceeds</t>
  </si>
  <si>
    <t>GL 866 Impact Fee Proceeds</t>
  </si>
  <si>
    <t>GL 867 Mitigation Fee Proceeds</t>
  </si>
  <si>
    <t>GL 869 Undistributed Proceeds</t>
  </si>
  <si>
    <t>Committed</t>
  </si>
  <si>
    <t>GL 862 Levy Proceeds</t>
  </si>
  <si>
    <t>GL 870 Other Purposes</t>
  </si>
  <si>
    <t>GL 872 Economic Stabilization Policy</t>
  </si>
  <si>
    <t xml:space="preserve">GL 873 Depreciation Sub-Fund Facility Maintenance </t>
  </si>
  <si>
    <t>Assigned</t>
  </si>
  <si>
    <t>GL 875 Contingencies</t>
  </si>
  <si>
    <t>GL 884 Other Capital Projects</t>
  </si>
  <si>
    <t>GL 888 Other Purposes</t>
  </si>
  <si>
    <t>GL 889 Fund Purposes</t>
  </si>
  <si>
    <t>Unassigned</t>
  </si>
  <si>
    <t>GL 890 Unassigned Fund Balance</t>
  </si>
  <si>
    <t>GL 891 Unassigned MFBP</t>
  </si>
  <si>
    <t>Reported Final Fund Balance</t>
  </si>
  <si>
    <r>
      <t xml:space="preserve">Apportionment Reports by </t>
    </r>
    <r>
      <rPr>
        <u/>
        <sz val="10"/>
        <color rgb="FF000000"/>
        <rFont val="Calibri"/>
        <family val="2"/>
        <scheme val="minor"/>
      </rPr>
      <t>Office of Superintendent of Public Instruction</t>
    </r>
    <r>
      <rPr>
        <sz val="10"/>
        <color rgb="FF000000"/>
        <rFont val="Calibri"/>
        <family val="2"/>
        <scheme val="minor"/>
      </rPr>
      <t xml:space="preserve"> is licensed under a </t>
    </r>
    <r>
      <rPr>
        <u/>
        <sz val="10"/>
        <color rgb="FF000000"/>
        <rFont val="Calibri"/>
        <family val="2"/>
        <scheme val="minor"/>
      </rPr>
      <t>Creative Commons Attribution 4.0 International License</t>
    </r>
  </si>
  <si>
    <t>Paul Entry</t>
  </si>
  <si>
    <t>088A</t>
  </si>
  <si>
    <t xml:space="preserve"> 075A</t>
  </si>
  <si>
    <t xml:space="preserve"> 075Ahp</t>
  </si>
  <si>
    <t>087A</t>
  </si>
  <si>
    <t>O7HP</t>
  </si>
  <si>
    <t>O7</t>
  </si>
  <si>
    <t>137A</t>
  </si>
  <si>
    <t>Z095</t>
  </si>
  <si>
    <t>157A</t>
  </si>
  <si>
    <t>076A</t>
  </si>
  <si>
    <t>136A</t>
  </si>
  <si>
    <t>4156 &amp; 34</t>
  </si>
  <si>
    <t>Z456</t>
  </si>
  <si>
    <t>198A</t>
  </si>
  <si>
    <t>040A</t>
  </si>
  <si>
    <t>200A</t>
  </si>
  <si>
    <t>Z266</t>
  </si>
  <si>
    <t>E55</t>
  </si>
  <si>
    <t>Z603</t>
  </si>
  <si>
    <t>E54</t>
  </si>
  <si>
    <t>Z583</t>
  </si>
  <si>
    <t>A24</t>
  </si>
  <si>
    <t>A27</t>
  </si>
  <si>
    <t>2022-23</t>
  </si>
  <si>
    <t>CARRYOVER ACCT. 4121</t>
  </si>
  <si>
    <t>CARRYOVER ACCT. 4155</t>
  </si>
  <si>
    <t>Prog 21 Calc</t>
  </si>
  <si>
    <t>116A</t>
  </si>
  <si>
    <t>HP LAP Total</t>
  </si>
  <si>
    <t>Regular LAP Total</t>
  </si>
  <si>
    <t>TBIP Total Alloc</t>
  </si>
  <si>
    <t>HiCap Total</t>
  </si>
  <si>
    <t>TRN 4199 Total bfr Adjust</t>
  </si>
  <si>
    <t>FED RESTRICTED</t>
  </si>
  <si>
    <t>STATE</t>
  </si>
  <si>
    <t>INST. 59</t>
  </si>
  <si>
    <t>INST CARRYOVER</t>
  </si>
  <si>
    <t>INST INDIRECT</t>
  </si>
  <si>
    <t>INST. 4156</t>
  </si>
  <si>
    <t>INST. 26</t>
  </si>
  <si>
    <t>FIRE DIST</t>
  </si>
  <si>
    <t>MS CTE</t>
  </si>
  <si>
    <t>CTE</t>
  </si>
  <si>
    <t>MS CTE MIN</t>
  </si>
  <si>
    <t>CTE MIN</t>
  </si>
  <si>
    <t>CTE FTE</t>
  </si>
  <si>
    <t>CTE 9-12 TOTAL</t>
  </si>
  <si>
    <t xml:space="preserve">Basic Ed </t>
  </si>
  <si>
    <t xml:space="preserve">Alloc </t>
  </si>
  <si>
    <t>CTE Enhance</t>
  </si>
  <si>
    <t>CTE 7-8 TOTAL</t>
  </si>
  <si>
    <t>Transpo Stabl</t>
  </si>
  <si>
    <t>PLD 34</t>
  </si>
  <si>
    <t>SCA 6198-11</t>
  </si>
  <si>
    <t>SPECIAL ED</t>
  </si>
  <si>
    <t>LAP Regular</t>
  </si>
  <si>
    <t>LAP HiPov</t>
  </si>
  <si>
    <t>4121</t>
  </si>
  <si>
    <t>4155</t>
  </si>
  <si>
    <t>4165</t>
  </si>
  <si>
    <t>4174</t>
  </si>
  <si>
    <t>4199</t>
  </si>
  <si>
    <t>RATE</t>
  </si>
  <si>
    <t>ACCT. 4159</t>
  </si>
  <si>
    <t>&amp; INST 34</t>
  </si>
  <si>
    <t>ACCT. 4156 &amp; 34</t>
  </si>
  <si>
    <t>ACCT. 4126</t>
  </si>
  <si>
    <t>PAY</t>
  </si>
  <si>
    <t>CARRYOVER</t>
  </si>
  <si>
    <t>EXPEND</t>
  </si>
  <si>
    <t>BASIC ED</t>
  </si>
  <si>
    <t>Per Student</t>
  </si>
  <si>
    <t>per Student</t>
  </si>
  <si>
    <t>FTE</t>
  </si>
  <si>
    <t>ENHANCE</t>
  </si>
  <si>
    <t>419902</t>
  </si>
  <si>
    <t>Carryover</t>
  </si>
  <si>
    <t>Allocation</t>
  </si>
  <si>
    <t>Sort</t>
  </si>
  <si>
    <t>ccddd</t>
  </si>
  <si>
    <t>Select District =&gt;</t>
  </si>
  <si>
    <t>14005 ABERDEEN SCHOOL DISTRICT</t>
  </si>
  <si>
    <t>21226 ADNA SCHOOL DISTRICT</t>
  </si>
  <si>
    <t>22017 ALMIRA SCHOOL DISTRICT</t>
  </si>
  <si>
    <t>29103 ANACORTES SCHOOL DISTRICT</t>
  </si>
  <si>
    <t>31016 ARLINGTON SCHOOL DISTRICT</t>
  </si>
  <si>
    <t>ASOTIN-ANATONE</t>
  </si>
  <si>
    <t>02420 ASOTIN-ANATONE SCHOOL DISTRICT</t>
  </si>
  <si>
    <t>17408 AUBURN SCHOOL DISTRICT</t>
  </si>
  <si>
    <t>18303 BAINBRIDGE SCHOOL DISTRICT</t>
  </si>
  <si>
    <t>06119 BATTLE GROUND SCHOOL DISTRICT</t>
  </si>
  <si>
    <t>17405 BELLEVUE SCHOOL DISTRICT</t>
  </si>
  <si>
    <t>37501 BELLINGHAM SCHOOL DISTRICT</t>
  </si>
  <si>
    <t>01122 BENGE SCHOOL DISTRICT</t>
  </si>
  <si>
    <t>27403 BETHEL SCHOOL DISTRICT</t>
  </si>
  <si>
    <t>20203 BICKLETON SCHOOL DISTRICT</t>
  </si>
  <si>
    <t>37503 BLAINE SCHOOL DISTRICT</t>
  </si>
  <si>
    <t>21234 BOISTFORT SCHOOL DISTRICT</t>
  </si>
  <si>
    <t>18100 BREMERTON SCHOOL DISTRICT</t>
  </si>
  <si>
    <t>24111 BREWSTER SCHOOL DISTRICT</t>
  </si>
  <si>
    <t>09075 BRIDGEPORT SCHOOL DISTRICT</t>
  </si>
  <si>
    <t>16046 BRINNON SCHOOL DISTRICT</t>
  </si>
  <si>
    <t>29100 BURLINGTON EDISON SCHOOL DISTRICT</t>
  </si>
  <si>
    <t>06117 CAMAS SCHOOL DISTRICT</t>
  </si>
  <si>
    <t>05401 CAPE FLATTERY SCHOOL DISTRICT</t>
  </si>
  <si>
    <t>27019 CARBONADO SCHOOL DISTRICT</t>
  </si>
  <si>
    <t>04228 CASCADE SCHOOL DISTRICT</t>
  </si>
  <si>
    <t>04222 CASHMERE SCHOOL DISTRICT</t>
  </si>
  <si>
    <t>08401 CASTLE ROCK SCHOOL DISTRICT</t>
  </si>
  <si>
    <t>18901 CATALYST PUBLIC SCHOOLS CHARTER</t>
  </si>
  <si>
    <t>20215 CENTERVILLE SCHOOL DISTRICT</t>
  </si>
  <si>
    <t>18401 CENTRAL KITSAP SCHOOL DISTRICT</t>
  </si>
  <si>
    <t>32356 CENTRAL VALLEY SCHOOL DISTRICT</t>
  </si>
  <si>
    <t>21401 CENTRALIA SCHOOL DISTRICT</t>
  </si>
  <si>
    <t>21302 CHEHALIS SCHOOL DISTRICT</t>
  </si>
  <si>
    <t>32360 CHENEY SCHOOL DISTRICT</t>
  </si>
  <si>
    <t>33036 CHEWELAH SCHOOL DISTRICT</t>
  </si>
  <si>
    <t>CHIEF LESCHI</t>
  </si>
  <si>
    <t>27901 CHIEF LESCHI TRIBAL COMPACT</t>
  </si>
  <si>
    <t>16049 CHIMACUM SCHOOL DISTRICT</t>
  </si>
  <si>
    <t>02250 CLARKSTON SCHOOL DISTRICT</t>
  </si>
  <si>
    <t>19404 CLE ELUM-ROSLYN SCHOOL DISTRICT</t>
  </si>
  <si>
    <t>27400 CLOVER PARK SCHOOL DISTRICT</t>
  </si>
  <si>
    <t>38300 COLFAX SCHOOL DISTRICT</t>
  </si>
  <si>
    <t>36250 COLLEGE PLACE SCHOOL DISTRICT</t>
  </si>
  <si>
    <t>38306 COLTON SCHOOL DISTRICT</t>
  </si>
  <si>
    <t>33206 COLUMBIA (STEVENS) SCHOOL DISTRICT</t>
  </si>
  <si>
    <t>COLUMBIA (WALLA)</t>
  </si>
  <si>
    <t>36400 COLUMBIA (WALLA) SCHOOL DISTRICT</t>
  </si>
  <si>
    <t>33115 COLVILLE SCHOOL DISTRICT</t>
  </si>
  <si>
    <t>29011 CONCRETE SCHOOL DISTRICT</t>
  </si>
  <si>
    <t>29317 CONWAY SCHOOL DISTRICT</t>
  </si>
  <si>
    <t>14099 COSMOPOLIS SCHOOL DISTRICT</t>
  </si>
  <si>
    <t>COULEE/HARTLINE</t>
  </si>
  <si>
    <t>13151 COULEE/HARTLINE SCHOOL DISTRICT</t>
  </si>
  <si>
    <t>15204 COUPEVILLE SCHOOL DISTRICT</t>
  </si>
  <si>
    <t>05313 CRESCENT SCHOOL DISTRICT</t>
  </si>
  <si>
    <t>22073 CRESTON SCHOOL DISTRICT</t>
  </si>
  <si>
    <t>10050 CURLEW SCHOOL DISTRICT</t>
  </si>
  <si>
    <t>26059 CUSICK SCHOOL DISTRICT</t>
  </si>
  <si>
    <t>19007 DAMMAN SCHOOL DISTRICT</t>
  </si>
  <si>
    <t>31330 DARRINGTON SCHOOL DISTRICT</t>
  </si>
  <si>
    <t>22207 DAVENPORT SCHOOL DISTRICT</t>
  </si>
  <si>
    <t>07002 DAYTON SCHOOL DISTRICT</t>
  </si>
  <si>
    <t>32414 DEER PARK SCHOOL DISTRICT</t>
  </si>
  <si>
    <t>27343 DIERINGER SCHOOL DISTRICT</t>
  </si>
  <si>
    <t>36101 DIXIE SCHOOL DISTRICT</t>
  </si>
  <si>
    <t>EAST VALLEY</t>
  </si>
  <si>
    <t>32361 EAST VALLEY SCHOOL DISTRICT</t>
  </si>
  <si>
    <t>39090 EAST VALLEY (YAKIMA) SCHOOL DISTRICT</t>
  </si>
  <si>
    <t>09206 EASTMONT SCHOOL DISTRICT</t>
  </si>
  <si>
    <t>19028 EASTON SCHOOL DISTRICT</t>
  </si>
  <si>
    <t>27404 EATONVILLE SCHOOL DISTRICT</t>
  </si>
  <si>
    <t>31015 EDMONDS SCHOOL DISTRICT</t>
  </si>
  <si>
    <t>19401 ELLENSBURG SCHOOL DISTRICT</t>
  </si>
  <si>
    <t>14068 ELMA SCHOOL DISTRICT</t>
  </si>
  <si>
    <t>38308 ENDICOTT SCHOOL DISTRICT</t>
  </si>
  <si>
    <t>04127 ENTIAT SCHOOL DISTRICT</t>
  </si>
  <si>
    <t>17216 ENUMCLAW SCHOOL DISTRICT</t>
  </si>
  <si>
    <t>13165 EPHRATA SCHOOL DISTRICT</t>
  </si>
  <si>
    <t>06701 ESA 112</t>
  </si>
  <si>
    <t>32801 ESD 101</t>
  </si>
  <si>
    <t>39801 ESD 105</t>
  </si>
  <si>
    <t>06801 ESD 112</t>
  </si>
  <si>
    <t>34801 CAPITAL REGION ESD 113</t>
  </si>
  <si>
    <t>18801 OLYMPIC ESD 114</t>
  </si>
  <si>
    <t>17801 PUGET SOUND ESD 121</t>
  </si>
  <si>
    <t>11801 ESD 123</t>
  </si>
  <si>
    <t>04801 ESD 171</t>
  </si>
  <si>
    <t>29801 NORTHWEST ESD 189</t>
  </si>
  <si>
    <t>21036 EVALINE SCHOOL DISTRICT</t>
  </si>
  <si>
    <t>31002 EVERETT SCHOOL DISTRICT</t>
  </si>
  <si>
    <t>06114 EVERGREEN (CLARK) SCHOOL DISTRICT</t>
  </si>
  <si>
    <t>33205 EVERGREEN (STEVENS) SCHOOL DISTRICT</t>
  </si>
  <si>
    <t>17210 FEDERAL WAY SCHOOL DISTRICT</t>
  </si>
  <si>
    <t>37502 FERNDALE SCHOOL DISTRICT</t>
  </si>
  <si>
    <t>27417 FIFE SCHOOL DISTRICT</t>
  </si>
  <si>
    <t>03053 FINLEY SCHOOL DISTRICT</t>
  </si>
  <si>
    <t>27402 FRANKLIN PIERCE SCHOOL DISTRICT</t>
  </si>
  <si>
    <t>32358 FREEMAN SCHOOL DISTRICT</t>
  </si>
  <si>
    <t>38302 GARFIELD SCHOOL DISTRICT</t>
  </si>
  <si>
    <t>20401 GLENWOOD SCHOOL DISTRICT</t>
  </si>
  <si>
    <t>20404 GOLDENDALE SCHOOL DISTRICT</t>
  </si>
  <si>
    <t>13301 GRAND COULEE DAM SCHOOL DISTRICT</t>
  </si>
  <si>
    <t>39200 GRANDVIEW SCHOOL DISTRICT</t>
  </si>
  <si>
    <t>39204 GRANGER SCHOOL DISTRICT</t>
  </si>
  <si>
    <t>31332 GRANITE FALLS SCHOOL DISTRICT</t>
  </si>
  <si>
    <t>23054 GRAPEVIEW SCHOOL DISTRICT</t>
  </si>
  <si>
    <t>32312 GREAT NORTHERN SCHOOL DISTRICT</t>
  </si>
  <si>
    <t>06103 GREEN MOUNTAIN SCHOOL DISTRICT</t>
  </si>
  <si>
    <t>34324 GRIFFIN SCHOOL DISTRICT</t>
  </si>
  <si>
    <t>22204 HARRINGTON SCHOOL DISTRICT</t>
  </si>
  <si>
    <t>39203 HIGHLAND SCHOOL DISTRICT</t>
  </si>
  <si>
    <t>17401 HIGHLINE SCHOOL DISTRICT</t>
  </si>
  <si>
    <t>06098 HOCKINSON SCHOOL DISTRICT</t>
  </si>
  <si>
    <t>23404 HOOD CANAL SCHOOL DISTRICT</t>
  </si>
  <si>
    <t>14028 HOQUIAM SCHOOL DISTRICT</t>
  </si>
  <si>
    <t>IMPACT TACOMA</t>
  </si>
  <si>
    <t>27902 IMPACT TACOMA CHARTER</t>
  </si>
  <si>
    <t>17911 IMPACT PUGET SOUND CHARTER</t>
  </si>
  <si>
    <t>17916 IMPACT SALISH SEA CHARTER</t>
  </si>
  <si>
    <t>10070 INCHELIUM SCHOOL DISTRICT</t>
  </si>
  <si>
    <t>31063 INDEX SCHOOL DISTRICT</t>
  </si>
  <si>
    <t>17411 ISSAQUAH SCHOOL DISTRICT</t>
  </si>
  <si>
    <t>11056 KAHLOTUS SCHOOL DISTRICT</t>
  </si>
  <si>
    <t>08402 KALAMA SCHOOL DISTRICT</t>
  </si>
  <si>
    <t>10003 KELLER SCHOOL DISTRICT</t>
  </si>
  <si>
    <t>08458 KELSO SCHOOL DISTRICT</t>
  </si>
  <si>
    <t>03017 KENNEWICK SCHOOL DISTRICT</t>
  </si>
  <si>
    <t>17415 KENT SCHOOL DISTRICT</t>
  </si>
  <si>
    <t>33212 KETTLE FALLS SCHOOL DISTRICT</t>
  </si>
  <si>
    <t>03052 KIONA BENTON SCHOOL DISTRICT</t>
  </si>
  <si>
    <t>19403 KITTITAS SCHOOL DISTRICT</t>
  </si>
  <si>
    <t>20402 KLICKITAT SCHOOL DISTRICT</t>
  </si>
  <si>
    <t>29311 LA CONNER SCHOOL DISTRICT</t>
  </si>
  <si>
    <t>06101 LACENTER SCHOOL DISTRICT</t>
  </si>
  <si>
    <t>38126 LACROSSE JOINT SCHOOL DISTRICT</t>
  </si>
  <si>
    <t>04129 LAKE CHELAN SCHOOL DISTRICT</t>
  </si>
  <si>
    <t>31004 LAKE STEVENS SCHOOL DISTRICT</t>
  </si>
  <si>
    <t>17414 LAKE WASHINGTON SCHOOL DISTRICT</t>
  </si>
  <si>
    <t>31306 LAKEWOOD SCHOOL DISTRICT</t>
  </si>
  <si>
    <t>38264 LAMONT SCHOOL DISTRICT</t>
  </si>
  <si>
    <t>32362 LIBERTY SCHOOL DISTRICT</t>
  </si>
  <si>
    <t>01158 LIND SCHOOL DISTRICT</t>
  </si>
  <si>
    <t>08122 LONGVIEW SCHOOL DISTRICT</t>
  </si>
  <si>
    <t>33183 LOON LAKE SCHOOL DISTRICT</t>
  </si>
  <si>
    <t>28144 LOPEZ SCHOOL DISTRICT</t>
  </si>
  <si>
    <t>32903 LUMEN CHARTER</t>
  </si>
  <si>
    <t>LUMMI</t>
  </si>
  <si>
    <t>37903 LUMMI TRIBAL COMPACT</t>
  </si>
  <si>
    <t>20406 LYLE SCHOOL DISTRICT</t>
  </si>
  <si>
    <t>37504 LYNDEN SCHOOL DISTRICT</t>
  </si>
  <si>
    <t>39120 MABTON SCHOOL DISTRICT</t>
  </si>
  <si>
    <t>09207 MANSFIELD SCHOOL DISTRICT</t>
  </si>
  <si>
    <t>04019 MANSON SCHOOL DISTRICT</t>
  </si>
  <si>
    <t>23311 MARY M KNIGHT SCHOOL DISTRICT</t>
  </si>
  <si>
    <t>33207 MARY WALKER SCHOOL DISTRICT</t>
  </si>
  <si>
    <t>31025 MARYSVILLE SCHOOL DISTRICT</t>
  </si>
  <si>
    <t>14065 MC CLEARY SCHOOL DISTRICT</t>
  </si>
  <si>
    <t>32354 MEAD SCHOOL DISTRICT</t>
  </si>
  <si>
    <t>32326 MEDICAL LAKE SCHOOL DISTRICT</t>
  </si>
  <si>
    <t>17400 MERCER ISLAND SCHOOL DISTRICT</t>
  </si>
  <si>
    <t>37505 MERIDIAN SCHOOL DISTRICT</t>
  </si>
  <si>
    <t>24350 METHOW VALLEY SCHOOL DISTRICT</t>
  </si>
  <si>
    <t>30031 MILL A SCHOOL DISTRICT</t>
  </si>
  <si>
    <t>31103 MONROE SCHOOL DISTRICT</t>
  </si>
  <si>
    <t>14066 MONTESANO SCHOOL DISTRICT</t>
  </si>
  <si>
    <t>21214 MORTON SCHOOL DISTRICT</t>
  </si>
  <si>
    <t>13161 MOSES LAKE SCHOOL DISTRICT</t>
  </si>
  <si>
    <t>21206 MOSSYROCK SCHOOL DISTRICT</t>
  </si>
  <si>
    <t>39209 MOUNT ADAMS SCHOOL DISTRICT</t>
  </si>
  <si>
    <t>37507 MOUNT BAKER SCHOOL DISTRICT</t>
  </si>
  <si>
    <t>30029 MOUNT PLEASANT SCHOOL DISTRICT</t>
  </si>
  <si>
    <t>29320 MT VERNON SCHOOL DISTRICT</t>
  </si>
  <si>
    <t>MUCKLESHOOT</t>
  </si>
  <si>
    <t>17903 MUCKLESHOOT TRIBAL COMPACT</t>
  </si>
  <si>
    <t>31006 MUKILTEO SCHOOL DISTRICT</t>
  </si>
  <si>
    <t>39003 NACHES VALLEY SCHOOL DISTRICT</t>
  </si>
  <si>
    <t>21014 NAPAVINE SCHOOL DISTRICT</t>
  </si>
  <si>
    <t>25155 NASELLE GRAYS RIVER SCHOOL DISTRICT</t>
  </si>
  <si>
    <t>24014 NESPELEM SCHOOL DISTRICT</t>
  </si>
  <si>
    <t>26056 NEWPORT SCHOOL DISTRICT</t>
  </si>
  <si>
    <t>32325 NINE MILE FALLS SCHOOL DISTRICT</t>
  </si>
  <si>
    <t>37506 NOOKSACK VALLEY SCHOOL DISTRICT</t>
  </si>
  <si>
    <t>14064 NORTH BEACH SCHOOL DISTRICT</t>
  </si>
  <si>
    <t>11051 NORTH FRANKLIN SCHOOL DISTRICT</t>
  </si>
  <si>
    <t>18400 NORTH KITSAP SCHOOL DISTRICT</t>
  </si>
  <si>
    <t>23403 NORTH MASON SCHOOL DISTRICT</t>
  </si>
  <si>
    <t>25200 NORTH RIVER SCHOOL DISTRICT</t>
  </si>
  <si>
    <t>34003 NORTH THURSTON SCHOOL DISTRICT</t>
  </si>
  <si>
    <t>33211 NORTHPORT SCHOOL DISTRICT</t>
  </si>
  <si>
    <t>17417 NORTHSHORE SCHOOL DISTRICT</t>
  </si>
  <si>
    <t>15201 OAK HARBOR SCHOOL DISTRICT</t>
  </si>
  <si>
    <t>38324 OAKESDALE SCHOOL DISTRICT</t>
  </si>
  <si>
    <t>14400 OAKVILLE SCHOOL DISTRICT</t>
  </si>
  <si>
    <t>25101 OCEAN BEACH SCHOOL DISTRICT</t>
  </si>
  <si>
    <t>14172 OCOSTA SCHOOL DISTRICT</t>
  </si>
  <si>
    <t>22105 ODESSA SCHOOL DISTRICT</t>
  </si>
  <si>
    <t>24105 OKANOGAN SCHOOL DISTRICT</t>
  </si>
  <si>
    <t>34111 OLYMPIA SCHOOL DISTRICT</t>
  </si>
  <si>
    <t>24019 OMAK SCHOOL DISTRICT</t>
  </si>
  <si>
    <t>21300 ONALASKA SCHOOL DISTRICT</t>
  </si>
  <si>
    <t>33030 ONION CREEK SCHOOL DISTRICT</t>
  </si>
  <si>
    <t>28137 ORCAS SCHOOL DISTRICT</t>
  </si>
  <si>
    <t>32123 ORCHARD PRAIRIE SCHOOL DISTRICT</t>
  </si>
  <si>
    <t>10065 ORIENT SCHOOL DISTRICT</t>
  </si>
  <si>
    <t>09013 ORONDO SCHOOL DISTRICT</t>
  </si>
  <si>
    <t>24410 OROVILLE SCHOOL DISTRICT</t>
  </si>
  <si>
    <t>27344 ORTING SCHOOL DISTRICT</t>
  </si>
  <si>
    <t>01147 OTHELLO SCHOOL DISTRICT</t>
  </si>
  <si>
    <t>09102 PALISADES SCHOOL DISTRICT</t>
  </si>
  <si>
    <t>38301 PALOUSE SCHOOL DISTRICT</t>
  </si>
  <si>
    <t>11001 PASCO SCHOOL DISTRICT</t>
  </si>
  <si>
    <t>24122 PATEROS SCHOOL DISTRICT</t>
  </si>
  <si>
    <t>03050 PATERSON SCHOOL DISTRICT</t>
  </si>
  <si>
    <t>21301 PE ELL SCHOOL DISTRICT</t>
  </si>
  <si>
    <t>27401 PENINSULA SCHOOL DISTRICT</t>
  </si>
  <si>
    <t>04901 PINNACLES PREP CHARTER</t>
  </si>
  <si>
    <t>23402 PIONEER SCHOOL DISTRICT</t>
  </si>
  <si>
    <t>12110 POMEROY SCHOOL DISTRICT</t>
  </si>
  <si>
    <t>05121 PORT ANGELES SCHOOL DISTRICT</t>
  </si>
  <si>
    <t>16050 PORT TOWNSEND SCHOOL DISTRICT</t>
  </si>
  <si>
    <t>36402 PRESCOTT SCHOOL DISTRICT</t>
  </si>
  <si>
    <t>PRIDE PREP</t>
  </si>
  <si>
    <t>32907 PRIDE PREP SCHOOL DISTRICT</t>
  </si>
  <si>
    <t>03116 PROSSER SCHOOL DISTRICT</t>
  </si>
  <si>
    <t>38267 PULLMAN SCHOOL DISTRICT</t>
  </si>
  <si>
    <t>38901 PULLMAN COMMUNITY MONTESSORI CHARTER</t>
  </si>
  <si>
    <t>27003 PUYALLUP SCHOOL DISTRICT</t>
  </si>
  <si>
    <t>16020 QUEETS-CLEARWATER SCHOOL DISTRICT</t>
  </si>
  <si>
    <t>16048 QUILCENE SCHOOL DISTRICT</t>
  </si>
  <si>
    <t>QUILEUTE</t>
  </si>
  <si>
    <t>05903 QUILEUTE TRIBAL COMPACT</t>
  </si>
  <si>
    <t>05402 QUILLAYUTE VALLEY SCHOOL DISTRICT</t>
  </si>
  <si>
    <t>14097 QUINAULT SCHOOL DISTRICT</t>
  </si>
  <si>
    <t>13144 QUINCY SCHOOL DISTRICT</t>
  </si>
  <si>
    <t>34307 RAINIER SCHOOL DISTRICT</t>
  </si>
  <si>
    <t>RAINIER PREP</t>
  </si>
  <si>
    <t>17908 RAINIER PREP CHARTER</t>
  </si>
  <si>
    <t>17910 RAINIER VALLEY LEADERSHIP ACADEMY CHARTER</t>
  </si>
  <si>
    <t>25116 RAYMOND SCHOOL DISTRICT</t>
  </si>
  <si>
    <t>22009 REARDAN SCHOOL DISTRICT</t>
  </si>
  <si>
    <t>17403 RENTON SCHOOL DISTRICT</t>
  </si>
  <si>
    <t>10309 REPUBLIC SCHOOL DISTRICT</t>
  </si>
  <si>
    <t>03400 RICHLAND SCHOOL DISTRICT</t>
  </si>
  <si>
    <t>06122 RIDGEFIELD SCHOOL DISTRICT</t>
  </si>
  <si>
    <t>01160 RITZVILLE SCHOOL DISTRICT</t>
  </si>
  <si>
    <t>32416 RIVERSIDE SCHOOL DISTRICT</t>
  </si>
  <si>
    <t>17407 RIVERVIEW SCHOOL DISTRICT</t>
  </si>
  <si>
    <t>34401 ROCHESTER SCHOOL DISTRICT</t>
  </si>
  <si>
    <t>20403 ROOSEVELT SCHOOL DISTRICT</t>
  </si>
  <si>
    <t>38320 ROSALIA SCHOOL DISTRICT</t>
  </si>
  <si>
    <t>13160 ROYAL SCHOOL DISTRICT</t>
  </si>
  <si>
    <t>28149 SAN JUAN SCHOOL DISTRICT</t>
  </si>
  <si>
    <t>14104 SATSOP SCHOOL DISTRICT</t>
  </si>
  <si>
    <t>17001 SEATTLE SCHOOL DISTRICT</t>
  </si>
  <si>
    <t>29101 SEDRO WOOLLEY SCHOOL DISTRICT</t>
  </si>
  <si>
    <t>39119 SELAH SCHOOL DISTRICT</t>
  </si>
  <si>
    <t>26070 SELKIRK SCHOOL DISTRICT</t>
  </si>
  <si>
    <t>05323 SEQUIM SCHOOL DISTRICT</t>
  </si>
  <si>
    <t>28010 SHAW SCHOOL DISTRICT</t>
  </si>
  <si>
    <t>23309 SHELTON SCHOOL DISTRICT</t>
  </si>
  <si>
    <t>17412 SHORELINE SCHOOL DISTRICT</t>
  </si>
  <si>
    <t>30002 SKAMANIA SCHOOL DISTRICT</t>
  </si>
  <si>
    <t>17404 SKYKOMISH SCHOOL DISTRICT</t>
  </si>
  <si>
    <t>31201 SNOHOMISH SCHOOL DISTRICT</t>
  </si>
  <si>
    <t>17410 SNOQUALMIE VALLEY SCHOOL DISTRICT</t>
  </si>
  <si>
    <t>13156 SOAP LAKE SCHOOL DISTRICT</t>
  </si>
  <si>
    <t>25118 SOUTH BEND SCHOOL DISTRICT</t>
  </si>
  <si>
    <t>18402 SOUTH KITSAP SCHOOL DISTRICT</t>
  </si>
  <si>
    <t>15206 SOUTH WHIDBEY SCHOOL DISTRICT</t>
  </si>
  <si>
    <t>23042 SOUTHSIDE SCHOOL DISTRICT</t>
  </si>
  <si>
    <t>32081 SPOKANE SCHOOL DISTRICT</t>
  </si>
  <si>
    <t>SPOKANE INT'L</t>
  </si>
  <si>
    <t>32901 SPOKANE INT'L CHARTER</t>
  </si>
  <si>
    <t>22008 SPRAGUE SCHOOL DISTRICT</t>
  </si>
  <si>
    <t>38322 ST JOHN SCHOOL DISTRICT</t>
  </si>
  <si>
    <t>31401 STANWOOD SCHOOL DISTRICT</t>
  </si>
  <si>
    <t>11054 STAR SCHOOL DISTRICT</t>
  </si>
  <si>
    <t>07035 STARBUCK SCHOOL DISTRICT</t>
  </si>
  <si>
    <t>04069 STEHEKIN SCHOOL DISTRICT</t>
  </si>
  <si>
    <t>27001 STEILACOOM HIST. SCHOOL DISTRICT</t>
  </si>
  <si>
    <t>38304 STEPTOE SCHOOL DISTRICT</t>
  </si>
  <si>
    <t>30303 STEVENSON-CARSON SCHOOL DISTRICT</t>
  </si>
  <si>
    <t>31311 SULTAN SCHOOL DISTRICT</t>
  </si>
  <si>
    <t>33202 SUMMIT VALLEY SCHOOL DISTRICT</t>
  </si>
  <si>
    <t>SUMMIT: ATLAS</t>
  </si>
  <si>
    <t>17905 SUMMIT: ATLAS CHARTER</t>
  </si>
  <si>
    <t>SUMMIT: OLYMPUS</t>
  </si>
  <si>
    <t>27905 SUMMIT: OLYMPUS CHARTER</t>
  </si>
  <si>
    <t>SUMMIT: SIERRA</t>
  </si>
  <si>
    <t>17902 SUMMIT: SIERRA CHARTER</t>
  </si>
  <si>
    <t>SUMNER</t>
  </si>
  <si>
    <t>27320 SUMNER SCHOOL DISTRICT</t>
  </si>
  <si>
    <t>39201 SUNNYSIDE SCHOOL DISTRICT</t>
  </si>
  <si>
    <t>SUQUAMISH</t>
  </si>
  <si>
    <t>18902 SUQUAMISH TRIBAL COMPACT</t>
  </si>
  <si>
    <t>27010 TACOMA SCHOOL DISTRICT</t>
  </si>
  <si>
    <t>14077 TAHOLAH SCHOOL DISTRICT</t>
  </si>
  <si>
    <t>17409 TAHOMA SCHOOL DISTRICT</t>
  </si>
  <si>
    <t>38265 TEKOA SCHOOL DISTRICT</t>
  </si>
  <si>
    <t>34402 TENINO SCHOOL DISTRICT</t>
  </si>
  <si>
    <t>19400 THORP SCHOOL DISTRICT</t>
  </si>
  <si>
    <t>21237 TOLEDO SCHOOL DISTRICT</t>
  </si>
  <si>
    <t>24404 TONASKET SCHOOL DISTRICT</t>
  </si>
  <si>
    <t>39202 TOPPENISH SCHOOL DISTRICT</t>
  </si>
  <si>
    <t>36300 TOUCHET SCHOOL DISTRICT</t>
  </si>
  <si>
    <t>08130 TOUTLE LAKE SCHOOL DISTRICT</t>
  </si>
  <si>
    <t>20400 TROUT LAKE SCHOOL DISTRICT</t>
  </si>
  <si>
    <t>TUKWILA</t>
  </si>
  <si>
    <t>17406 TUKWILA SCHOOL DISTRICT</t>
  </si>
  <si>
    <t>34033 TUMWATER SCHOOL DISTRICT</t>
  </si>
  <si>
    <t>39002 UNION GAP SCHOOL DISTRICT</t>
  </si>
  <si>
    <t>27083 UNIVERSITY PLACE SCHOOL DISTRICT</t>
  </si>
  <si>
    <t>33070 VALLEY SCHOOL DISTRICT</t>
  </si>
  <si>
    <t>06037 VANCOUVER SCHOOL DISTRICT</t>
  </si>
  <si>
    <t>17402 VASHON ISLAND SCHOOL DISTRICT</t>
  </si>
  <si>
    <t>34901 WA HE LUT TRIBAL COMPACT</t>
  </si>
  <si>
    <t>35200 WAHKIAKUM SCHOOL DISTRICT</t>
  </si>
  <si>
    <t>13073 WAHLUKE SCHOOL DISTRICT</t>
  </si>
  <si>
    <t>36401 WAITSBURG SCHOOL DISTRICT</t>
  </si>
  <si>
    <t>36140 WALLA WALLA SCHOOL DISTRICT</t>
  </si>
  <si>
    <t>39207 WAPATO SCHOOL DISTRICT</t>
  </si>
  <si>
    <t>13146 WARDEN SCHOOL DISTRICT</t>
  </si>
  <si>
    <t>06112 WASHOUGAL SCHOOL DISTRICT</t>
  </si>
  <si>
    <t>01109 WASHTUCNA SCHOOL DISTRICT</t>
  </si>
  <si>
    <t>09209 WATERVILLE SCHOOL DISTRICT</t>
  </si>
  <si>
    <t>33049 WELLPINIT SCHOOL DISTRICT</t>
  </si>
  <si>
    <t>04246 WENATCHEE SCHOOL DISTRICT</t>
  </si>
  <si>
    <t>32363 WEST VALLEY (SPOKANE) SCHOOL DISTRICT</t>
  </si>
  <si>
    <t>39208 WEST VALLEY (YAKIMA) SCHOOL DISTRICT</t>
  </si>
  <si>
    <t>37902 WHATCOM INTERGENERATIONAL CHARTER</t>
  </si>
  <si>
    <t>21303 WHITE PASS SCHOOL DISTRICT</t>
  </si>
  <si>
    <t>27416 WHITE RIVER SCHOOL DISTRICT</t>
  </si>
  <si>
    <t>20405 WHITE SALMON SCHOOL DISTRICT</t>
  </si>
  <si>
    <t>17917 WHY NOT YOU CHARTER</t>
  </si>
  <si>
    <t>22200 WILBUR SCHOOL DISTRICT</t>
  </si>
  <si>
    <t>25160 WILLAPA VALLEY SCHOOL DISTRICT</t>
  </si>
  <si>
    <t>13167 WILSON CREEK SCHOOL DISTRICT</t>
  </si>
  <si>
    <t>21232 WINLOCK SCHOOL DISTRICT</t>
  </si>
  <si>
    <t>14117 WISHKAH VALLEY SCHOOL DISTRICT</t>
  </si>
  <si>
    <t>20094 WISHRAM SCHOOL DISTRICT</t>
  </si>
  <si>
    <t>08404 WOODLAND SCHOOL DISTRICT</t>
  </si>
  <si>
    <t>YAKAMA</t>
  </si>
  <si>
    <t>39901 YAKAMA SCHOOL DISTRICT</t>
  </si>
  <si>
    <t>39007 YAKIMA SCHOOL DISTRICT</t>
  </si>
  <si>
    <t>34002 YELM SCHOOL DISTRICT</t>
  </si>
  <si>
    <t>39205 ZILLAH SCHOOL DISTRICT</t>
  </si>
  <si>
    <t>used for</t>
  </si>
  <si>
    <t>2020-21 Indirect Rates used for the 2022-2023 Financials</t>
  </si>
  <si>
    <t>2022-2023</t>
  </si>
  <si>
    <t>Row Labels</t>
  </si>
  <si>
    <t>School District</t>
  </si>
  <si>
    <t>619</t>
  </si>
  <si>
    <t>609</t>
  </si>
  <si>
    <t>620</t>
  </si>
  <si>
    <t>Federal</t>
  </si>
  <si>
    <t>State</t>
  </si>
  <si>
    <t>Fed</t>
  </si>
  <si>
    <t>BP-5 Copied here</t>
  </si>
  <si>
    <t>Recovery</t>
  </si>
  <si>
    <t>Unrestricted</t>
  </si>
  <si>
    <t>Name</t>
  </si>
  <si>
    <t>Rate</t>
  </si>
  <si>
    <t>00000</t>
  </si>
  <si>
    <t xml:space="preserve">State Average </t>
  </si>
  <si>
    <t>BAINBRIDGE ISLAND</t>
  </si>
  <si>
    <t>BURLINGTON-EDISON</t>
  </si>
  <si>
    <t>CATALYST CHARTER</t>
  </si>
  <si>
    <t>COLUMBIA (Stevens)</t>
  </si>
  <si>
    <t>COLUMBIA (Walla Walla)</t>
  </si>
  <si>
    <t>EAST VALLEY (Spokane)</t>
  </si>
  <si>
    <t>EAST VALLEY (Yakima)</t>
  </si>
  <si>
    <t>EVERGREEN</t>
  </si>
  <si>
    <t>IMPACT - COMMENCEMENT BAY CHARTER</t>
  </si>
  <si>
    <t>IMPACT - PUGET SOUND CHARTER</t>
  </si>
  <si>
    <t>IMPACT - SALISH SEA CHARTER</t>
  </si>
  <si>
    <t>KIONA-BENTON</t>
  </si>
  <si>
    <t>LA CENTER</t>
  </si>
  <si>
    <t>LACROSSE</t>
  </si>
  <si>
    <t>LOPEZ ISLAND</t>
  </si>
  <si>
    <t>LUMENS HIGH SCHOOL CHARTER</t>
  </si>
  <si>
    <t>LUMMI TRIBAL AGENCY</t>
  </si>
  <si>
    <t>MARY M. KNIGHT</t>
  </si>
  <si>
    <t>MCCLEARY</t>
  </si>
  <si>
    <t>MOUNT VERNON</t>
  </si>
  <si>
    <t>MUCKLESHOOT INDIAN TRIBE</t>
  </si>
  <si>
    <t>NASELLE-GRAYS RIVER</t>
  </si>
  <si>
    <t>ORCAS ISLAND</t>
  </si>
  <si>
    <t>PINNACLES PREP CHARTER</t>
  </si>
  <si>
    <t>PULLMAN COMM MONTESOURI CHARTER</t>
  </si>
  <si>
    <t>QUILLAYUTE TRIBAL SCHOOL</t>
  </si>
  <si>
    <t>RAINIER PREP CHARTER</t>
  </si>
  <si>
    <t>RVLA CHARTER</t>
  </si>
  <si>
    <t>REARDAN-EDWALL</t>
  </si>
  <si>
    <t>SPOKANE INTL ACADEMY CHARTER</t>
  </si>
  <si>
    <t>ST. JOHN</t>
  </si>
  <si>
    <t>SUMMIT:ATLAS</t>
  </si>
  <si>
    <t xml:space="preserve">SUQUAMISH TRIBAL EDUCATION </t>
  </si>
  <si>
    <t>WA HE LUT TRIBAL SCHOOL</t>
  </si>
  <si>
    <t>WEST VALLEY (Spokane)</t>
  </si>
  <si>
    <t>WEST VALLEY (Yakima)</t>
  </si>
  <si>
    <t>WHATCOM INTERGENERATIONAL CHARTER</t>
  </si>
  <si>
    <t>WY NOT YOU ACADEMY CHARTER</t>
  </si>
  <si>
    <t>YAKAMA NATION TRIBAL SCHOOL</t>
  </si>
  <si>
    <t>YELM COMMUNITY SCHS.</t>
  </si>
  <si>
    <t>GL 810 Restricted for Other Items (GF, CPF, DSF, ASB, TVF, PF)</t>
  </si>
  <si>
    <t>(Return to sheet)</t>
  </si>
  <si>
    <t>General Fund</t>
  </si>
  <si>
    <t>Capital Projects Fund</t>
  </si>
  <si>
    <t>Debt Service Fund</t>
  </si>
  <si>
    <t xml:space="preserve">ASB Fund </t>
  </si>
  <si>
    <t>Transportation Vehicle Fund</t>
  </si>
  <si>
    <t>Permanent Fund</t>
  </si>
  <si>
    <t>(Enter description of Restriction)</t>
  </si>
  <si>
    <t>GL 815 Restricted for Unequalized Deductible Revenues</t>
  </si>
  <si>
    <t>General Fund Only, Cash Basis Districts Only</t>
  </si>
  <si>
    <t>(Return to summary sheet)</t>
  </si>
  <si>
    <t>Beginning Balance (from prior year financial data)</t>
  </si>
  <si>
    <t>Deductible revenues reduced in fiscal year</t>
  </si>
  <si>
    <t>Net balance</t>
  </si>
  <si>
    <t>Deductible revenues received but not equalized</t>
  </si>
  <si>
    <t>Revenue 1400 Local in Lieu of Taxes</t>
  </si>
  <si>
    <t>Revenue 1600 County-Administered Forests</t>
  </si>
  <si>
    <t>Revenue 3600 State Forests</t>
  </si>
  <si>
    <t>Revenue 5400 Federal in lieu of Taxes</t>
  </si>
  <si>
    <t>Revenue 5500 Federal Forests</t>
  </si>
  <si>
    <t>Total Deductible revenues received but not equalized</t>
  </si>
  <si>
    <t>GL 821 Restricted for Carryover of Restricted Revenues</t>
  </si>
  <si>
    <t>State Recovery Rate</t>
  </si>
  <si>
    <t>Federal Restricted Indirect Rate</t>
  </si>
  <si>
    <t>Federal Unrestricted Indirect Rate</t>
  </si>
  <si>
    <t xml:space="preserve">Activity 34 Professional Learning Days </t>
  </si>
  <si>
    <r>
      <rPr>
        <b/>
        <sz val="10"/>
        <color theme="1"/>
        <rFont val="Calibri"/>
        <family val="2"/>
        <scheme val="minor"/>
      </rPr>
      <t>Activity 34:</t>
    </r>
    <r>
      <rPr>
        <sz val="10"/>
        <color theme="1"/>
        <rFont val="Calibri"/>
        <family val="2"/>
        <scheme val="minor"/>
      </rPr>
      <t xml:space="preserve"> RCW 43.09.2856: School district audits: (3) The use of the state allocation provided for professional learning under RCW 28A.150.415 must be audited as part of the regular financial audits of school districts by the state auditor's office to ensure compliance with the limitations and conditions of RCW 28A.150.415.</t>
    </r>
  </si>
  <si>
    <t>Beginning Balance (PY Carryover)</t>
  </si>
  <si>
    <t>Add Current Year Activity 34 Allocation</t>
  </si>
  <si>
    <t>1191PLD</t>
  </si>
  <si>
    <t>Total Available</t>
  </si>
  <si>
    <t xml:space="preserve">Direct Expenditures, Activity 34 </t>
  </si>
  <si>
    <t>Special Education Program 21</t>
  </si>
  <si>
    <t>Add Current Year Allocation (from 1197)</t>
  </si>
  <si>
    <t>Expenditures</t>
  </si>
  <si>
    <t>Direct Expenditures</t>
  </si>
  <si>
    <t>Revenue 3121 Allotment</t>
  </si>
  <si>
    <t>Indirect Expenditures</t>
  </si>
  <si>
    <t>Subtotal</t>
  </si>
  <si>
    <t>Revenue 7121</t>
  </si>
  <si>
    <t>Net</t>
  </si>
  <si>
    <t>State Institutions Program 26</t>
  </si>
  <si>
    <t>Special Education–Other–Federal Program 29</t>
  </si>
  <si>
    <r>
      <rPr>
        <b/>
        <sz val="11"/>
        <color theme="1"/>
        <rFont val="Calibri"/>
        <family val="2"/>
        <scheme val="minor"/>
      </rPr>
      <t>REVENUE 5329 IMPACT AID</t>
    </r>
    <r>
      <rPr>
        <sz val="11"/>
        <color theme="1"/>
        <rFont val="Calibri"/>
        <family val="2"/>
        <scheme val="minor"/>
      </rPr>
      <t>: Payments for Children with Disabilities provide additional assistance to school districts that educate federally connected children who are eligible for services under the Individuals with Disabilities Act (IDEA). These payments are in addition to Basic Support Payments and IDEA funds provided on behalf of these children. A school district that receives these funds MUST use them for the increased costs of educating federally connected children with disabilities.</t>
    </r>
  </si>
  <si>
    <t>Add Current Year Federal Award (Revenue 5329)</t>
  </si>
  <si>
    <t>Expenditures, Program 29</t>
  </si>
  <si>
    <t>Vocational Education Program 31</t>
  </si>
  <si>
    <t>Different ways to calculate the same thing</t>
  </si>
  <si>
    <t>Minimum Direct Expenditures (from 1191)</t>
  </si>
  <si>
    <t>Allowed Carryover</t>
  </si>
  <si>
    <t>Unspent</t>
  </si>
  <si>
    <t>Voc Enhancement</t>
  </si>
  <si>
    <t>Carryover/ Recovery Tool</t>
  </si>
  <si>
    <t>Orig F/B tool</t>
  </si>
  <si>
    <t>Another calc</t>
  </si>
  <si>
    <t>Allowable Carryover</t>
  </si>
  <si>
    <t>Middle School Vocational Education Program 34</t>
  </si>
  <si>
    <t>LAP Program 55</t>
  </si>
  <si>
    <t>LAP Program 55 High Poverty</t>
  </si>
  <si>
    <t>LAP Program 55 Total Carryover</t>
  </si>
  <si>
    <t xml:space="preserve">LAP Program 55 Total Recovery </t>
  </si>
  <si>
    <t>State Institutions Program 56</t>
  </si>
  <si>
    <t>State Institutions Program 59</t>
  </si>
  <si>
    <t>Bilingual Program 65</t>
  </si>
  <si>
    <t>Current Year Allocation</t>
  </si>
  <si>
    <t>Highly Capable Program 74</t>
  </si>
  <si>
    <t>Student Transportation Program 99</t>
  </si>
  <si>
    <t xml:space="preserve">Stabilization </t>
  </si>
  <si>
    <t>Recovery Rate</t>
  </si>
  <si>
    <t>Revenue 7199</t>
  </si>
  <si>
    <t>Expenditures - Revenue 7199</t>
  </si>
  <si>
    <t>Lessor of [Allocation or Net Expd-Carryover]</t>
  </si>
  <si>
    <t xml:space="preserve">Recovery </t>
  </si>
  <si>
    <t>Succeeding Year Allocation Limitation Based on Expenditures</t>
  </si>
  <si>
    <t>Fire District Payments</t>
  </si>
  <si>
    <t>July Payment (Report 1191 Line VI.10)</t>
  </si>
  <si>
    <t>District Expenditures</t>
  </si>
  <si>
    <t>Total Carryover Amounts</t>
  </si>
  <si>
    <t>Activity 34 Professional Learning Days: Allocation Carryover</t>
  </si>
  <si>
    <t>Program 21 Carryover</t>
  </si>
  <si>
    <t>Program 26 Carryover</t>
  </si>
  <si>
    <t>Program 29 Carryover</t>
  </si>
  <si>
    <t>Program 31 Carryover</t>
  </si>
  <si>
    <t>Program 34 Carryover</t>
  </si>
  <si>
    <t>Program 55 Carryover</t>
  </si>
  <si>
    <t>Program 55 High Poverty Carryover</t>
  </si>
  <si>
    <t>Program 56 Carryover</t>
  </si>
  <si>
    <t>Program 59 Carryover</t>
  </si>
  <si>
    <t>Total Restricted Revenue Carryover</t>
  </si>
  <si>
    <t>Cash Basis Districts - Recovery of Restricted Revenues</t>
  </si>
  <si>
    <t>Program 21 Recovery</t>
  </si>
  <si>
    <t>Program 26 Recovery</t>
  </si>
  <si>
    <t>Program 31 Recovery</t>
  </si>
  <si>
    <t>Program 34 Recovery</t>
  </si>
  <si>
    <t>Program 55 Recovery</t>
  </si>
  <si>
    <t>Program 56 Recovery</t>
  </si>
  <si>
    <t>Program 59 Recovery</t>
  </si>
  <si>
    <t>Program 65 Recovery</t>
  </si>
  <si>
    <t>Program 74 Recovery</t>
  </si>
  <si>
    <t>Program 99 Recovery</t>
  </si>
  <si>
    <t>Fire District Payment (Report 1191 line VI.10.)</t>
  </si>
  <si>
    <t>Total Recovery of Restricted Revenues (Cash Basis Only)</t>
  </si>
  <si>
    <t>GRAND TOTAL  RESTRICTED CARRYOVER/RECOVERY</t>
  </si>
  <si>
    <t>ACCRUAL DISTRCTS: AMOUNT TO RECORD IN GL 630 FOR POTENTIAL RECOVERY</t>
  </si>
  <si>
    <t>(Click here for sample journal entries relating to recovery.)</t>
  </si>
  <si>
    <t>2019-20 FBRT</t>
  </si>
  <si>
    <t>2020-21 FBRT</t>
  </si>
  <si>
    <t xml:space="preserve">2021-22 FBRT </t>
  </si>
  <si>
    <t xml:space="preserve">2022-23 FBRT </t>
  </si>
  <si>
    <t>F-196</t>
  </si>
  <si>
    <t>2018-19       PLD 34</t>
  </si>
  <si>
    <t>2019-20       PLD 34</t>
  </si>
  <si>
    <t>2020-21       PLD 34</t>
  </si>
  <si>
    <t>2020-21         PLD 34</t>
  </si>
  <si>
    <t>20-21 PLD 34</t>
  </si>
  <si>
    <t>2021-22       PLD 34</t>
  </si>
  <si>
    <t>2021-22          PLD 34</t>
  </si>
  <si>
    <t>2021-22         PLD 34</t>
  </si>
  <si>
    <t>22-23 PLD 34</t>
  </si>
  <si>
    <t>2022-23       PLD 34</t>
  </si>
  <si>
    <t>Funds Available</t>
  </si>
  <si>
    <t>18303 BAINBRIDGE ISLAND SCHOOL DISTRICT</t>
  </si>
  <si>
    <t>29100 BURLINGTON-EDISON SCHOOL DISTRICT</t>
  </si>
  <si>
    <t>18901 CATALYST PUBLIC SCHOOLS</t>
  </si>
  <si>
    <t>36400 COLUMBIA (WALLA WALLA) SCHOOL DISTRICT</t>
  </si>
  <si>
    <t>13151 COULEE-HARTLINE SCHOOL DISTRICT</t>
  </si>
  <si>
    <t>32361 EAST VALLEY SCHOOL DISTRICT (SPOKANE)</t>
  </si>
  <si>
    <t>39090 EAST VALLEY SCHOOL DISTRICT (YAKIMA)</t>
  </si>
  <si>
    <t>34801 ESD 113</t>
  </si>
  <si>
    <t>18801 ESD 114</t>
  </si>
  <si>
    <t>17801 ESD 121</t>
  </si>
  <si>
    <t>29801 ESD 189</t>
  </si>
  <si>
    <t>06114 EVERGREEN SCHOOL DISTRICT (CLARK)</t>
  </si>
  <si>
    <t>33205 EVERGREEN SCHOOL DISTRICT (STEVENS)</t>
  </si>
  <si>
    <t>27902 IMPACT COMMENCEMENT BAY CHARTER</t>
  </si>
  <si>
    <t>17911 IMPACT PUGET SOUND ELEMENTARY</t>
  </si>
  <si>
    <t>17916 IMPACT SALISH SEA ELEMENTARY</t>
  </si>
  <si>
    <t>03052 KIONA-BENTON CITY SCHOOL DISTRICT</t>
  </si>
  <si>
    <t>06101 LA CENTER SCHOOL DISTRICT</t>
  </si>
  <si>
    <t>38126 LACROSSE SCHOOL DISTRICT</t>
  </si>
  <si>
    <t>32903 LUMEN HIGH SCHOOL</t>
  </si>
  <si>
    <t>37903 LUMMI TRIBAL AGENCY</t>
  </si>
  <si>
    <t>14065 MCCLEARY SCHOOL DISTRICT</t>
  </si>
  <si>
    <t>29320 MOUNT VERNON SCHOOL DISTRICT</t>
  </si>
  <si>
    <t>17903 MUCKLESHOOT INDIAN TRIBE</t>
  </si>
  <si>
    <t>25155 NASELLE-GRAYS RIVER VALLEY SCHOOL DISTRICT</t>
  </si>
  <si>
    <t>34003 NORTH THURSTON PUBLIC SCHOOLS</t>
  </si>
  <si>
    <t>28137 ORCAS ISLAND SCHOOL DISTRICT</t>
  </si>
  <si>
    <t>32907 PRIDE PREP CHARTER SCHOOL DISTRICT</t>
  </si>
  <si>
    <t>05903 QUILEUTE TRIBAL SCHOOL DISTRICT</t>
  </si>
  <si>
    <t>14097 LAKE QUINAULT SCHOOL DISTRICT</t>
  </si>
  <si>
    <t>17908 RAINIER PREP CHARTER SCHOOL DISTRICT</t>
  </si>
  <si>
    <t>17910 GREEN DOT: RAINIER VALLEY</t>
  </si>
  <si>
    <t>22009 REARDAN-EDWALL SCHOOL DISTRICT</t>
  </si>
  <si>
    <t>28149 SAN JUAN ISLAND SCHOOL DISTRICT</t>
  </si>
  <si>
    <t>17001 SEATTLE PUBLIC SCHOOLS</t>
  </si>
  <si>
    <t>29101 SEDRO-WOOLLEY SCHOOL DISTRICT</t>
  </si>
  <si>
    <t>28010 SHAW ISLAND SCHOOL DISTRICT</t>
  </si>
  <si>
    <t>32901 SPOKANE INTERNATIONAL ACADEMY</t>
  </si>
  <si>
    <t>38322 ST. JOHN SCHOOL DISTRICT</t>
  </si>
  <si>
    <t>31401 STANWOOD-CAMANO SCHOOL DISTRICT</t>
  </si>
  <si>
    <t>11054 STAR SCHOOL DISTRICT NO. 054</t>
  </si>
  <si>
    <t>17905 SUMMIT: ATLAS</t>
  </si>
  <si>
    <t>27905 SUMMIT PUBLIC SCHOOL: OLYMPUS</t>
  </si>
  <si>
    <t>17902 SUMMIT PUBLIC SCHOOL: SIERRA</t>
  </si>
  <si>
    <t>18902 SUQUAMISH TRIBAL EDUCATION DEPARTMENT</t>
  </si>
  <si>
    <t>34901 WA HE LUT</t>
  </si>
  <si>
    <t>36140 WALLA WALLA PUBLIC SCHOOLS</t>
  </si>
  <si>
    <t>32363 WEST VALLEY SCHOOL DISTRICT (SPOKANE)</t>
  </si>
  <si>
    <t>39208 WEST VALLEY SCHOOL DISTRICT (YAKIMA)</t>
  </si>
  <si>
    <t>20405 WHITE SALMON VALLEY SCHOOL DISTRICT</t>
  </si>
  <si>
    <t>39901  YAKAMA NATION TRIBAL</t>
  </si>
  <si>
    <t>2021–2022 PLD Activity 34 Apportionment Allocation — DETAIL</t>
  </si>
  <si>
    <t>District</t>
  </si>
  <si>
    <t>Activity 34 Total</t>
  </si>
  <si>
    <t>Rev 3100 PD
Gen Apport</t>
  </si>
  <si>
    <t>Rev 4121 PD
SpEd</t>
  </si>
  <si>
    <t>Rev 4155 PD
LAP</t>
  </si>
  <si>
    <t>Rev 4165 PD
TBIP</t>
  </si>
  <si>
    <t>Rev 4174 PD
HiCap</t>
  </si>
  <si>
    <t>Washtucna School District</t>
  </si>
  <si>
    <t>Benge School District</t>
  </si>
  <si>
    <t>Othello School District</t>
  </si>
  <si>
    <t>Lind School District</t>
  </si>
  <si>
    <t>Ritzville School District</t>
  </si>
  <si>
    <t>Clarkston School District</t>
  </si>
  <si>
    <t>Asotin-Anatone School District</t>
  </si>
  <si>
    <t>Kennewick School District</t>
  </si>
  <si>
    <t>Paterson School District</t>
  </si>
  <si>
    <t>Kiona-Benton City School District</t>
  </si>
  <si>
    <t>Finley School District</t>
  </si>
  <si>
    <t>Prosser School District</t>
  </si>
  <si>
    <t>Richland School District</t>
  </si>
  <si>
    <t>Manson School District</t>
  </si>
  <si>
    <t>Stehekin School District</t>
  </si>
  <si>
    <t>Entiat School District</t>
  </si>
  <si>
    <t>Lake Chelan School District</t>
  </si>
  <si>
    <t>CASHMERE SCHOOL DISTRICT</t>
  </si>
  <si>
    <t>Cascade School District</t>
  </si>
  <si>
    <t>Wenatchee School District</t>
  </si>
  <si>
    <t>Pinnacles Prep</t>
  </si>
  <si>
    <t>Port Angeles School District</t>
  </si>
  <si>
    <t>Crescent School District</t>
  </si>
  <si>
    <t>Sequim School District</t>
  </si>
  <si>
    <t>Cape Flattery School District</t>
  </si>
  <si>
    <t>Quillayute Valley School District</t>
  </si>
  <si>
    <t>Quileute Tribal School District</t>
  </si>
  <si>
    <t>Vancouver School District</t>
  </si>
  <si>
    <t>Hockinson School District</t>
  </si>
  <si>
    <t>La Center School District</t>
  </si>
  <si>
    <t>Green Mountain School District</t>
  </si>
  <si>
    <t>Washougal School District</t>
  </si>
  <si>
    <t>Evergreen School District (Clark)</t>
  </si>
  <si>
    <t>Camas School District</t>
  </si>
  <si>
    <t>Battle Ground School District</t>
  </si>
  <si>
    <t>Ridgefield School District</t>
  </si>
  <si>
    <t>Dayton School District</t>
  </si>
  <si>
    <t>Starbuck School District</t>
  </si>
  <si>
    <t>Longview School District</t>
  </si>
  <si>
    <t>Toutle Lake School District</t>
  </si>
  <si>
    <t>Castle Rock School District</t>
  </si>
  <si>
    <t>Kalama School District</t>
  </si>
  <si>
    <t>Woodland School District</t>
  </si>
  <si>
    <t>Kelso School District</t>
  </si>
  <si>
    <t>Orondo School District</t>
  </si>
  <si>
    <t>Bridgeport School District</t>
  </si>
  <si>
    <t>Palisades School District</t>
  </si>
  <si>
    <t>Eastmont School District</t>
  </si>
  <si>
    <t>Mansfield School District</t>
  </si>
  <si>
    <t>Waterville School District</t>
  </si>
  <si>
    <t>Keller School District</t>
  </si>
  <si>
    <t>Curlew School District</t>
  </si>
  <si>
    <t>Orient School District</t>
  </si>
  <si>
    <t>Inchelium School District</t>
  </si>
  <si>
    <t>Republic School District</t>
  </si>
  <si>
    <t>Pasco School District</t>
  </si>
  <si>
    <t>North Franklin School District</t>
  </si>
  <si>
    <t>Star School District No. 054</t>
  </si>
  <si>
    <t>Kahlotus School District</t>
  </si>
  <si>
    <t>Pomeroy School District</t>
  </si>
  <si>
    <t>Wahluke School District</t>
  </si>
  <si>
    <t>Quincy School District</t>
  </si>
  <si>
    <t>Warden School District</t>
  </si>
  <si>
    <t>Coulee-Hartline School District</t>
  </si>
  <si>
    <t>Soap Lake School District</t>
  </si>
  <si>
    <t>Royal School District</t>
  </si>
  <si>
    <t>Moses Lake School District</t>
  </si>
  <si>
    <t>Ephrata School District</t>
  </si>
  <si>
    <t>Wilson Creek School District</t>
  </si>
  <si>
    <t>Grand Coulee Dam School District</t>
  </si>
  <si>
    <t>Aberdeen School District</t>
  </si>
  <si>
    <t>Hoquiam School District</t>
  </si>
  <si>
    <t>North Beach School District</t>
  </si>
  <si>
    <t>McCleary School District</t>
  </si>
  <si>
    <t>Montesano School District</t>
  </si>
  <si>
    <t>Elma School District</t>
  </si>
  <si>
    <t>Taholah School District</t>
  </si>
  <si>
    <t>Lake Quinault School District</t>
  </si>
  <si>
    <t>Cosmopolis School District</t>
  </si>
  <si>
    <t>Satsop School District</t>
  </si>
  <si>
    <t>Wishkah Valley School District</t>
  </si>
  <si>
    <t>Ocosta School District</t>
  </si>
  <si>
    <t>Oakville School District</t>
  </si>
  <si>
    <t>Oak Harbor School District</t>
  </si>
  <si>
    <t>Coupeville School District</t>
  </si>
  <si>
    <t>South Whidbey School District</t>
  </si>
  <si>
    <t>Queets-Clearwater School District</t>
  </si>
  <si>
    <t>Brinnon School District</t>
  </si>
  <si>
    <t>Quilcene School District</t>
  </si>
  <si>
    <t>Chimacum School District</t>
  </si>
  <si>
    <t>Port Townsend School District</t>
  </si>
  <si>
    <t>Seattle Public Schools</t>
  </si>
  <si>
    <t>Federal Way School District</t>
  </si>
  <si>
    <t>Enumclaw School District</t>
  </si>
  <si>
    <t>Mercer Island School District</t>
  </si>
  <si>
    <t>Highline School District</t>
  </si>
  <si>
    <t>Vashon Island School District</t>
  </si>
  <si>
    <t>Renton School District</t>
  </si>
  <si>
    <t>Skykomish School District</t>
  </si>
  <si>
    <t>Bellevue School District</t>
  </si>
  <si>
    <t>Tukwila School District</t>
  </si>
  <si>
    <t>Riverview School District</t>
  </si>
  <si>
    <t>Auburn School District</t>
  </si>
  <si>
    <t>Tahoma School District</t>
  </si>
  <si>
    <t>Snoqualmie Valley School District</t>
  </si>
  <si>
    <t>Issaquah School District</t>
  </si>
  <si>
    <t>Shoreline School District</t>
  </si>
  <si>
    <t>Lake Washington School District</t>
  </si>
  <si>
    <t>Kent School District</t>
  </si>
  <si>
    <t>Northshore School District</t>
  </si>
  <si>
    <t>Summit Public School: Sierra</t>
  </si>
  <si>
    <t>Muckleshoot Indian Tribe</t>
  </si>
  <si>
    <t>Summit Public School: Atlas</t>
  </si>
  <si>
    <t>Rainier Prep Charter School District</t>
  </si>
  <si>
    <t xml:space="preserve">Rainier Valley Leadership Academy </t>
  </si>
  <si>
    <t>Impact | Puget Sound Elementary</t>
  </si>
  <si>
    <t>Impact | Salish Sea Elementary</t>
  </si>
  <si>
    <t>Why Not You Academy (Cascade: Midway)</t>
  </si>
  <si>
    <t>Bremerton School District</t>
  </si>
  <si>
    <t>Bainbridge Island School District</t>
  </si>
  <si>
    <t>North Kitsap School District</t>
  </si>
  <si>
    <t>Central Kitsap School District</t>
  </si>
  <si>
    <t>South Kitsap School District</t>
  </si>
  <si>
    <t>Catalyst Public Schools</t>
  </si>
  <si>
    <t>Suquamish Tribal Education Department</t>
  </si>
  <si>
    <t>Damman School District</t>
  </si>
  <si>
    <t>Easton School District</t>
  </si>
  <si>
    <t>Thorp School District</t>
  </si>
  <si>
    <t>Ellensburg School District</t>
  </si>
  <si>
    <t>Kittitas School District</t>
  </si>
  <si>
    <t>Cle Elum-Roslyn School District</t>
  </si>
  <si>
    <t>Wishram School District</t>
  </si>
  <si>
    <t>Bickleton School District</t>
  </si>
  <si>
    <t>Centerville School District</t>
  </si>
  <si>
    <t>Trout Lake School District</t>
  </si>
  <si>
    <t>Glenwood School District</t>
  </si>
  <si>
    <t>Klickitat School District</t>
  </si>
  <si>
    <t>Roosevelt School District</t>
  </si>
  <si>
    <t>Goldendale School District</t>
  </si>
  <si>
    <t>White Salmon Valley School District</t>
  </si>
  <si>
    <t>Lyle School District</t>
  </si>
  <si>
    <t>Napavine School District</t>
  </si>
  <si>
    <t>21018</t>
  </si>
  <si>
    <t>Vader School District</t>
  </si>
  <si>
    <t>Evaline School District</t>
  </si>
  <si>
    <t>Mossyrock School District</t>
  </si>
  <si>
    <t>Morton School District</t>
  </si>
  <si>
    <t>Adna School District</t>
  </si>
  <si>
    <t>Winlock School District</t>
  </si>
  <si>
    <t>Boistfort School District</t>
  </si>
  <si>
    <t>Toledo School District</t>
  </si>
  <si>
    <t>Onalaska School District</t>
  </si>
  <si>
    <t>Pe Ell School District</t>
  </si>
  <si>
    <t>Chehalis School District</t>
  </si>
  <si>
    <t>White Pass School District</t>
  </si>
  <si>
    <t>Centralia School District</t>
  </si>
  <si>
    <t>Sprague School District</t>
  </si>
  <si>
    <t>Reardan-Edwall School District</t>
  </si>
  <si>
    <t>Almira School District</t>
  </si>
  <si>
    <t>Creston School District</t>
  </si>
  <si>
    <t>Odessa School District</t>
  </si>
  <si>
    <t>Wilbur School District</t>
  </si>
  <si>
    <t>Harrington School District</t>
  </si>
  <si>
    <t>Davenport School District</t>
  </si>
  <si>
    <t>Southside School District</t>
  </si>
  <si>
    <t>Grapeview School District</t>
  </si>
  <si>
    <t>Shelton School District</t>
  </si>
  <si>
    <t>Mary M Knight School District</t>
  </si>
  <si>
    <t>Pioneer School District</t>
  </si>
  <si>
    <t>North Mason School District</t>
  </si>
  <si>
    <t>Hood Canal School District</t>
  </si>
  <si>
    <t>Nespelem School District #14</t>
  </si>
  <si>
    <t>Omak School District</t>
  </si>
  <si>
    <t>Okanogan School District</t>
  </si>
  <si>
    <t>Brewster School District</t>
  </si>
  <si>
    <t>Pateros School District</t>
  </si>
  <si>
    <t>Methow Valley School District</t>
  </si>
  <si>
    <t>Tonasket School District</t>
  </si>
  <si>
    <t>Oroville School District</t>
  </si>
  <si>
    <t>Ocean Beach School District</t>
  </si>
  <si>
    <t>Raymond School District</t>
  </si>
  <si>
    <t>South Bend School District</t>
  </si>
  <si>
    <t>Naselle-Grays River Valley School District</t>
  </si>
  <si>
    <t>Willapa Valley School District</t>
  </si>
  <si>
    <t>North River School District</t>
  </si>
  <si>
    <t>Newport School District</t>
  </si>
  <si>
    <t>Cusick School District</t>
  </si>
  <si>
    <t>Selkirk School District</t>
  </si>
  <si>
    <t>Steilacoom Hist. School District</t>
  </si>
  <si>
    <t>Puyallup School District</t>
  </si>
  <si>
    <t>Tacoma School District</t>
  </si>
  <si>
    <t>Carbonado School District</t>
  </si>
  <si>
    <t>University Place School District</t>
  </si>
  <si>
    <t>Sumner School District</t>
  </si>
  <si>
    <t>Dieringer School District</t>
  </si>
  <si>
    <t>Orting School District</t>
  </si>
  <si>
    <t>Clover Park School District</t>
  </si>
  <si>
    <t>Peninsula School District</t>
  </si>
  <si>
    <t>Franklin Pierce School District</t>
  </si>
  <si>
    <t>Bethel School District</t>
  </si>
  <si>
    <t>Eatonville School District</t>
  </si>
  <si>
    <t>White River School District</t>
  </si>
  <si>
    <t>Fife School District</t>
  </si>
  <si>
    <t>Chief Leschi Tribal Compact</t>
  </si>
  <si>
    <t>Impact | Commencement Bay Elementary</t>
  </si>
  <si>
    <t>Summit Public School: Olympus</t>
  </si>
  <si>
    <t>Shaw Island School District</t>
  </si>
  <si>
    <t>Orcas Island School District</t>
  </si>
  <si>
    <t>Lopez School District</t>
  </si>
  <si>
    <t>San Juan Island School District</t>
  </si>
  <si>
    <t>Concrete School District</t>
  </si>
  <si>
    <t>Burlington-Edison School District</t>
  </si>
  <si>
    <t>Sedro-Woolley School District</t>
  </si>
  <si>
    <t>Anacortes School District</t>
  </si>
  <si>
    <t>La Conner School District</t>
  </si>
  <si>
    <t>Conway School District</t>
  </si>
  <si>
    <t>Mount Vernon School District</t>
  </si>
  <si>
    <t>Skamania School District</t>
  </si>
  <si>
    <t>Mount Pleasant School District</t>
  </si>
  <si>
    <t>Mill A School District</t>
  </si>
  <si>
    <t>Stevenson-Carson School District</t>
  </si>
  <si>
    <t>Everett School District</t>
  </si>
  <si>
    <t>Lake Stevens School District</t>
  </si>
  <si>
    <t>Mukilteo School District</t>
  </si>
  <si>
    <t>Edmonds School District</t>
  </si>
  <si>
    <t>Arlington School District</t>
  </si>
  <si>
    <t>Marysville School District</t>
  </si>
  <si>
    <t>Index School District</t>
  </si>
  <si>
    <t>Monroe School District</t>
  </si>
  <si>
    <t>Snohomish School District</t>
  </si>
  <si>
    <t>Lakewood School District</t>
  </si>
  <si>
    <t>Sultan School District</t>
  </si>
  <si>
    <t>Darrington School District</t>
  </si>
  <si>
    <t>Granite Falls School District</t>
  </si>
  <si>
    <t>Stanwood-Camano School District</t>
  </si>
  <si>
    <t>Spokane School District</t>
  </si>
  <si>
    <t>Orchard Prairie School District</t>
  </si>
  <si>
    <t>Great Northern School District</t>
  </si>
  <si>
    <t>Nine Mile Falls School District</t>
  </si>
  <si>
    <t>Medical Lake School District</t>
  </si>
  <si>
    <t>Mead School District</t>
  </si>
  <si>
    <t>Central Valley School District</t>
  </si>
  <si>
    <t>Freeman School District</t>
  </si>
  <si>
    <t>Cheney School District</t>
  </si>
  <si>
    <t>East Valley School District (Spokane)</t>
  </si>
  <si>
    <t>Liberty School District</t>
  </si>
  <si>
    <t>West Valley School District (Spokane)</t>
  </si>
  <si>
    <t>Deer Park School District</t>
  </si>
  <si>
    <t>Riverside School District</t>
  </si>
  <si>
    <t>Spokane International Academy</t>
  </si>
  <si>
    <t>Lumen Public School</t>
  </si>
  <si>
    <t>PRIDE Prep Charter School District</t>
  </si>
  <si>
    <t>Onion Creek School District</t>
  </si>
  <si>
    <t>Chewelah School District</t>
  </si>
  <si>
    <t>Wellpinit School District</t>
  </si>
  <si>
    <t>Valley School District</t>
  </si>
  <si>
    <t>Colville School District</t>
  </si>
  <si>
    <t>Loon Lake School District</t>
  </si>
  <si>
    <t>Summit Valley School District</t>
  </si>
  <si>
    <t>Evergreen School District (Stevens)</t>
  </si>
  <si>
    <t>Columbia (Stevens) School District</t>
  </si>
  <si>
    <t>Mary Walker School District</t>
  </si>
  <si>
    <t>Northport School District</t>
  </si>
  <si>
    <t>Kettle Falls School District</t>
  </si>
  <si>
    <t>Yelm School District</t>
  </si>
  <si>
    <t>North Thurston Public Schools</t>
  </si>
  <si>
    <t>Tumwater School District</t>
  </si>
  <si>
    <t>Olympia School District</t>
  </si>
  <si>
    <t>Rainier School District</t>
  </si>
  <si>
    <t>Griffin School District</t>
  </si>
  <si>
    <t>Rochester School District</t>
  </si>
  <si>
    <t>Tenino School District</t>
  </si>
  <si>
    <t>WA HE LUT Indian School Agency</t>
  </si>
  <si>
    <t>Wahkiakum School District</t>
  </si>
  <si>
    <t>Dixie School District</t>
  </si>
  <si>
    <t>Walla Walla Public Schools</t>
  </si>
  <si>
    <t>College Place School District</t>
  </si>
  <si>
    <t>Touchet School District</t>
  </si>
  <si>
    <t>Columbia (Walla Walla) School District</t>
  </si>
  <si>
    <t>Waitsburg School District</t>
  </si>
  <si>
    <t>Prescott School District</t>
  </si>
  <si>
    <t>Bellingham School District</t>
  </si>
  <si>
    <t>Ferndale School District</t>
  </si>
  <si>
    <t>Blaine School District</t>
  </si>
  <si>
    <t>Lynden School District</t>
  </si>
  <si>
    <t>Meridian School District</t>
  </si>
  <si>
    <t>Nooksack Valley School District</t>
  </si>
  <si>
    <t>Mount Baker School District</t>
  </si>
  <si>
    <t>Whatcom Intergenerational High School</t>
  </si>
  <si>
    <t>Lummi Tribal Agency</t>
  </si>
  <si>
    <t>LaCrosse School District</t>
  </si>
  <si>
    <t>Lamont School District</t>
  </si>
  <si>
    <t>Tekoa School District</t>
  </si>
  <si>
    <t>Pullman School District</t>
  </si>
  <si>
    <t>Colfax School District</t>
  </si>
  <si>
    <t>Palouse School District</t>
  </si>
  <si>
    <t>Garfield School District</t>
  </si>
  <si>
    <t>Steptoe School District</t>
  </si>
  <si>
    <t>Colton School District</t>
  </si>
  <si>
    <t>Endicott School District</t>
  </si>
  <si>
    <t>Rosalia School District</t>
  </si>
  <si>
    <t>St. John School District</t>
  </si>
  <si>
    <t>Oakesdale School District</t>
  </si>
  <si>
    <t>Pullman Community Montessori</t>
  </si>
  <si>
    <t>Union Gap School District</t>
  </si>
  <si>
    <t>Naches Valley School District</t>
  </si>
  <si>
    <t>Yakima School District</t>
  </si>
  <si>
    <t>East Valley School District (Yakima)</t>
  </si>
  <si>
    <t>Selah School District</t>
  </si>
  <si>
    <t>Mabton School District</t>
  </si>
  <si>
    <t>Grandview School District</t>
  </si>
  <si>
    <t>Sunnyside School District</t>
  </si>
  <si>
    <t>Toppenish School District</t>
  </si>
  <si>
    <t>Highland School District</t>
  </si>
  <si>
    <t>Granger School District</t>
  </si>
  <si>
    <t>Zillah School District</t>
  </si>
  <si>
    <t>Wapato School District</t>
  </si>
  <si>
    <t>West Valley School District (Yakima)</t>
  </si>
  <si>
    <t>Mount Adams School District</t>
  </si>
  <si>
    <t>Yakama Nation Tribal Compact</t>
  </si>
  <si>
    <t>State Summary</t>
  </si>
  <si>
    <t>GL 823 Restricted for Carryover of Transition to Kindergarten Revenues</t>
  </si>
  <si>
    <t>Do not use this GL Account Code until 2023-24</t>
  </si>
  <si>
    <t>Program 09 Transition to Kindergarten</t>
  </si>
  <si>
    <t>Direct Expenditures Program 09</t>
  </si>
  <si>
    <t>General Fund, Capital Projects Fund</t>
  </si>
  <si>
    <t>(Return to Summary Sheet)</t>
  </si>
  <si>
    <t>General Fund, Program 45 and Program 46</t>
  </si>
  <si>
    <t>Beginning Balance</t>
  </si>
  <si>
    <t>Revenues</t>
  </si>
  <si>
    <t>State Skills Center Funding (Blended in Revenue 3100)</t>
  </si>
  <si>
    <t>Skills Center - Tuition &amp; Fees (Revenue 2145)</t>
  </si>
  <si>
    <t>Skills Center - Sales of Goods, Supplies and Services (Revenue 2245)</t>
  </si>
  <si>
    <t>Skills Center - Payment from Other Districts (Revenue 7145)</t>
  </si>
  <si>
    <t>Skills Center - Federal through OSPI (Revenue 6146)</t>
  </si>
  <si>
    <t>Skills Center - Federal directly from Federal agency (Revenue 6246)</t>
  </si>
  <si>
    <t>Skills Center - Federal through state agency other than OSPI (Revenue 6346)</t>
  </si>
  <si>
    <t>Other Skills Center Revenues</t>
  </si>
  <si>
    <t>Total Revenues</t>
  </si>
  <si>
    <t>Expenditures (Include both Program 45 and Program 46)</t>
  </si>
  <si>
    <t>Supervision (Activity 21)</t>
  </si>
  <si>
    <t>Learning Resources (Activity 22)</t>
  </si>
  <si>
    <t>Principal's Office (Activity 23)</t>
  </si>
  <si>
    <t>Guidance and Counseling (Activity 24)</t>
  </si>
  <si>
    <t>Pupil Management and Safety (Activity 25)</t>
  </si>
  <si>
    <t>Health/Related Services (Activity 26)</t>
  </si>
  <si>
    <t>Teaching (Activity 27)</t>
  </si>
  <si>
    <t>Extracurricular (Activity 28)</t>
  </si>
  <si>
    <t>Payments to School Districts (Activity 29)</t>
  </si>
  <si>
    <t>Instructional Professional Development (Activity 31)</t>
  </si>
  <si>
    <t>Instructional Technology (Activity 32)</t>
  </si>
  <si>
    <t>Curriculum (Activity 33)</t>
  </si>
  <si>
    <t>Supervision (Activity 61)</t>
  </si>
  <si>
    <t>Grounds Maintenance (Activity 62)</t>
  </si>
  <si>
    <t>Operation of Buildings (Activity 63)</t>
  </si>
  <si>
    <t>Maintenance (Activity 64)</t>
  </si>
  <si>
    <t>Utilities (Activity 65)</t>
  </si>
  <si>
    <t>Building and Property Security (Activity 67)</t>
  </si>
  <si>
    <t>Insurance (Activity 68)</t>
  </si>
  <si>
    <t>Total Expenditures</t>
  </si>
  <si>
    <t>Excess (Deficiency) of Revenues Over (Under) Expenditures</t>
  </si>
  <si>
    <t>Ending Balance</t>
  </si>
  <si>
    <t>Add: Payments from Member Districts</t>
  </si>
  <si>
    <t>Subtract: Amounts spent for Capital Improvements</t>
  </si>
  <si>
    <t>GL 828 Restricted for Carryover of Food Service Revenue</t>
  </si>
  <si>
    <t>(Print a copy of this sheet, sign it, date it, and keep a copy on file for review by Child Nutrition Services and/or the auditors.)</t>
  </si>
  <si>
    <t xml:space="preserve">GL 828 Restricted for Carryover of Food Service Revenue </t>
  </si>
  <si>
    <t>Supply Chain Assistance Column</t>
  </si>
  <si>
    <t>For 2022–2023</t>
  </si>
  <si>
    <t>PY C/O</t>
  </si>
  <si>
    <t>This account is provided as a means for accumulating and restricting ending fund balance that derives from net gains of the district's food service program. The excess of food service program revenue over total expenditures is recorded in this account. Amounts in this account may only be used for the benefit of the district's food service program.</t>
  </si>
  <si>
    <t>Paid Lunches (Revenue 2298) and (Revenue 2998)</t>
  </si>
  <si>
    <t>State Payment (Revenue 4X98)</t>
  </si>
  <si>
    <r>
      <t xml:space="preserve">Federal Payment (Revenue 6X98 except 6998 </t>
    </r>
    <r>
      <rPr>
        <b/>
        <sz val="11"/>
        <color theme="1"/>
        <rFont val="Calibri"/>
        <family val="2"/>
        <scheme val="minor"/>
      </rPr>
      <t>and except SCA Resources</t>
    </r>
    <r>
      <rPr>
        <sz val="11"/>
        <color theme="1"/>
        <rFont val="Calibri"/>
        <family val="2"/>
        <scheme val="minor"/>
      </rPr>
      <t>)</t>
    </r>
  </si>
  <si>
    <t>Supply Chain Assistance (SCA) Resources (6198-11)</t>
  </si>
  <si>
    <t>xxx</t>
  </si>
  <si>
    <t>Federal Commodities (Revenue 6998)</t>
  </si>
  <si>
    <t>For more information, see the Food Service Program Guidance in Appendix B of the Accounting Manual for School Districts in Washington state.</t>
  </si>
  <si>
    <t>Other Payments (any other Revenue XX98)</t>
  </si>
  <si>
    <t>TOTAL REVENUES</t>
  </si>
  <si>
    <t>INSTRUCTIONS:</t>
  </si>
  <si>
    <t>Object 1 Allocation</t>
  </si>
  <si>
    <t>Net Expenditures</t>
  </si>
  <si>
    <t>The County–District number field will pre-populate from the Fund Balance Summary worksheet.</t>
  </si>
  <si>
    <t>Salaries &amp; Benefits*</t>
  </si>
  <si>
    <t>*</t>
  </si>
  <si>
    <t>In cells D7:D11, enter the amount of food service-related revenues that your district received during the year (anything recorded in a XX98 Revenue Code) with the exception of 619811 Supply Chain Assistance which is prepopulated in cell F10.</t>
  </si>
  <si>
    <t>Supplies (Do Not Include Food)*</t>
  </si>
  <si>
    <t>Purchased Services (Do Not Include Food)*</t>
  </si>
  <si>
    <t>Food - Supplies (Do Not Include SCA Food)</t>
  </si>
  <si>
    <t>In cells B15:B21, enter the following amounts (top to bottom):</t>
  </si>
  <si>
    <t>Food - Purchased Services</t>
  </si>
  <si>
    <t xml:space="preserve">Supply Chain Assistance (SCA) Food </t>
  </si>
  <si>
    <t>Travel &amp; Other*</t>
  </si>
  <si>
    <r>
      <rPr>
        <sz val="11"/>
        <color theme="1"/>
        <rFont val="Wingdings"/>
        <charset val="2"/>
      </rPr>
      <t>l</t>
    </r>
    <r>
      <rPr>
        <sz val="11"/>
        <color theme="1"/>
        <rFont val="Calibri"/>
        <family val="2"/>
        <scheme val="minor"/>
      </rPr>
      <t xml:space="preserve"> Salaries and Benefits (any expenditures coded to Objects 2, 3, or 4.)</t>
    </r>
  </si>
  <si>
    <t>Capital Outlay</t>
  </si>
  <si>
    <r>
      <rPr>
        <sz val="11"/>
        <color theme="1"/>
        <rFont val="Wingdings"/>
        <charset val="2"/>
      </rPr>
      <t>l</t>
    </r>
    <r>
      <rPr>
        <sz val="11"/>
        <color theme="1"/>
        <rFont val="Calibri"/>
        <family val="2"/>
        <scheme val="minor"/>
      </rPr>
      <t xml:space="preserve"> Non-Food Supplies (any expenditures coded to Object 5 EXCEPT those in Activity 42.)</t>
    </r>
  </si>
  <si>
    <t>Total Direct Expenditures</t>
  </si>
  <si>
    <r>
      <rPr>
        <sz val="11"/>
        <color theme="1"/>
        <rFont val="Wingdings"/>
        <charset val="2"/>
      </rPr>
      <t>l</t>
    </r>
    <r>
      <rPr>
        <sz val="11"/>
        <color theme="1"/>
        <rFont val="Calibri"/>
        <family val="2"/>
        <scheme val="minor"/>
      </rPr>
      <t xml:space="preserve">  Non-Food Services (any expenditures coded to Object 7 EXCEPT those in Activity 42.)</t>
    </r>
  </si>
  <si>
    <r>
      <rPr>
        <sz val="11"/>
        <color theme="1"/>
        <rFont val="Wingdings"/>
        <charset val="2"/>
      </rPr>
      <t>l</t>
    </r>
    <r>
      <rPr>
        <sz val="11"/>
        <color theme="1"/>
        <rFont val="Calibri"/>
        <family val="2"/>
        <scheme val="minor"/>
      </rPr>
      <t xml:space="preserve"> Food Supplies (Activity 42, Object 5).</t>
    </r>
  </si>
  <si>
    <r>
      <rPr>
        <sz val="11"/>
        <color theme="1"/>
        <rFont val="Wingdings"/>
        <charset val="2"/>
      </rPr>
      <t>l</t>
    </r>
    <r>
      <rPr>
        <sz val="11"/>
        <color theme="1"/>
        <rFont val="Calibri"/>
        <family val="2"/>
        <scheme val="minor"/>
      </rPr>
      <t xml:space="preserve">  Food Services (Activity 42, Object 7).</t>
    </r>
  </si>
  <si>
    <t>Unrestricted Indirect Rate</t>
  </si>
  <si>
    <r>
      <rPr>
        <sz val="11"/>
        <color theme="1"/>
        <rFont val="Wingdings"/>
        <charset val="2"/>
      </rPr>
      <t>l</t>
    </r>
    <r>
      <rPr>
        <sz val="11"/>
        <color theme="1"/>
        <rFont val="Calibri"/>
        <family val="2"/>
        <scheme val="minor"/>
      </rPr>
      <t xml:space="preserve">  Travel and Debit Transfers (any expenditures coded to Object 0 or Object 8.)</t>
    </r>
  </si>
  <si>
    <t>Applied Indirect Expenditures *</t>
  </si>
  <si>
    <r>
      <rPr>
        <sz val="11"/>
        <color theme="1"/>
        <rFont val="Wingdings"/>
        <charset val="2"/>
      </rPr>
      <t>l</t>
    </r>
    <r>
      <rPr>
        <sz val="11"/>
        <color theme="1"/>
        <rFont val="Calibri"/>
        <family val="2"/>
        <scheme val="minor"/>
      </rPr>
      <t xml:space="preserve">  Capital Outlay (any expenditure coded to Object 9.)</t>
    </r>
  </si>
  <si>
    <t>TOTAL EXPENDITURES</t>
  </si>
  <si>
    <r>
      <t xml:space="preserve">In </t>
    </r>
    <r>
      <rPr>
        <b/>
        <sz val="11"/>
        <color theme="1"/>
        <rFont val="Calibri"/>
        <family val="2"/>
        <scheme val="minor"/>
      </rPr>
      <t>CELL C22</t>
    </r>
    <r>
      <rPr>
        <sz val="11"/>
        <color theme="1"/>
        <rFont val="Calibri"/>
        <family val="2"/>
        <scheme val="minor"/>
      </rPr>
      <t xml:space="preserve">, enter the total amount recorded as Credit Transfers in Object Code 1.  </t>
    </r>
    <r>
      <rPr>
        <b/>
        <sz val="11"/>
        <color theme="1"/>
        <rFont val="Calibri"/>
        <family val="2"/>
        <scheme val="minor"/>
      </rPr>
      <t>Enter it as a negative number</t>
    </r>
    <r>
      <rPr>
        <sz val="11"/>
        <color theme="1"/>
        <rFont val="Calibri"/>
        <family val="2"/>
        <scheme val="minor"/>
      </rPr>
      <t>.</t>
    </r>
  </si>
  <si>
    <t>Excess (Deficiency) of Revenues Over Expenditures</t>
  </si>
  <si>
    <t>If you have a deficiency of revenues over expenditures, (that is, cell D29 is negative), you will need to print out a copy of the worksheet, and sign the certification. This certifies that the district used non-federal resources to cover the deficit in the food service account.</t>
  </si>
  <si>
    <t xml:space="preserve">Carryover methodology: </t>
  </si>
  <si>
    <t xml:space="preserve">Prior Year net balance carryover funds are carried over indefinitely or used to reduce an annual deficit. </t>
  </si>
  <si>
    <t>3 Months' Average Expenditures</t>
  </si>
  <si>
    <t>Prior Year deficits are carried over for a maximum of five years.</t>
  </si>
  <si>
    <t xml:space="preserve">CARRYOVER of Supply Chain Assistance Resources </t>
  </si>
  <si>
    <t>*This item is included in the indirect cost calculation.</t>
  </si>
  <si>
    <t>Calculations on this sheet are intended to mirror the CNS 1800 Report for each district.</t>
  </si>
  <si>
    <t>I certify that any deficiency of revenues verses expenditures have been covered by non-Federal resources available to the district.</t>
  </si>
  <si>
    <t>2022-23 School Year</t>
  </si>
  <si>
    <t>Account 6198-11</t>
  </si>
  <si>
    <t>New Site</t>
  </si>
  <si>
    <t>Co/Dist #</t>
  </si>
  <si>
    <t>WINS</t>
  </si>
  <si>
    <t>Apport</t>
  </si>
  <si>
    <t>YTD Total</t>
  </si>
  <si>
    <t>14-005</t>
  </si>
  <si>
    <t>Aberdeen</t>
  </si>
  <si>
    <t>21-226</t>
  </si>
  <si>
    <t>Adna</t>
  </si>
  <si>
    <t>22-017</t>
  </si>
  <si>
    <t>Almira</t>
  </si>
  <si>
    <t>29-103</t>
  </si>
  <si>
    <t>Anacortes</t>
  </si>
  <si>
    <t>31-016</t>
  </si>
  <si>
    <t>Arlington</t>
  </si>
  <si>
    <t>02-420</t>
  </si>
  <si>
    <t>Asotin-Anatone</t>
  </si>
  <si>
    <t>17-408</t>
  </si>
  <si>
    <t>Auburn</t>
  </si>
  <si>
    <t>18-303</t>
  </si>
  <si>
    <t>Bainbridge</t>
  </si>
  <si>
    <t>06-119</t>
  </si>
  <si>
    <t>Battle Ground</t>
  </si>
  <si>
    <t>17-405</t>
  </si>
  <si>
    <t>Bellevue</t>
  </si>
  <si>
    <t>37-501</t>
  </si>
  <si>
    <t>Bellingham</t>
  </si>
  <si>
    <t>27-403</t>
  </si>
  <si>
    <t>Bethel</t>
  </si>
  <si>
    <t>37-503</t>
  </si>
  <si>
    <t>Blaine</t>
  </si>
  <si>
    <t>21-234</t>
  </si>
  <si>
    <t>Boistfort</t>
  </si>
  <si>
    <t>18-100</t>
  </si>
  <si>
    <t>Bremerton</t>
  </si>
  <si>
    <t>24-111</t>
  </si>
  <si>
    <t>Brewster</t>
  </si>
  <si>
    <t>09-075</t>
  </si>
  <si>
    <t>Bridgeport</t>
  </si>
  <si>
    <t>16-046</t>
  </si>
  <si>
    <t>Brinnon</t>
  </si>
  <si>
    <t>29-100</t>
  </si>
  <si>
    <t>Burlington Edison</t>
  </si>
  <si>
    <t>06-117</t>
  </si>
  <si>
    <t>Camas</t>
  </si>
  <si>
    <t>05-401</t>
  </si>
  <si>
    <t>Cape Flattery</t>
  </si>
  <si>
    <t>27-019</t>
  </si>
  <si>
    <t>Carbonado</t>
  </si>
  <si>
    <t>04-228</t>
  </si>
  <si>
    <t>Cascade</t>
  </si>
  <si>
    <t>04-222</t>
  </si>
  <si>
    <t>Cashmere</t>
  </si>
  <si>
    <t>08-401</t>
  </si>
  <si>
    <t>Castle Rock</t>
  </si>
  <si>
    <t>18-901</t>
  </si>
  <si>
    <t>Catalyst Charter</t>
  </si>
  <si>
    <t>20-215</t>
  </si>
  <si>
    <t>Centerville</t>
  </si>
  <si>
    <t>18-401</t>
  </si>
  <si>
    <t>Central Kitsap</t>
  </si>
  <si>
    <t>32-356</t>
  </si>
  <si>
    <t>Central Valley</t>
  </si>
  <si>
    <t>21-401</t>
  </si>
  <si>
    <t>Centralia</t>
  </si>
  <si>
    <t>21-302</t>
  </si>
  <si>
    <t>Chehalis</t>
  </si>
  <si>
    <t>32-360</t>
  </si>
  <si>
    <t>Cheney</t>
  </si>
  <si>
    <t>33-036</t>
  </si>
  <si>
    <t>Chewelah</t>
  </si>
  <si>
    <t>16-049</t>
  </si>
  <si>
    <t>Chimacum</t>
  </si>
  <si>
    <t>02-250</t>
  </si>
  <si>
    <t>Clarkston</t>
  </si>
  <si>
    <t>19-404</t>
  </si>
  <si>
    <t>Cle Elum-Roslyn</t>
  </si>
  <si>
    <t>27-400</t>
  </si>
  <si>
    <t>Clover Park</t>
  </si>
  <si>
    <t>38-300</t>
  </si>
  <si>
    <t>Colfax</t>
  </si>
  <si>
    <t>36-250</t>
  </si>
  <si>
    <t>College Place</t>
  </si>
  <si>
    <t>38-306</t>
  </si>
  <si>
    <t>Colton</t>
  </si>
  <si>
    <t>33-206</t>
  </si>
  <si>
    <t>Columbia (Stev)</t>
  </si>
  <si>
    <t>36-400</t>
  </si>
  <si>
    <t>Columbia (Walla)</t>
  </si>
  <si>
    <t>33-115</t>
  </si>
  <si>
    <t>Colville</t>
  </si>
  <si>
    <t>29-011</t>
  </si>
  <si>
    <t>Concrete</t>
  </si>
  <si>
    <t>29-317</t>
  </si>
  <si>
    <t>Conway</t>
  </si>
  <si>
    <t>14-099</t>
  </si>
  <si>
    <t>Cosmopolis</t>
  </si>
  <si>
    <t>13-151</t>
  </si>
  <si>
    <t>Coulee/Hartline</t>
  </si>
  <si>
    <t>15-204</t>
  </si>
  <si>
    <t>Coupeville</t>
  </si>
  <si>
    <t>05-313</t>
  </si>
  <si>
    <t>Crescent</t>
  </si>
  <si>
    <t>22-073</t>
  </si>
  <si>
    <t>Creston</t>
  </si>
  <si>
    <t>10-050</t>
  </si>
  <si>
    <t>Curlew</t>
  </si>
  <si>
    <t>26-059</t>
  </si>
  <si>
    <t>Cusick</t>
  </si>
  <si>
    <t>31-330</t>
  </si>
  <si>
    <t>Darrington</t>
  </si>
  <si>
    <t>22-207</t>
  </si>
  <si>
    <t>Davenport</t>
  </si>
  <si>
    <t>07-002</t>
  </si>
  <si>
    <t>Dayton</t>
  </si>
  <si>
    <t>32-414</t>
  </si>
  <si>
    <t>Deer Park</t>
  </si>
  <si>
    <t>27-343</t>
  </si>
  <si>
    <t>Dieringer</t>
  </si>
  <si>
    <t>36-101</t>
  </si>
  <si>
    <t>Dixie</t>
  </si>
  <si>
    <t>32-361</t>
  </si>
  <si>
    <t>East Valley (Spok</t>
  </si>
  <si>
    <t>39-090</t>
  </si>
  <si>
    <t>East Valley (Yak)</t>
  </si>
  <si>
    <t>09-206</t>
  </si>
  <si>
    <t>Eastmont</t>
  </si>
  <si>
    <t>19-028</t>
  </si>
  <si>
    <t>Easton</t>
  </si>
  <si>
    <t>27-404</t>
  </si>
  <si>
    <t>Eatonville</t>
  </si>
  <si>
    <t>31-015</t>
  </si>
  <si>
    <t>Edmonds</t>
  </si>
  <si>
    <t>19-401</t>
  </si>
  <si>
    <t>Ellensburg</t>
  </si>
  <si>
    <t>14-068</t>
  </si>
  <si>
    <t>Elma</t>
  </si>
  <si>
    <t>38-308</t>
  </si>
  <si>
    <t>Endicott</t>
  </si>
  <si>
    <t>04-127</t>
  </si>
  <si>
    <t>Entiat</t>
  </si>
  <si>
    <t>17-216</t>
  </si>
  <si>
    <t>Enumclaw</t>
  </si>
  <si>
    <t>13-165</t>
  </si>
  <si>
    <t>Ephrata</t>
  </si>
  <si>
    <t>31-002</t>
  </si>
  <si>
    <t>Everett</t>
  </si>
  <si>
    <t>06-114</t>
  </si>
  <si>
    <t>Evergreen (Clark)</t>
  </si>
  <si>
    <t>33-205</t>
  </si>
  <si>
    <t>Evergreen (Stev)</t>
  </si>
  <si>
    <t>17-210</t>
  </si>
  <si>
    <t>Federal Way</t>
  </si>
  <si>
    <t>37-502</t>
  </si>
  <si>
    <t>Ferndale</t>
  </si>
  <si>
    <t>27-417</t>
  </si>
  <si>
    <t>Fife</t>
  </si>
  <si>
    <t>03-053</t>
  </si>
  <si>
    <t>Finley</t>
  </si>
  <si>
    <t>27-402</t>
  </si>
  <si>
    <t>Franklin Pierce</t>
  </si>
  <si>
    <t>32-358</t>
  </si>
  <si>
    <t>Freeman</t>
  </si>
  <si>
    <t>38-302</t>
  </si>
  <si>
    <t>Garfield</t>
  </si>
  <si>
    <t>20-401</t>
  </si>
  <si>
    <t>Glenwood</t>
  </si>
  <si>
    <t>20-404</t>
  </si>
  <si>
    <t>Goldendale</t>
  </si>
  <si>
    <t>13-301</t>
  </si>
  <si>
    <t>Grand Coulee Dam</t>
  </si>
  <si>
    <t>39-200</t>
  </si>
  <si>
    <t>Grandview</t>
  </si>
  <si>
    <t>39-204</t>
  </si>
  <si>
    <t>Granger</t>
  </si>
  <si>
    <t>31-332</t>
  </si>
  <si>
    <t>Granite Falls</t>
  </si>
  <si>
    <t>23-054</t>
  </si>
  <si>
    <t>Grapeview</t>
  </si>
  <si>
    <t>32-312</t>
  </si>
  <si>
    <t>Great Northern</t>
  </si>
  <si>
    <t>06-103</t>
  </si>
  <si>
    <t>Green Mountain</t>
  </si>
  <si>
    <t>34-324</t>
  </si>
  <si>
    <t>Griffin</t>
  </si>
  <si>
    <t>22-204</t>
  </si>
  <si>
    <t>Harrington</t>
  </si>
  <si>
    <t>39-203</t>
  </si>
  <si>
    <t>Highland</t>
  </si>
  <si>
    <t>17-401</t>
  </si>
  <si>
    <t>Highline</t>
  </si>
  <si>
    <t>06-098</t>
  </si>
  <si>
    <t>Hockinson</t>
  </si>
  <si>
    <t>23-404</t>
  </si>
  <si>
    <t>Hood Canal</t>
  </si>
  <si>
    <t>14-028</t>
  </si>
  <si>
    <t>Hoquiam</t>
  </si>
  <si>
    <t>27-902</t>
  </si>
  <si>
    <t>Impact CB Charter</t>
  </si>
  <si>
    <t>17-911</t>
  </si>
  <si>
    <t>Impact Puget Sound Charter</t>
  </si>
  <si>
    <t>17-916</t>
  </si>
  <si>
    <t>Impact Salish Sea Charter</t>
  </si>
  <si>
    <t>10-070</t>
  </si>
  <si>
    <t>Inchelium</t>
  </si>
  <si>
    <t>31-063</t>
  </si>
  <si>
    <t>Index</t>
  </si>
  <si>
    <t>17-411</t>
  </si>
  <si>
    <t>Issaquah</t>
  </si>
  <si>
    <t>11-056</t>
  </si>
  <si>
    <t>Kahlotus</t>
  </si>
  <si>
    <t>08-402</t>
  </si>
  <si>
    <t>Kalama</t>
  </si>
  <si>
    <t>10-003</t>
  </si>
  <si>
    <t>Keller</t>
  </si>
  <si>
    <t>08-458</t>
  </si>
  <si>
    <t>Kelso</t>
  </si>
  <si>
    <t>03-017</t>
  </si>
  <si>
    <t>Kennewick</t>
  </si>
  <si>
    <t>17-415</t>
  </si>
  <si>
    <t>Kent</t>
  </si>
  <si>
    <t>33-212</t>
  </si>
  <si>
    <t>Kettle Falls</t>
  </si>
  <si>
    <t>03-052</t>
  </si>
  <si>
    <t>Kiona Benton</t>
  </si>
  <si>
    <t>19-403</t>
  </si>
  <si>
    <t>Kittitas</t>
  </si>
  <si>
    <t>20-402</t>
  </si>
  <si>
    <t>Klickitat</t>
  </si>
  <si>
    <t>29-311</t>
  </si>
  <si>
    <t>La Conner</t>
  </si>
  <si>
    <t>06-101</t>
  </si>
  <si>
    <t>Lacenter</t>
  </si>
  <si>
    <t>04-129</t>
  </si>
  <si>
    <t>Lake Chelan</t>
  </si>
  <si>
    <t>31-004</t>
  </si>
  <si>
    <t>Lake Stevens</t>
  </si>
  <si>
    <t>17-414</t>
  </si>
  <si>
    <t>Lake Washington</t>
  </si>
  <si>
    <t>31-306</t>
  </si>
  <si>
    <t>Lakewood</t>
  </si>
  <si>
    <t>38-264</t>
  </si>
  <si>
    <t>Lamont</t>
  </si>
  <si>
    <t>32-362</t>
  </si>
  <si>
    <t>Liberty</t>
  </si>
  <si>
    <t>01-158</t>
  </si>
  <si>
    <t>Lind</t>
  </si>
  <si>
    <t>08-122</t>
  </si>
  <si>
    <t>Longview</t>
  </si>
  <si>
    <t>33-183</t>
  </si>
  <si>
    <t>Loon Lake</t>
  </si>
  <si>
    <t>28-144</t>
  </si>
  <si>
    <t>Lopez</t>
  </si>
  <si>
    <t>32-903</t>
  </si>
  <si>
    <t>Lumen Charter</t>
  </si>
  <si>
    <t>37-903</t>
  </si>
  <si>
    <t>Lummi Tribal</t>
  </si>
  <si>
    <t>37-504</t>
  </si>
  <si>
    <t>Lynden</t>
  </si>
  <si>
    <t>39-120</t>
  </si>
  <si>
    <t>Mabton</t>
  </si>
  <si>
    <t>09-207</t>
  </si>
  <si>
    <t>Mansfield</t>
  </si>
  <si>
    <t>04-019</t>
  </si>
  <si>
    <t>Manson</t>
  </si>
  <si>
    <t>23-311</t>
  </si>
  <si>
    <t>Mary M Knight</t>
  </si>
  <si>
    <t>33-207</t>
  </si>
  <si>
    <t>Mary Walker</t>
  </si>
  <si>
    <t>31-025</t>
  </si>
  <si>
    <t>Marysville</t>
  </si>
  <si>
    <t>14-065</t>
  </si>
  <si>
    <t>Mc Cleary</t>
  </si>
  <si>
    <t>32-354</t>
  </si>
  <si>
    <t>Mead</t>
  </si>
  <si>
    <t>32-326</t>
  </si>
  <si>
    <t>Medical Lake</t>
  </si>
  <si>
    <t>17-400</t>
  </si>
  <si>
    <t>Mercer Island</t>
  </si>
  <si>
    <t>37-505</t>
  </si>
  <si>
    <t>Meridian</t>
  </si>
  <si>
    <t>24-350</t>
  </si>
  <si>
    <t>Methow Valley</t>
  </si>
  <si>
    <t>30-031</t>
  </si>
  <si>
    <t>Mill A</t>
  </si>
  <si>
    <t>31-103</t>
  </si>
  <si>
    <t>Monroe</t>
  </si>
  <si>
    <t>14-066</t>
  </si>
  <si>
    <t>Montesano</t>
  </si>
  <si>
    <t>21-214</t>
  </si>
  <si>
    <t>Morton</t>
  </si>
  <si>
    <t>13-161</t>
  </si>
  <si>
    <t>Moses Lake</t>
  </si>
  <si>
    <t>21-206</t>
  </si>
  <si>
    <t>Mossyrock</t>
  </si>
  <si>
    <t>39-209</t>
  </si>
  <si>
    <t>Mount Adams</t>
  </si>
  <si>
    <t>37-507</t>
  </si>
  <si>
    <t>Mount Baker</t>
  </si>
  <si>
    <t>29-320</t>
  </si>
  <si>
    <t>Mt Vernon</t>
  </si>
  <si>
    <t>31-006</t>
  </si>
  <si>
    <t>Mukilteo</t>
  </si>
  <si>
    <t>39-003</t>
  </si>
  <si>
    <t>Naches Valley</t>
  </si>
  <si>
    <t>21-014</t>
  </si>
  <si>
    <t>Napavine</t>
  </si>
  <si>
    <t>25-155</t>
  </si>
  <si>
    <t>Naselle Grays Riv</t>
  </si>
  <si>
    <t>24-014</t>
  </si>
  <si>
    <t>Nespelem</t>
  </si>
  <si>
    <t>26-056</t>
  </si>
  <si>
    <t>Newport</t>
  </si>
  <si>
    <t>32-325</t>
  </si>
  <si>
    <t>Nine Mile Falls</t>
  </si>
  <si>
    <t>37-506</t>
  </si>
  <si>
    <t>Nooksack Valley</t>
  </si>
  <si>
    <t>14-064</t>
  </si>
  <si>
    <t>North Beach</t>
  </si>
  <si>
    <t>11-051</t>
  </si>
  <si>
    <t>North Franklin</t>
  </si>
  <si>
    <t>18-400</t>
  </si>
  <si>
    <t>North Kitsap</t>
  </si>
  <si>
    <t>23-403</t>
  </si>
  <si>
    <t>North Mason</t>
  </si>
  <si>
    <t>25-200</t>
  </si>
  <si>
    <t>North River</t>
  </si>
  <si>
    <t>34-003</t>
  </si>
  <si>
    <t>North Thurston</t>
  </si>
  <si>
    <t>33-211</t>
  </si>
  <si>
    <t>Northport</t>
  </si>
  <si>
    <t>17-417</t>
  </si>
  <si>
    <t>Northshore</t>
  </si>
  <si>
    <t>15-201</t>
  </si>
  <si>
    <t>Oak Harbor</t>
  </si>
  <si>
    <t>14-400</t>
  </si>
  <si>
    <t>Oakville</t>
  </si>
  <si>
    <t>25-101</t>
  </si>
  <si>
    <t>Ocean Beach</t>
  </si>
  <si>
    <t>14-172</t>
  </si>
  <si>
    <t>Ocosta</t>
  </si>
  <si>
    <t>22-105</t>
  </si>
  <si>
    <t>Odessa</t>
  </si>
  <si>
    <t>24-105</t>
  </si>
  <si>
    <t>Okanogan</t>
  </si>
  <si>
    <t>34-111</t>
  </si>
  <si>
    <t>Olympia</t>
  </si>
  <si>
    <t>24-019</t>
  </si>
  <si>
    <t>Omak</t>
  </si>
  <si>
    <t>21-300</t>
  </si>
  <si>
    <t>Onalaska</t>
  </si>
  <si>
    <t>33-030</t>
  </si>
  <si>
    <t>Onion Creek</t>
  </si>
  <si>
    <t>28-137</t>
  </si>
  <si>
    <t>Orcas</t>
  </si>
  <si>
    <t>10-065</t>
  </si>
  <si>
    <t>Orient</t>
  </si>
  <si>
    <t>09-013</t>
  </si>
  <si>
    <t>Orondo</t>
  </si>
  <si>
    <t>24-410</t>
  </si>
  <si>
    <t>Oroville</t>
  </si>
  <si>
    <t>27-344</t>
  </si>
  <si>
    <t>Orting</t>
  </si>
  <si>
    <t>01-147</t>
  </si>
  <si>
    <t>Othello</t>
  </si>
  <si>
    <t>09-102</t>
  </si>
  <si>
    <t>Palisades</t>
  </si>
  <si>
    <t>38-301</t>
  </si>
  <si>
    <t>Palouse</t>
  </si>
  <si>
    <t>11-001</t>
  </si>
  <si>
    <t>Pasco</t>
  </si>
  <si>
    <t>24-122</t>
  </si>
  <si>
    <t>Pateros</t>
  </si>
  <si>
    <t>03-050</t>
  </si>
  <si>
    <t>Paterson</t>
  </si>
  <si>
    <t>21-301</t>
  </si>
  <si>
    <t>Pe Ell</t>
  </si>
  <si>
    <t>27-401</t>
  </si>
  <si>
    <t>Peninsula</t>
  </si>
  <si>
    <t>04-901</t>
  </si>
  <si>
    <t>Pinnacle Prep Charter</t>
  </si>
  <si>
    <t>23-402</t>
  </si>
  <si>
    <t>Pioneer</t>
  </si>
  <si>
    <t>12-110</t>
  </si>
  <si>
    <t>Pomeroy</t>
  </si>
  <si>
    <t>05-121</t>
  </si>
  <si>
    <t>Port Angeles</t>
  </si>
  <si>
    <t>16-050</t>
  </si>
  <si>
    <t>Port Townsend</t>
  </si>
  <si>
    <t>36-402</t>
  </si>
  <si>
    <t>Prescott</t>
  </si>
  <si>
    <t>32-907</t>
  </si>
  <si>
    <t>Pride Prep Charter</t>
  </si>
  <si>
    <t>03-116</t>
  </si>
  <si>
    <t>Prosser</t>
  </si>
  <si>
    <t>38-267</t>
  </si>
  <si>
    <t>Pullman</t>
  </si>
  <si>
    <t>38-901</t>
  </si>
  <si>
    <t>Pullman Com Monte Charter</t>
  </si>
  <si>
    <t>27-003</t>
  </si>
  <si>
    <t>Puyallup</t>
  </si>
  <si>
    <t>16-020</t>
  </si>
  <si>
    <t>Queets-Clearwater</t>
  </si>
  <si>
    <t>16-048</t>
  </si>
  <si>
    <t>Quilcene</t>
  </si>
  <si>
    <t>05-903</t>
  </si>
  <si>
    <t>Quileute Tribal</t>
  </si>
  <si>
    <t>05-402</t>
  </si>
  <si>
    <t>Quillayute Valley</t>
  </si>
  <si>
    <t>14-097</t>
  </si>
  <si>
    <t>Quinault</t>
  </si>
  <si>
    <t>13-144</t>
  </si>
  <si>
    <t>Quincy</t>
  </si>
  <si>
    <t>34-307</t>
  </si>
  <si>
    <t>Rainier</t>
  </si>
  <si>
    <t>17-908</t>
  </si>
  <si>
    <t>Rainier Prep Charter</t>
  </si>
  <si>
    <t>25-116</t>
  </si>
  <si>
    <t>Raymond</t>
  </si>
  <si>
    <t>22-009</t>
  </si>
  <si>
    <t>Reardan</t>
  </si>
  <si>
    <t>17-403</t>
  </si>
  <si>
    <t>Renton</t>
  </si>
  <si>
    <t>10-309</t>
  </si>
  <si>
    <t>Republic</t>
  </si>
  <si>
    <t>03-400</t>
  </si>
  <si>
    <t>Richland</t>
  </si>
  <si>
    <t>06-122</t>
  </si>
  <si>
    <t>Ridgefield</t>
  </si>
  <si>
    <t>01-160</t>
  </si>
  <si>
    <t>Ritzville</t>
  </si>
  <si>
    <t>32-416</t>
  </si>
  <si>
    <t>Riverside</t>
  </si>
  <si>
    <t>17-407</t>
  </si>
  <si>
    <t>Riverview</t>
  </si>
  <si>
    <t>34-401</t>
  </si>
  <si>
    <t>Rochester</t>
  </si>
  <si>
    <t>38-320</t>
  </si>
  <si>
    <t>Rosalia</t>
  </si>
  <si>
    <t>13-160</t>
  </si>
  <si>
    <t>Royal</t>
  </si>
  <si>
    <t>28-149</t>
  </si>
  <si>
    <t>San Juan</t>
  </si>
  <si>
    <t>14-104</t>
  </si>
  <si>
    <t>Satsop</t>
  </si>
  <si>
    <t>17-001</t>
  </si>
  <si>
    <t>Seattle</t>
  </si>
  <si>
    <t>29-101</t>
  </si>
  <si>
    <t>Sedro Woolley</t>
  </si>
  <si>
    <t>39-119</t>
  </si>
  <si>
    <t>Selah</t>
  </si>
  <si>
    <t>26-070</t>
  </si>
  <si>
    <t>Selkirk</t>
  </si>
  <si>
    <t>05-323</t>
  </si>
  <si>
    <t>Sequim</t>
  </si>
  <si>
    <t>23-309</t>
  </si>
  <si>
    <t>Shelton</t>
  </si>
  <si>
    <t>17-412</t>
  </si>
  <si>
    <t>Shoreline</t>
  </si>
  <si>
    <t>30-002</t>
  </si>
  <si>
    <t>Skamania</t>
  </si>
  <si>
    <t>17-404</t>
  </si>
  <si>
    <t>Skykomish</t>
  </si>
  <si>
    <t>31-201</t>
  </si>
  <si>
    <t>Snohomish</t>
  </si>
  <si>
    <t>17-410</t>
  </si>
  <si>
    <t>Snoqualmie Valley</t>
  </si>
  <si>
    <t>13-156</t>
  </si>
  <si>
    <t>Soap Lake</t>
  </si>
  <si>
    <t>25-118</t>
  </si>
  <si>
    <t>South Bend</t>
  </si>
  <si>
    <t>18-402</t>
  </si>
  <si>
    <t>South Kitsap</t>
  </si>
  <si>
    <t>15-206</t>
  </si>
  <si>
    <t>South Whidbey</t>
  </si>
  <si>
    <t>23-042</t>
  </si>
  <si>
    <t>Southside</t>
  </si>
  <si>
    <t>32-081</t>
  </si>
  <si>
    <t>Spokane</t>
  </si>
  <si>
    <t>32-901</t>
  </si>
  <si>
    <t>Spokane Int'l Charter</t>
  </si>
  <si>
    <t>22-008</t>
  </si>
  <si>
    <t>Sprague</t>
  </si>
  <si>
    <t>38-322</t>
  </si>
  <si>
    <t>St John</t>
  </si>
  <si>
    <t>31-401</t>
  </si>
  <si>
    <t>Stanwood</t>
  </si>
  <si>
    <t>07-035</t>
  </si>
  <si>
    <t>Starbuck</t>
  </si>
  <si>
    <t>27-001</t>
  </si>
  <si>
    <t>Steilacoom Hist.</t>
  </si>
  <si>
    <t>30-303</t>
  </si>
  <si>
    <t>Stevenson-Carson</t>
  </si>
  <si>
    <t>31-311</t>
  </si>
  <si>
    <t>Sultan</t>
  </si>
  <si>
    <t>33-202</t>
  </si>
  <si>
    <t>Summit Valley</t>
  </si>
  <si>
    <t>17-905</t>
  </si>
  <si>
    <t>Summit Atlas Charter</t>
  </si>
  <si>
    <t>27-905</t>
  </si>
  <si>
    <t>Summit Olympus Charter</t>
  </si>
  <si>
    <t>17-902</t>
  </si>
  <si>
    <t>Summit Sierra Charter</t>
  </si>
  <si>
    <t>27-320</t>
  </si>
  <si>
    <t>Sumner</t>
  </si>
  <si>
    <t>39-201</t>
  </si>
  <si>
    <t>Sunnyside</t>
  </si>
  <si>
    <t>27-010</t>
  </si>
  <si>
    <t>Tacoma</t>
  </si>
  <si>
    <t>14-077</t>
  </si>
  <si>
    <t>Taholah</t>
  </si>
  <si>
    <t>17-409</t>
  </si>
  <si>
    <t>Tahoma</t>
  </si>
  <si>
    <t>38-265</t>
  </si>
  <si>
    <t>Tekoa</t>
  </si>
  <si>
    <t>34-402</t>
  </si>
  <si>
    <t>Tenino</t>
  </si>
  <si>
    <t>19-400</t>
  </si>
  <si>
    <t>Thorp</t>
  </si>
  <si>
    <t>21-237</t>
  </si>
  <si>
    <t>Toledo</t>
  </si>
  <si>
    <t>24-404</t>
  </si>
  <si>
    <t>Tonasket</t>
  </si>
  <si>
    <t>39-202</t>
  </si>
  <si>
    <t>Toppenish</t>
  </si>
  <si>
    <t>36-300</t>
  </si>
  <si>
    <t>Touchet</t>
  </si>
  <si>
    <t>17-406</t>
  </si>
  <si>
    <t>Tukwila</t>
  </si>
  <si>
    <t>34-033</t>
  </si>
  <si>
    <t>Tumwater</t>
  </si>
  <si>
    <t>39-002</t>
  </si>
  <si>
    <t>Union Gap</t>
  </si>
  <si>
    <t>27-083</t>
  </si>
  <si>
    <t>University Place</t>
  </si>
  <si>
    <t>33-070</t>
  </si>
  <si>
    <t>Valley</t>
  </si>
  <si>
    <t>06-037</t>
  </si>
  <si>
    <t>Vancouver</t>
  </si>
  <si>
    <t>17-402</t>
  </si>
  <si>
    <t>Vashon Island</t>
  </si>
  <si>
    <t>34-901</t>
  </si>
  <si>
    <t>Wa He Lut Tribal</t>
  </si>
  <si>
    <t>35-200</t>
  </si>
  <si>
    <t>Wahkiakum</t>
  </si>
  <si>
    <t>13-073</t>
  </si>
  <si>
    <t>Wahluke</t>
  </si>
  <si>
    <t>36-401</t>
  </si>
  <si>
    <t>Waitsburg</t>
  </si>
  <si>
    <t>36-140</t>
  </si>
  <si>
    <t>Walla Walla</t>
  </si>
  <si>
    <t>39-207</t>
  </si>
  <si>
    <t>Wapato</t>
  </si>
  <si>
    <t>13-146</t>
  </si>
  <si>
    <t>Warden</t>
  </si>
  <si>
    <t>06-112</t>
  </si>
  <si>
    <t>Washougal</t>
  </si>
  <si>
    <t>01-109</t>
  </si>
  <si>
    <t>Washtucna</t>
  </si>
  <si>
    <t>09-209</t>
  </si>
  <si>
    <t>Waterville</t>
  </si>
  <si>
    <t>33-049</t>
  </si>
  <si>
    <t>Wellpinit</t>
  </si>
  <si>
    <t>04-246</t>
  </si>
  <si>
    <t>Wenatchee</t>
  </si>
  <si>
    <t>32-363</t>
  </si>
  <si>
    <t>West Valley (Spok</t>
  </si>
  <si>
    <t>39-208</t>
  </si>
  <si>
    <t>West Valley (Yak)</t>
  </si>
  <si>
    <t>21-303</t>
  </si>
  <si>
    <t>White Pass</t>
  </si>
  <si>
    <t>27-416</t>
  </si>
  <si>
    <t>White River</t>
  </si>
  <si>
    <t>20-405</t>
  </si>
  <si>
    <t>White Salmon</t>
  </si>
  <si>
    <t>17-917</t>
  </si>
  <si>
    <t>Why Not You Charter</t>
  </si>
  <si>
    <t>22-200</t>
  </si>
  <si>
    <t>Wilbur</t>
  </si>
  <si>
    <t>25-160</t>
  </si>
  <si>
    <t>Willapa Valley</t>
  </si>
  <si>
    <t>13-167</t>
  </si>
  <si>
    <t>Wilson Creek</t>
  </si>
  <si>
    <t>21-232</t>
  </si>
  <si>
    <t>Winlock</t>
  </si>
  <si>
    <t>14-117</t>
  </si>
  <si>
    <t>Wishkah Valley</t>
  </si>
  <si>
    <t>20-094</t>
  </si>
  <si>
    <t>Wishram</t>
  </si>
  <si>
    <t>08-404</t>
  </si>
  <si>
    <t>Woodland</t>
  </si>
  <si>
    <t>39-007</t>
  </si>
  <si>
    <t>Yakima</t>
  </si>
  <si>
    <t>34-002</t>
  </si>
  <si>
    <t>Yelm</t>
  </si>
  <si>
    <t>39-205</t>
  </si>
  <si>
    <t>Zillah</t>
  </si>
  <si>
    <t>34-970</t>
  </si>
  <si>
    <t>34970</t>
  </si>
  <si>
    <t>DSHS</t>
  </si>
  <si>
    <t>34-974</t>
  </si>
  <si>
    <t>34974</t>
  </si>
  <si>
    <t>34-975</t>
  </si>
  <si>
    <t>34975</t>
  </si>
  <si>
    <t>34-978</t>
  </si>
  <si>
    <t>34978</t>
  </si>
  <si>
    <t>Year 1</t>
  </si>
  <si>
    <t>Supply Chain Assistance</t>
  </si>
  <si>
    <t>Supply Chain Assistance (SCA) Resources</t>
  </si>
  <si>
    <t xml:space="preserve">SCA Expenditures cannot be greater than the SCA Award </t>
  </si>
  <si>
    <t xml:space="preserve">Warning: The SCA Deficit amount must be added as additional expenditures to the Food Supply amount at [CELL B-19]. </t>
  </si>
  <si>
    <t>Warning: SCA CARRYOVER cannot be less than zero</t>
  </si>
  <si>
    <t>Warnings notes will appear if you have inadvertantly reported a deficit here.</t>
  </si>
  <si>
    <t>Year 2</t>
  </si>
  <si>
    <t>2018-19</t>
  </si>
  <si>
    <t>2019-20</t>
  </si>
  <si>
    <t>2020-21</t>
  </si>
  <si>
    <t>2021-22</t>
  </si>
  <si>
    <t>TOTAL</t>
  </si>
  <si>
    <t xml:space="preserve">ABERDEEN            </t>
  </si>
  <si>
    <t xml:space="preserve">WASHTUCNA           </t>
  </si>
  <si>
    <t xml:space="preserve">ADNA                </t>
  </si>
  <si>
    <t xml:space="preserve">OTHELLO             </t>
  </si>
  <si>
    <t xml:space="preserve">ALMIRA              </t>
  </si>
  <si>
    <t xml:space="preserve">LIND                </t>
  </si>
  <si>
    <t xml:space="preserve">ANACORTES           </t>
  </si>
  <si>
    <t>Any annual net balance carryover produced within five years reduces the earliest annual deficit.</t>
  </si>
  <si>
    <t xml:space="preserve">RITZVILLE           </t>
  </si>
  <si>
    <t xml:space="preserve">ARLINGTON           </t>
  </si>
  <si>
    <t xml:space="preserve">CLARKSTON           </t>
  </si>
  <si>
    <t xml:space="preserve">How this methodology is being implemented: </t>
  </si>
  <si>
    <t xml:space="preserve">ASOTIN              </t>
  </si>
  <si>
    <t xml:space="preserve">AUBURN              </t>
  </si>
  <si>
    <t>2009-10 deficits are first reduced by any net balance carryover funds produced from 2010-11 to 2014-15.  Any residual deficit remaining from 2009-10 is removed.</t>
  </si>
  <si>
    <t xml:space="preserve">KENNEWICK           </t>
  </si>
  <si>
    <t>If there are no annual net balance carryover amounts, the 2009-10 deficit is dropped.</t>
  </si>
  <si>
    <t xml:space="preserve">PATERSON            </t>
  </si>
  <si>
    <t xml:space="preserve">BATTLE GROUND       </t>
  </si>
  <si>
    <t>2009-10 net balance carryover funds are netted into the 2010-11 balance.  This netted combination of the two year’s amounts produces a new 2010-11 figure..</t>
  </si>
  <si>
    <t xml:space="preserve">KIONA BENTON        </t>
  </si>
  <si>
    <t xml:space="preserve">BELLEVUE            </t>
  </si>
  <si>
    <t xml:space="preserve">FINLEY              </t>
  </si>
  <si>
    <t xml:space="preserve">BELLINGHAM          </t>
  </si>
  <si>
    <t xml:space="preserve">In several cases, net balance carryover amounts for multiple years were used to reduce the 2009-10 deficit.  </t>
  </si>
  <si>
    <t xml:space="preserve">PROSSER             </t>
  </si>
  <si>
    <t>If there were insufficient net balance carryover annual amounts to reduce the total 2009-10 deficit, all net balance carryovers were reduced to zero and the residual 2009-10 deficit was removed.</t>
  </si>
  <si>
    <t xml:space="preserve">RICHLAND            </t>
  </si>
  <si>
    <t xml:space="preserve">BETHEL              </t>
  </si>
  <si>
    <t xml:space="preserve">If there were sufficient net balance carryover annual amounts to absorb the 2009-10 deficit, the residual net balance carryover funds are carried in the most recent year used to net against 2009-10. </t>
  </si>
  <si>
    <t xml:space="preserve">MANSON              </t>
  </si>
  <si>
    <t xml:space="preserve">ENTIAT              </t>
  </si>
  <si>
    <t xml:space="preserve">BLAINE              </t>
  </si>
  <si>
    <t>2010-11 amounts have been removed or applied as applicable..</t>
  </si>
  <si>
    <t xml:space="preserve">LAKE CHELAN         </t>
  </si>
  <si>
    <t xml:space="preserve">BOISTFORT           </t>
  </si>
  <si>
    <t xml:space="preserve">CASHMERE            </t>
  </si>
  <si>
    <t xml:space="preserve">BREMERTON           </t>
  </si>
  <si>
    <t xml:space="preserve">CASCADE             </t>
  </si>
  <si>
    <t xml:space="preserve">BREWSTER            </t>
  </si>
  <si>
    <t xml:space="preserve">WENATCHEE           </t>
  </si>
  <si>
    <t xml:space="preserve">BRIDGEPORT          </t>
  </si>
  <si>
    <t xml:space="preserve">PORT ANGELES        </t>
  </si>
  <si>
    <t xml:space="preserve">BRINNON             </t>
  </si>
  <si>
    <t xml:space="preserve">CRESCENT            </t>
  </si>
  <si>
    <t xml:space="preserve">SEQUIM              </t>
  </si>
  <si>
    <t xml:space="preserve">CAMAS               </t>
  </si>
  <si>
    <t xml:space="preserve">CAPE FLATTERY       </t>
  </si>
  <si>
    <t xml:space="preserve">QUILLAYUTE VALLEY   </t>
  </si>
  <si>
    <t xml:space="preserve">CARBONADO           </t>
  </si>
  <si>
    <t xml:space="preserve">VANCOUVER           </t>
  </si>
  <si>
    <t xml:space="preserve">HOCKINSON           </t>
  </si>
  <si>
    <t xml:space="preserve">CASTLE ROCK         </t>
  </si>
  <si>
    <t xml:space="preserve">LACENTER            </t>
  </si>
  <si>
    <t xml:space="preserve">GREEN MOUNTAIN      </t>
  </si>
  <si>
    <t xml:space="preserve">CENTERVILLE         </t>
  </si>
  <si>
    <t xml:space="preserve">WASHOUGAL           </t>
  </si>
  <si>
    <t xml:space="preserve">CENTRAL KITSAP      </t>
  </si>
  <si>
    <t xml:space="preserve">EVERGREEN           </t>
  </si>
  <si>
    <t xml:space="preserve">CENTRAL VALLEY      </t>
  </si>
  <si>
    <t xml:space="preserve">CENTRALIA           </t>
  </si>
  <si>
    <t xml:space="preserve">CHEHALIS            </t>
  </si>
  <si>
    <t xml:space="preserve">RIDGEFIELD          </t>
  </si>
  <si>
    <t xml:space="preserve">CHENEY              </t>
  </si>
  <si>
    <t xml:space="preserve">DAYTON              </t>
  </si>
  <si>
    <t xml:space="preserve">CHEWELAH            </t>
  </si>
  <si>
    <t xml:space="preserve">LONGVIEW            </t>
  </si>
  <si>
    <t xml:space="preserve">TOUTLE LAKE         </t>
  </si>
  <si>
    <t xml:space="preserve">CHIMACUM            </t>
  </si>
  <si>
    <t xml:space="preserve">KALAMA              </t>
  </si>
  <si>
    <t xml:space="preserve">WOODLAND            </t>
  </si>
  <si>
    <t xml:space="preserve">CLOVER PARK         </t>
  </si>
  <si>
    <t xml:space="preserve">KELSO               </t>
  </si>
  <si>
    <t xml:space="preserve">COLFAX              </t>
  </si>
  <si>
    <t xml:space="preserve">ORONDO              </t>
  </si>
  <si>
    <t xml:space="preserve">COLLEGE PLACE       </t>
  </si>
  <si>
    <t xml:space="preserve">COLTON              </t>
  </si>
  <si>
    <t xml:space="preserve">PALISADES           </t>
  </si>
  <si>
    <t>COLUMBIA - STEVENS</t>
  </si>
  <si>
    <t xml:space="preserve">EASTMONT            </t>
  </si>
  <si>
    <t xml:space="preserve">COLUMBIA - WALLA WALLA        </t>
  </si>
  <si>
    <t xml:space="preserve">MANSFIELD           </t>
  </si>
  <si>
    <t xml:space="preserve">COLVILLE            </t>
  </si>
  <si>
    <t xml:space="preserve">WATERVILLE          </t>
  </si>
  <si>
    <t xml:space="preserve">CONCRETE            </t>
  </si>
  <si>
    <t xml:space="preserve">KELLER              </t>
  </si>
  <si>
    <t xml:space="preserve">CONWAY              </t>
  </si>
  <si>
    <t xml:space="preserve">CURLEW              </t>
  </si>
  <si>
    <t xml:space="preserve">COSMOPOLIS          </t>
  </si>
  <si>
    <t xml:space="preserve">ORIENT              </t>
  </si>
  <si>
    <t xml:space="preserve">INCHELIUM           </t>
  </si>
  <si>
    <t xml:space="preserve">COUPEVILLE          </t>
  </si>
  <si>
    <t xml:space="preserve">REPUBLIC            </t>
  </si>
  <si>
    <t xml:space="preserve">PASCO               </t>
  </si>
  <si>
    <t xml:space="preserve">CRESTON             </t>
  </si>
  <si>
    <t xml:space="preserve">NORTH FRANKLIN      </t>
  </si>
  <si>
    <t xml:space="preserve">KAHLOTUS            </t>
  </si>
  <si>
    <t xml:space="preserve">CUSICK              </t>
  </si>
  <si>
    <t xml:space="preserve">POMEROY             </t>
  </si>
  <si>
    <t xml:space="preserve">WAHLUKE             </t>
  </si>
  <si>
    <t xml:space="preserve">DARRINGTON          </t>
  </si>
  <si>
    <t xml:space="preserve">QUINCY              </t>
  </si>
  <si>
    <t xml:space="preserve">DAVENPORT           </t>
  </si>
  <si>
    <t xml:space="preserve">WARDEN              </t>
  </si>
  <si>
    <t xml:space="preserve">COULEE HARTLINE     </t>
  </si>
  <si>
    <t xml:space="preserve">DEER PARK           </t>
  </si>
  <si>
    <t xml:space="preserve">SOAP LAKE           </t>
  </si>
  <si>
    <t xml:space="preserve">DIERINGER           </t>
  </si>
  <si>
    <t xml:space="preserve">ROYAL               </t>
  </si>
  <si>
    <t xml:space="preserve">DIXIE               </t>
  </si>
  <si>
    <t xml:space="preserve">MOSES LAKE          </t>
  </si>
  <si>
    <t xml:space="preserve">EAST VALLEY  - YAKIMA     </t>
  </si>
  <si>
    <t xml:space="preserve">EPHRATA             </t>
  </si>
  <si>
    <t>EAST VALLEY - SPOKANE</t>
  </si>
  <si>
    <t xml:space="preserve">WILSON CREEK        </t>
  </si>
  <si>
    <t xml:space="preserve">GRAND COULEE DAM    </t>
  </si>
  <si>
    <t xml:space="preserve">EASTON              </t>
  </si>
  <si>
    <t xml:space="preserve">EATONVILLE          </t>
  </si>
  <si>
    <t xml:space="preserve">HOQUIAM             </t>
  </si>
  <si>
    <t xml:space="preserve">EDMONDS             </t>
  </si>
  <si>
    <t xml:space="preserve">NORTH BEACH         </t>
  </si>
  <si>
    <t xml:space="preserve">ELLENSBURG          </t>
  </si>
  <si>
    <t xml:space="preserve">MC CLEARY           </t>
  </si>
  <si>
    <t xml:space="preserve">ELMA                </t>
  </si>
  <si>
    <t xml:space="preserve">MONTESANO           </t>
  </si>
  <si>
    <t xml:space="preserve">ENDICOTT            </t>
  </si>
  <si>
    <t xml:space="preserve">TAHOLAH             </t>
  </si>
  <si>
    <t xml:space="preserve">ENUMCLAW            </t>
  </si>
  <si>
    <t xml:space="preserve">QUINAULT            </t>
  </si>
  <si>
    <t xml:space="preserve">SATSOP              </t>
  </si>
  <si>
    <t xml:space="preserve">WISHKAH VALLEY      </t>
  </si>
  <si>
    <t xml:space="preserve">OCOSTA              </t>
  </si>
  <si>
    <t xml:space="preserve">OAKVILLE            </t>
  </si>
  <si>
    <t xml:space="preserve">OAK HARBOR          </t>
  </si>
  <si>
    <t xml:space="preserve">SOUTH WHIDBEY       </t>
  </si>
  <si>
    <t xml:space="preserve">CLEARWATER          </t>
  </si>
  <si>
    <t xml:space="preserve">QUILCENE            </t>
  </si>
  <si>
    <t xml:space="preserve">EVERETT             </t>
  </si>
  <si>
    <t xml:space="preserve">PORT TOWNSEND       </t>
  </si>
  <si>
    <t>EVERGREEN - CLARK</t>
  </si>
  <si>
    <t xml:space="preserve">SEATTLE             </t>
  </si>
  <si>
    <t>EVERGREEN - STEVENS</t>
  </si>
  <si>
    <t xml:space="preserve">FEDERAL WAY         </t>
  </si>
  <si>
    <t xml:space="preserve">FERNDALE            </t>
  </si>
  <si>
    <t xml:space="preserve">MERCER ISLAND       </t>
  </si>
  <si>
    <t xml:space="preserve">FIFE                </t>
  </si>
  <si>
    <t xml:space="preserve">HIGHLINE            </t>
  </si>
  <si>
    <t xml:space="preserve">VASHON ISLAND       </t>
  </si>
  <si>
    <t xml:space="preserve">FRANKLIN PIERCE     </t>
  </si>
  <si>
    <t xml:space="preserve">RENTON              </t>
  </si>
  <si>
    <t xml:space="preserve">FREEMAN             </t>
  </si>
  <si>
    <t xml:space="preserve">SKYKOMISH           </t>
  </si>
  <si>
    <t xml:space="preserve">GARFIELD            </t>
  </si>
  <si>
    <t xml:space="preserve">GLENWOOD            </t>
  </si>
  <si>
    <t xml:space="preserve">TUKWILA             </t>
  </si>
  <si>
    <t xml:space="preserve">GOLDENDALE          </t>
  </si>
  <si>
    <t xml:space="preserve">RIVERVIEW           </t>
  </si>
  <si>
    <t xml:space="preserve">GRANDVIEW           </t>
  </si>
  <si>
    <t xml:space="preserve">TAHOMA              </t>
  </si>
  <si>
    <t xml:space="preserve">GRANGER             </t>
  </si>
  <si>
    <t xml:space="preserve">SNOQUALMIE VALLEY   </t>
  </si>
  <si>
    <t xml:space="preserve">GRANITE FALLS       </t>
  </si>
  <si>
    <t xml:space="preserve">ISSAQUAH            </t>
  </si>
  <si>
    <t xml:space="preserve">GRAPEVIEW           </t>
  </si>
  <si>
    <t xml:space="preserve">SHORELINE           </t>
  </si>
  <si>
    <t xml:space="preserve">LAKE WASHINGTON     </t>
  </si>
  <si>
    <t xml:space="preserve">GRIFFIN             </t>
  </si>
  <si>
    <t xml:space="preserve">HARRINGTON          </t>
  </si>
  <si>
    <t>17906</t>
  </si>
  <si>
    <t>Green Dot Excel Charter</t>
  </si>
  <si>
    <t xml:space="preserve">HIGHLAND            </t>
  </si>
  <si>
    <t>Green Dot Public Schools WA State</t>
  </si>
  <si>
    <t>Impact  PSE</t>
  </si>
  <si>
    <t xml:space="preserve">HOOD CANAL          </t>
  </si>
  <si>
    <t xml:space="preserve">BAINBRIDGE          </t>
  </si>
  <si>
    <t>IMPACT COMM BAY CHARTER</t>
  </si>
  <si>
    <t xml:space="preserve">NORTH KITSAP        </t>
  </si>
  <si>
    <t>IMPACT PUBLIC SCHOOLS</t>
  </si>
  <si>
    <t xml:space="preserve">SOUTH KITSAP        </t>
  </si>
  <si>
    <t xml:space="preserve">INDEX               </t>
  </si>
  <si>
    <t xml:space="preserve">THORP               </t>
  </si>
  <si>
    <t xml:space="preserve">KITTITAS            </t>
  </si>
  <si>
    <t xml:space="preserve">CLE ELUM ROSLYN     </t>
  </si>
  <si>
    <t xml:space="preserve">WISHRAM             </t>
  </si>
  <si>
    <t xml:space="preserve">KENT                </t>
  </si>
  <si>
    <t xml:space="preserve">KETTLE FALLS        </t>
  </si>
  <si>
    <t xml:space="preserve">WHITE SALMON        </t>
  </si>
  <si>
    <t xml:space="preserve">LYLE                </t>
  </si>
  <si>
    <t xml:space="preserve">NAPAVINE            </t>
  </si>
  <si>
    <t xml:space="preserve">MOSSYROCK           </t>
  </si>
  <si>
    <t xml:space="preserve">LA CONNER           </t>
  </si>
  <si>
    <t xml:space="preserve">MORTON              </t>
  </si>
  <si>
    <t xml:space="preserve">WINLOCK             </t>
  </si>
  <si>
    <t xml:space="preserve">LAKE STEVENS        </t>
  </si>
  <si>
    <t xml:space="preserve">TOLEDO              </t>
  </si>
  <si>
    <t xml:space="preserve">LAKEWOOD            </t>
  </si>
  <si>
    <t xml:space="preserve">ONALASKA            </t>
  </si>
  <si>
    <t xml:space="preserve">LAMONT              </t>
  </si>
  <si>
    <t xml:space="preserve">PE ELL              </t>
  </si>
  <si>
    <t xml:space="preserve">LIBERTY             </t>
  </si>
  <si>
    <t xml:space="preserve">WHITE PASS          </t>
  </si>
  <si>
    <t xml:space="preserve">LOON LAKE           </t>
  </si>
  <si>
    <t xml:space="preserve">SPRAGUE             </t>
  </si>
  <si>
    <t xml:space="preserve">REARDAN             </t>
  </si>
  <si>
    <t>LUMENS HIGH SCHOOL</t>
  </si>
  <si>
    <t xml:space="preserve">ODESSA              </t>
  </si>
  <si>
    <t xml:space="preserve">LYNDEN              </t>
  </si>
  <si>
    <t xml:space="preserve">WILBUR              </t>
  </si>
  <si>
    <t xml:space="preserve">MABTON              </t>
  </si>
  <si>
    <t xml:space="preserve">SOUTHSIDE           </t>
  </si>
  <si>
    <t xml:space="preserve">MARY M KNIGHT       </t>
  </si>
  <si>
    <t xml:space="preserve">MARY WALKER         </t>
  </si>
  <si>
    <t xml:space="preserve">SHELTON             </t>
  </si>
  <si>
    <t xml:space="preserve">MARYSVILLE          </t>
  </si>
  <si>
    <t xml:space="preserve">PIONEER             </t>
  </si>
  <si>
    <t xml:space="preserve">MEAD                </t>
  </si>
  <si>
    <t xml:space="preserve">NORTH MASON         </t>
  </si>
  <si>
    <t xml:space="preserve">MEDICAL LAKE        </t>
  </si>
  <si>
    <t xml:space="preserve">NESPELEM            </t>
  </si>
  <si>
    <t xml:space="preserve">MERIDIAN            </t>
  </si>
  <si>
    <t xml:space="preserve">OMAK                </t>
  </si>
  <si>
    <t xml:space="preserve">METHOW VALLEY       </t>
  </si>
  <si>
    <t xml:space="preserve">OKANOGAN            </t>
  </si>
  <si>
    <t xml:space="preserve">MILL A              </t>
  </si>
  <si>
    <t xml:space="preserve">MONROE              </t>
  </si>
  <si>
    <t xml:space="preserve">PATEROS             </t>
  </si>
  <si>
    <t xml:space="preserve">TONASKET            </t>
  </si>
  <si>
    <t xml:space="preserve">OROVILLE            </t>
  </si>
  <si>
    <t xml:space="preserve">OCEAN BEACH         </t>
  </si>
  <si>
    <t xml:space="preserve">MOUNT ADAMS         </t>
  </si>
  <si>
    <t xml:space="preserve">RAYMOND             </t>
  </si>
  <si>
    <t xml:space="preserve">MOUNT BAKER         </t>
  </si>
  <si>
    <t xml:space="preserve">SOUTH BEND          </t>
  </si>
  <si>
    <t xml:space="preserve">WILLAPA VALLEY      </t>
  </si>
  <si>
    <t xml:space="preserve">NORTH RIVER         </t>
  </si>
  <si>
    <t xml:space="preserve">MUKILTEO            </t>
  </si>
  <si>
    <t xml:space="preserve">NEWPORT             </t>
  </si>
  <si>
    <t xml:space="preserve">NACHES VALLEY       </t>
  </si>
  <si>
    <t xml:space="preserve">SELKIRK             </t>
  </si>
  <si>
    <t xml:space="preserve">STEILACOOM HIST.    </t>
  </si>
  <si>
    <t xml:space="preserve">PUYALLUP            </t>
  </si>
  <si>
    <t xml:space="preserve">TACOMA              </t>
  </si>
  <si>
    <t xml:space="preserve">NINE MILE FALLS     </t>
  </si>
  <si>
    <t xml:space="preserve">NOOKSACK VALLEY     </t>
  </si>
  <si>
    <t xml:space="preserve">UNIVERSITY PLACE    </t>
  </si>
  <si>
    <t xml:space="preserve">SUMNER              </t>
  </si>
  <si>
    <t xml:space="preserve">ORTING              </t>
  </si>
  <si>
    <t xml:space="preserve">PENINSULA           </t>
  </si>
  <si>
    <t xml:space="preserve">NORTH THURSTON      </t>
  </si>
  <si>
    <t xml:space="preserve">NORTHPORT           </t>
  </si>
  <si>
    <t xml:space="preserve">NORTHSHORE          </t>
  </si>
  <si>
    <t xml:space="preserve">WHITE RIVER         </t>
  </si>
  <si>
    <t>27904</t>
  </si>
  <si>
    <t>Green Dot Destiny Charter</t>
  </si>
  <si>
    <t>27909</t>
  </si>
  <si>
    <t>SOAR Charter</t>
  </si>
  <si>
    <t xml:space="preserve">ORCAS               </t>
  </si>
  <si>
    <t xml:space="preserve">LOPEZ               </t>
  </si>
  <si>
    <t xml:space="preserve">OLYMPIA             </t>
  </si>
  <si>
    <t xml:space="preserve">SAN JUAN            </t>
  </si>
  <si>
    <t xml:space="preserve">BURLINGTON EDISON   </t>
  </si>
  <si>
    <t xml:space="preserve">ONION CREEK         </t>
  </si>
  <si>
    <t xml:space="preserve">SEDRO WOOLLEY       </t>
  </si>
  <si>
    <t xml:space="preserve">MT VERNON           </t>
  </si>
  <si>
    <t xml:space="preserve">SKAMANIA            </t>
  </si>
  <si>
    <t xml:space="preserve">STEVENSON CARSON    </t>
  </si>
  <si>
    <t>PINNACHLE PREP CHARTER</t>
  </si>
  <si>
    <t xml:space="preserve">SNOHOMISH           </t>
  </si>
  <si>
    <t xml:space="preserve">SULTAN              </t>
  </si>
  <si>
    <t xml:space="preserve">PRESCOTT            </t>
  </si>
  <si>
    <t xml:space="preserve">STANWOOD            </t>
  </si>
  <si>
    <t xml:space="preserve">SPOKANE             </t>
  </si>
  <si>
    <t xml:space="preserve">PULLMAN             </t>
  </si>
  <si>
    <t>PULLMAN MONT CHARTER</t>
  </si>
  <si>
    <t>QUILEUTE TRIBAL SCHOOL</t>
  </si>
  <si>
    <t xml:space="preserve">EAST VALLEY         </t>
  </si>
  <si>
    <t xml:space="preserve">WEST VALLEY         </t>
  </si>
  <si>
    <t xml:space="preserve">RAINIER             </t>
  </si>
  <si>
    <t xml:space="preserve">RIVERSIDE           </t>
  </si>
  <si>
    <t>Spokane International Charter</t>
  </si>
  <si>
    <t xml:space="preserve">WELLPINIT           </t>
  </si>
  <si>
    <t xml:space="preserve">VALLEY              </t>
  </si>
  <si>
    <t xml:space="preserve">SUMMIT VALLEY       </t>
  </si>
  <si>
    <t xml:space="preserve">ROCHESTER           </t>
  </si>
  <si>
    <t xml:space="preserve">COLUMBIA            </t>
  </si>
  <si>
    <t xml:space="preserve">ROSALIA             </t>
  </si>
  <si>
    <t xml:space="preserve">SAN JUAN ISLAND       </t>
  </si>
  <si>
    <t xml:space="preserve">YELM                </t>
  </si>
  <si>
    <t xml:space="preserve">TUMWATER            </t>
  </si>
  <si>
    <t xml:space="preserve">SELAH               </t>
  </si>
  <si>
    <t xml:space="preserve">TENINO              </t>
  </si>
  <si>
    <t xml:space="preserve">WAHKIAKUM           </t>
  </si>
  <si>
    <t xml:space="preserve">WALLA WALLA         </t>
  </si>
  <si>
    <t xml:space="preserve">TOUCHET             </t>
  </si>
  <si>
    <t xml:space="preserve">WAITSBURG           </t>
  </si>
  <si>
    <t>36901</t>
  </si>
  <si>
    <t xml:space="preserve">Willow </t>
  </si>
  <si>
    <t>SPOKANE INTL ACADEMY</t>
  </si>
  <si>
    <t xml:space="preserve">ST JOHN             </t>
  </si>
  <si>
    <t>STANWOOD-CAMANO</t>
  </si>
  <si>
    <t xml:space="preserve">TEKOA               </t>
  </si>
  <si>
    <t xml:space="preserve">UNION GAP           </t>
  </si>
  <si>
    <t xml:space="preserve">SUNNYSIDE           </t>
  </si>
  <si>
    <t xml:space="preserve">YAKIMA              </t>
  </si>
  <si>
    <t xml:space="preserve">TOPPENISH           </t>
  </si>
  <si>
    <t xml:space="preserve">ZILLAH              </t>
  </si>
  <si>
    <t xml:space="preserve">WAPATO              </t>
  </si>
  <si>
    <t>WEST VALLEY - SPOKANE</t>
  </si>
  <si>
    <t xml:space="preserve">WEST VALLEY - YAKIMA    </t>
  </si>
  <si>
    <t>GL 830 Restricted for Debt Service</t>
  </si>
  <si>
    <t>General Fund, Capital Projects Fund, Transportation Vehicle Fund</t>
  </si>
  <si>
    <t>Enter amount or other details as needed</t>
  </si>
  <si>
    <t>GL 835 Restricted for Arbitrage Rebate</t>
  </si>
  <si>
    <t>General Fund, CPF, TVF, DSF</t>
  </si>
  <si>
    <t>Enter the amount of arbitrage rebate calculated.</t>
  </si>
  <si>
    <t>GL 840 - Nonspendable Fund Balance--Inventory and Prepaid Items</t>
  </si>
  <si>
    <t>General Fund, ASB Fund</t>
  </si>
  <si>
    <t>Amount in GL 410 Inventory--Supplies and Materials</t>
  </si>
  <si>
    <t>Amount in GL 420 Inventory--Lunchrooms</t>
  </si>
  <si>
    <t>Amount in GL 430 Prepaid Items</t>
  </si>
  <si>
    <t>Total to Report in GL 840</t>
  </si>
  <si>
    <t>ASB Fund</t>
  </si>
  <si>
    <t>Total to Report in GL 840, Fund 4</t>
  </si>
  <si>
    <t>GL 845 Restricted for Self-Insurance</t>
  </si>
  <si>
    <t>(Description of amount)</t>
  </si>
  <si>
    <t>GL 850 Restricted for Uninsured Risks</t>
  </si>
  <si>
    <t>General Fund, ASB Fund, Capital Projects Fund, Transportation Vehicle Fund</t>
  </si>
  <si>
    <t>(Description of restriction)</t>
  </si>
  <si>
    <t>GL 855 - Nonspendable Fund Balance - Trust Principal</t>
  </si>
  <si>
    <t>Additions to Principal Balance</t>
  </si>
  <si>
    <t>GL 861 Restricted from Bond Proceeds</t>
  </si>
  <si>
    <t>Additions</t>
  </si>
  <si>
    <t>Bonds Sold</t>
  </si>
  <si>
    <t>Interest Earned from Bonds</t>
  </si>
  <si>
    <t>Total Additions</t>
  </si>
  <si>
    <t>Expenditures (Source/Use Code 1)</t>
  </si>
  <si>
    <t>GL 862 Committed from Levy Proceeds</t>
  </si>
  <si>
    <t>Levy Revenue Collected</t>
  </si>
  <si>
    <t>Interest Earned from Levy Proceeds</t>
  </si>
  <si>
    <t>Expenditures (Source/Use Code 2)</t>
  </si>
  <si>
    <t>GL 863 Restricted from State Proceeds</t>
  </si>
  <si>
    <t>State Proceeds Received</t>
  </si>
  <si>
    <t>Interest Earned from State Proceeds</t>
  </si>
  <si>
    <t>Expenditures (Source/Use Code 3)</t>
  </si>
  <si>
    <t>GL 864 Restricted from Federal Proceeds</t>
  </si>
  <si>
    <t>Federal Proceeds Received</t>
  </si>
  <si>
    <t>Interest Earned from Federal Proceeds</t>
  </si>
  <si>
    <t>Expenditures (Source/Use Code 4)</t>
  </si>
  <si>
    <t>GL 865 Restricted from Other Proceeds</t>
  </si>
  <si>
    <t>Other Financing Sources</t>
  </si>
  <si>
    <t>Interest Earned from O.F.S.</t>
  </si>
  <si>
    <t>Expenditures (Source/Use Code 5)</t>
  </si>
  <si>
    <t>GL 866 Restricted from Impact Fee Proceeds</t>
  </si>
  <si>
    <t>Impact Fees Collected</t>
  </si>
  <si>
    <t>Interest Earned from Impact Fees</t>
  </si>
  <si>
    <t>Expenditures (Source/Use Code 6)</t>
  </si>
  <si>
    <t>GL 867 Restricted from Mitigation Fee Proceeds</t>
  </si>
  <si>
    <t>Mitigation Fees Collected</t>
  </si>
  <si>
    <t>Interest Earned from Mitigation Fees</t>
  </si>
  <si>
    <t>Expenditures (Source/Use Code 7)</t>
  </si>
  <si>
    <t>GL 869 Restricted from Undistributed Proceeds</t>
  </si>
  <si>
    <t>Undistributed/Other Revenues</t>
  </si>
  <si>
    <t>Interest Earned</t>
  </si>
  <si>
    <t>Expenditures (Source/Use Code 9)</t>
  </si>
  <si>
    <t>GL 870 Committed to Other Purposes</t>
  </si>
  <si>
    <t>GF, CPF, DSF, ASB, PF, TVF</t>
  </si>
  <si>
    <t>Capital Projects</t>
  </si>
  <si>
    <t>Debt Service</t>
  </si>
  <si>
    <t>Transportation Vehicle</t>
  </si>
  <si>
    <t>(Briefly describe the Commitment)</t>
  </si>
  <si>
    <t xml:space="preserve">GL 872 Committed to Economic Stabilization </t>
  </si>
  <si>
    <t>Total Amount reported in GL 872</t>
  </si>
  <si>
    <t>GL 873 Committed to Depreciation Sub-Fund Facility Maintenance</t>
  </si>
  <si>
    <t xml:space="preserve">Do not use this GL Account until 2023-24. </t>
  </si>
  <si>
    <t>Total Amount reported in GL 873</t>
  </si>
  <si>
    <t>GL 875 Assigned to Contingencies</t>
  </si>
  <si>
    <t>(Brief description of Contingency)</t>
  </si>
  <si>
    <t>GL 884 Assigned to Other Capital Projects</t>
  </si>
  <si>
    <t>(Enter a brief description of project)</t>
  </si>
  <si>
    <t>GL 888 Assigned to Other Purposes</t>
  </si>
  <si>
    <t>(Enter brief description of assignment's purposes)</t>
  </si>
  <si>
    <t>GL 891 Unassigned to Minimum Fund Balance Policy</t>
  </si>
  <si>
    <t>Due to the number of different options, we present some of the more common choices for fund balance policies.</t>
  </si>
  <si>
    <t>Policy based on percentage range of expenditures</t>
  </si>
  <si>
    <t>Total Fund Expenditures</t>
  </si>
  <si>
    <t>Minimum Fund Balance Policy Percent</t>
  </si>
  <si>
    <t>Minimum Fund Balance Policy Amount</t>
  </si>
  <si>
    <t>Maximum Fund Balance Policy Percent</t>
  </si>
  <si>
    <t>Maximum Fund Balance Policy Amount</t>
  </si>
  <si>
    <t>Amount dedicated to Minimum Fund Balance Policy</t>
  </si>
  <si>
    <t>Percentage dedicated to Minimum Fund Balance Policy</t>
  </si>
  <si>
    <t>Policy based on single percentage of expenditures</t>
  </si>
  <si>
    <t>Fund Balance Policy Percent</t>
  </si>
  <si>
    <t>Fund Balance Policy Amount</t>
  </si>
  <si>
    <t>Policy based on set amount</t>
  </si>
  <si>
    <t>Amount Reported in GL 891</t>
  </si>
  <si>
    <t>(Click here to go back to the GL 821 page.)</t>
  </si>
  <si>
    <t>JOURNAL ENTRIES: Recovery</t>
  </si>
  <si>
    <t>If an accrual-basis district has recovery of state revenues, they record a liability to the state.</t>
  </si>
  <si>
    <t>The offset is revenues (received but not "earned").</t>
  </si>
  <si>
    <t>DR GL 960 Revenues (w/ appropriate sub-coding)</t>
  </si>
  <si>
    <t>XXX</t>
  </si>
  <si>
    <t>CR GL 630 Due to Other Governmental Units</t>
  </si>
  <si>
    <t>In the following year, the revenues will be reduced from the amount paid through Apportionment.</t>
  </si>
  <si>
    <t>The amount "earned" for that year is still the same, but some of it was paid in the prior year.</t>
  </si>
  <si>
    <t>DR GL 240 Cash on Deposit with County Treasurer</t>
  </si>
  <si>
    <t>XX</t>
  </si>
  <si>
    <t>DR GL 630 Due to Other Governmental Units</t>
  </si>
  <si>
    <t>(same amount from prior year)</t>
  </si>
  <si>
    <t>CR GL 960 Revenues (w/ appropriate sub-coding)</t>
  </si>
  <si>
    <t>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</si>
</sst>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00_);[Red]_(&quot;$&quot;* \(#,##0.00\);_(&quot;$&quot;* &quot;-&quot;??_);_(@_)"/>
    <numFmt numFmtId="165" formatCode="_(* #,##0.00_);_(* \(#,##0.00\);_(* &quot;-&quot;_);_(@_)"/>
    <numFmt numFmtId="166" formatCode="_(&quot;$&quot;* #,##0_);_(&quot;$&quot;* \(#,##0\);_(&quot;$&quot;* &quot;-&quot;??_);_(@_)"/>
    <numFmt numFmtId="167" formatCode="_(* #,##0_);_(* \(#,##0\);_(* &quot;-&quot;??_);_(@_)"/>
    <numFmt numFmtId="168" formatCode="_(* #,##0.0000_);_(* \(#,##0.0000\);_(* &quot;-&quot;_);_(@_)"/>
    <numFmt numFmtId="169" formatCode="00000"/>
  </numFmts>
  <fonts count="101">
    <font>
      <sz val="11"/>
      <color theme="1"/>
      <name val="Calibri"/>
      <family val="2"/>
      <scheme val="minor"/>
    </font>
    <font>
      <b/>
      <sz val="11"/>
      <color theme="1"/>
      <name val="Calibri"/>
      <family val="2"/>
      <scheme val="minor"/>
    </font>
    <font>
      <sz val="11"/>
      <color theme="1"/>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sz val="11"/>
      <name val="Calibri"/>
      <family val="2"/>
      <scheme val="minor"/>
    </font>
    <font>
      <u/>
      <sz val="11"/>
      <color theme="10"/>
      <name val="Calibri"/>
      <family val="2"/>
    </font>
    <font>
      <u val="doubleAccounting"/>
      <sz val="11"/>
      <color theme="1"/>
      <name val="Calibri"/>
      <family val="2"/>
      <scheme val="minor"/>
    </font>
    <font>
      <b/>
      <u val="doubleAccounting"/>
      <sz val="11"/>
      <color theme="1"/>
      <name val="Calibri"/>
      <family val="2"/>
      <scheme val="minor"/>
    </font>
    <font>
      <b/>
      <i/>
      <sz val="11"/>
      <color theme="1"/>
      <name val="Calibri"/>
      <family val="2"/>
      <scheme val="minor"/>
    </font>
    <font>
      <i/>
      <sz val="11"/>
      <color theme="1"/>
      <name val="Calibri"/>
      <family val="2"/>
      <scheme val="minor"/>
    </font>
    <font>
      <sz val="10"/>
      <color theme="1"/>
      <name val="Calibri"/>
      <family val="2"/>
      <scheme val="minor"/>
    </font>
    <font>
      <b/>
      <sz val="11"/>
      <name val="Calibri"/>
      <family val="2"/>
      <scheme val="minor"/>
    </font>
    <font>
      <b/>
      <sz val="9"/>
      <name val="Arial"/>
      <family val="2"/>
    </font>
    <font>
      <sz val="9"/>
      <name val="Arial"/>
      <family val="2"/>
    </font>
    <font>
      <sz val="10"/>
      <color indexed="8"/>
      <name val="Arial"/>
      <family val="2"/>
    </font>
    <font>
      <sz val="11"/>
      <color indexed="8"/>
      <name val="Calibri"/>
      <family val="2"/>
    </font>
    <font>
      <sz val="10"/>
      <name val="Arial"/>
      <family val="2"/>
    </font>
    <font>
      <u val="singleAccounting"/>
      <sz val="11"/>
      <color theme="1"/>
      <name val="Calibri"/>
      <family val="2"/>
      <scheme val="minor"/>
    </font>
    <font>
      <u val="doubleAccounting"/>
      <sz val="11"/>
      <name val="Calibri"/>
      <family val="2"/>
      <scheme val="minor"/>
    </font>
    <font>
      <b/>
      <u/>
      <sz val="11"/>
      <color theme="1"/>
      <name val="Calibri"/>
      <family val="2"/>
      <scheme val="minor"/>
    </font>
    <font>
      <b/>
      <i/>
      <u val="doubleAccounting"/>
      <sz val="11"/>
      <color theme="0"/>
      <name val="Calibri"/>
      <family val="2"/>
      <scheme val="minor"/>
    </font>
    <font>
      <sz val="9"/>
      <color indexed="81"/>
      <name val="Tahoma"/>
      <family val="2"/>
    </font>
    <font>
      <b/>
      <sz val="9"/>
      <color indexed="81"/>
      <name val="Tahoma"/>
      <family val="2"/>
    </font>
    <font>
      <b/>
      <sz val="10"/>
      <color theme="3" tint="-0.249977111117893"/>
      <name val="Calibri"/>
      <family val="2"/>
      <scheme val="minor"/>
    </font>
    <font>
      <sz val="10"/>
      <name val="Calibri"/>
      <family val="2"/>
      <scheme val="minor"/>
    </font>
    <font>
      <sz val="10"/>
      <color indexed="8"/>
      <name val="MS Sans Serif"/>
      <family val="2"/>
    </font>
    <font>
      <sz val="10"/>
      <name val="Geneva"/>
      <family val="2"/>
    </font>
    <font>
      <b/>
      <u val="singleAccounting"/>
      <sz val="11"/>
      <color theme="1"/>
      <name val="Calibri"/>
      <family val="2"/>
      <scheme val="minor"/>
    </font>
    <font>
      <b/>
      <sz val="11"/>
      <color rgb="FFFF0000"/>
      <name val="Calibri"/>
      <family val="2"/>
      <scheme val="minor"/>
    </font>
    <font>
      <sz val="10"/>
      <color indexed="8"/>
      <name val="Arial"/>
      <family val="2"/>
    </font>
    <font>
      <u val="singleAccounting"/>
      <sz val="11"/>
      <name val="Calibri"/>
      <family val="2"/>
      <scheme val="minor"/>
    </font>
    <font>
      <b/>
      <sz val="14"/>
      <color theme="1"/>
      <name val="Copperplate Gothic Bold"/>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Geneva"/>
    </font>
    <font>
      <sz val="10"/>
      <name val="MS Sans Serif"/>
      <family val="2"/>
    </font>
    <font>
      <u/>
      <sz val="10"/>
      <color indexed="12"/>
      <name val="Arial"/>
      <family val="2"/>
    </font>
    <font>
      <sz val="10"/>
      <name val="Arial"/>
      <family val="2"/>
    </font>
    <font>
      <sz val="11"/>
      <color theme="1"/>
      <name val="Calibri"/>
      <family val="2"/>
    </font>
    <font>
      <b/>
      <sz val="12"/>
      <color theme="1"/>
      <name val="Calibri"/>
      <family val="2"/>
      <scheme val="minor"/>
    </font>
    <font>
      <b/>
      <sz val="16"/>
      <color theme="1"/>
      <name val="Calibri"/>
      <family val="2"/>
      <scheme val="minor"/>
    </font>
    <font>
      <b/>
      <sz val="12"/>
      <color theme="3" tint="-0.249977111117893"/>
      <name val="Calibri"/>
      <family val="2"/>
      <scheme val="minor"/>
    </font>
    <font>
      <b/>
      <sz val="11"/>
      <color indexed="8"/>
      <name val="Calibri"/>
      <family val="2"/>
    </font>
    <font>
      <b/>
      <sz val="11"/>
      <name val="Calibri"/>
      <family val="2"/>
    </font>
    <font>
      <sz val="12"/>
      <color theme="1"/>
      <name val="Calibri"/>
      <family val="2"/>
      <scheme val="minor"/>
    </font>
    <font>
      <u/>
      <sz val="12"/>
      <color theme="10"/>
      <name val="Calibri"/>
      <family val="2"/>
      <scheme val="minor"/>
    </font>
    <font>
      <sz val="12"/>
      <color rgb="FFFF0000"/>
      <name val="Calibri"/>
      <family val="2"/>
      <scheme val="minor"/>
    </font>
    <font>
      <sz val="12"/>
      <name val="Calibri"/>
      <family val="2"/>
      <scheme val="minor"/>
    </font>
    <font>
      <u/>
      <sz val="12"/>
      <color rgb="FF0000FF"/>
      <name val="Calibri"/>
      <family val="2"/>
      <scheme val="minor"/>
    </font>
    <font>
      <sz val="12"/>
      <color rgb="FF3639B8"/>
      <name val="Calibri"/>
      <family val="2"/>
      <scheme val="minor"/>
    </font>
    <font>
      <b/>
      <i/>
      <sz val="11"/>
      <color rgb="FF000000"/>
      <name val="Calibri"/>
      <family val="2"/>
      <scheme val="minor"/>
    </font>
    <font>
      <sz val="11"/>
      <color rgb="FF000000"/>
      <name val="Calibri"/>
      <family val="2"/>
      <scheme val="minor"/>
    </font>
    <font>
      <i/>
      <sz val="11"/>
      <color rgb="FF000000"/>
      <name val="Calibri"/>
      <family val="2"/>
      <scheme val="minor"/>
    </font>
    <font>
      <u/>
      <sz val="12"/>
      <color theme="1"/>
      <name val="Calibri"/>
      <family val="2"/>
      <scheme val="minor"/>
    </font>
    <font>
      <b/>
      <u/>
      <sz val="12"/>
      <color theme="1"/>
      <name val="Calibri"/>
      <family val="2"/>
      <scheme val="minor"/>
    </font>
    <font>
      <u/>
      <sz val="11"/>
      <color rgb="FF0000FF"/>
      <name val="Calibri"/>
      <family val="2"/>
    </font>
    <font>
      <b/>
      <sz val="12"/>
      <color rgb="FF0000FF"/>
      <name val="Calibri"/>
      <family val="2"/>
      <scheme val="minor"/>
    </font>
    <font>
      <sz val="12"/>
      <color rgb="FF0000FF"/>
      <name val="Calibri"/>
      <family val="2"/>
      <scheme val="minor"/>
    </font>
    <font>
      <b/>
      <u/>
      <sz val="12"/>
      <color rgb="FF0000FF"/>
      <name val="Calibri"/>
      <family val="2"/>
      <scheme val="minor"/>
    </font>
    <font>
      <sz val="11"/>
      <color indexed="8"/>
      <name val="Calibri"/>
      <family val="2"/>
      <scheme val="minor"/>
    </font>
    <font>
      <sz val="10"/>
      <color rgb="FF000000"/>
      <name val="Calibri"/>
      <family val="2"/>
      <scheme val="minor"/>
    </font>
    <font>
      <u/>
      <sz val="10"/>
      <color rgb="FF000000"/>
      <name val="Calibri"/>
      <family val="2"/>
      <scheme val="minor"/>
    </font>
    <font>
      <sz val="10"/>
      <name val="Arial MT"/>
    </font>
    <font>
      <sz val="11"/>
      <color theme="1"/>
      <name val="Wingdings"/>
      <charset val="2"/>
    </font>
    <font>
      <i/>
      <strike/>
      <sz val="11"/>
      <color theme="1"/>
      <name val="Calibri"/>
      <family val="2"/>
      <scheme val="minor"/>
    </font>
    <font>
      <sz val="14"/>
      <color theme="1"/>
      <name val="Segoe UI"/>
      <family val="2"/>
    </font>
    <font>
      <b/>
      <u/>
      <sz val="14"/>
      <color theme="1"/>
      <name val="Segoe UI"/>
      <family val="2"/>
    </font>
    <font>
      <b/>
      <sz val="14"/>
      <color theme="1"/>
      <name val="Segoe UI"/>
      <family val="2"/>
    </font>
    <font>
      <b/>
      <sz val="14"/>
      <color rgb="FFC00000"/>
      <name val="Segoe UI"/>
      <family val="2"/>
    </font>
    <font>
      <b/>
      <sz val="8"/>
      <color theme="1"/>
      <name val="Calibri"/>
      <family val="2"/>
      <scheme val="minor"/>
    </font>
    <font>
      <b/>
      <sz val="14"/>
      <color theme="1"/>
      <name val="Calibri"/>
      <family val="2"/>
      <scheme val="minor"/>
    </font>
    <font>
      <b/>
      <i/>
      <sz val="14"/>
      <color theme="1"/>
      <name val="Calibri"/>
      <family val="2"/>
      <scheme val="minor"/>
    </font>
    <font>
      <b/>
      <u/>
      <sz val="14"/>
      <color theme="1"/>
      <name val="Calibri"/>
      <family val="2"/>
      <scheme val="minor"/>
    </font>
    <font>
      <b/>
      <sz val="12"/>
      <color theme="1"/>
      <name val="Segoe UI"/>
      <family val="2"/>
    </font>
    <font>
      <b/>
      <sz val="16"/>
      <color theme="1"/>
      <name val="Segoe UI"/>
      <family val="2"/>
    </font>
    <font>
      <sz val="8"/>
      <color theme="8" tint="-0.249977111117893"/>
      <name val="Calibri"/>
      <family val="2"/>
      <scheme val="minor"/>
    </font>
    <font>
      <sz val="9"/>
      <name val="Calibri"/>
      <family val="2"/>
      <scheme val="minor"/>
    </font>
    <font>
      <sz val="10"/>
      <color indexed="8"/>
      <name val="Calibri"/>
      <family val="2"/>
      <scheme val="minor"/>
    </font>
    <font>
      <b/>
      <sz val="11"/>
      <color rgb="FFC00000"/>
      <name val="Calibri"/>
      <family val="2"/>
      <scheme val="minor"/>
    </font>
    <font>
      <sz val="11"/>
      <color theme="8" tint="-0.249977111117893"/>
      <name val="Calibri"/>
      <family val="2"/>
      <scheme val="minor"/>
    </font>
    <font>
      <sz val="10"/>
      <name val="Arial"/>
      <family val="2"/>
    </font>
    <font>
      <b/>
      <sz val="10"/>
      <color rgb="FFC00000"/>
      <name val="Calibri"/>
      <family val="2"/>
      <scheme val="minor"/>
    </font>
    <font>
      <b/>
      <sz val="10"/>
      <color theme="1"/>
      <name val="Calibri"/>
      <family val="2"/>
      <scheme val="minor"/>
    </font>
    <font>
      <b/>
      <sz val="14"/>
      <color rgb="FFC00000"/>
      <name val="Calibri"/>
      <family val="2"/>
      <scheme val="minor"/>
    </font>
    <font>
      <b/>
      <sz val="9"/>
      <color indexed="81"/>
      <name val="Tahoma"/>
      <charset val="1"/>
    </font>
    <font>
      <sz val="9"/>
      <color indexed="81"/>
      <name val="Tahoma"/>
      <charset val="1"/>
    </font>
    <font>
      <sz val="8"/>
      <name val="Calibri"/>
      <family val="2"/>
      <scheme val="minor"/>
    </font>
    <font>
      <sz val="10"/>
      <color theme="1"/>
      <name val="Arial"/>
      <family val="2"/>
    </font>
    <font>
      <b/>
      <sz val="11"/>
      <color theme="1"/>
      <name val="Arial"/>
      <family val="2"/>
    </font>
  </fonts>
  <fills count="74">
    <fill>
      <patternFill patternType="none"/>
    </fill>
    <fill>
      <patternFill patternType="gray125"/>
    </fill>
    <fill>
      <patternFill patternType="solid">
        <fgColor rgb="FFF2F2F2"/>
      </patternFill>
    </fill>
    <fill>
      <patternFill patternType="solid">
        <fgColor theme="7" tint="0.59999389629810485"/>
        <bgColor indexed="65"/>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00206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DEAD"/>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FC000"/>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CCFFCC"/>
        <bgColor indexed="64"/>
      </patternFill>
    </fill>
    <fill>
      <patternFill patternType="solid">
        <fgColor rgb="FFFFCCFF"/>
        <bgColor indexed="64"/>
      </patternFill>
    </fill>
    <fill>
      <patternFill patternType="solid">
        <fgColor rgb="FFFFE1FF"/>
        <bgColor indexed="64"/>
      </patternFill>
    </fill>
    <fill>
      <patternFill patternType="solid">
        <fgColor rgb="FFFFFFCC"/>
        <bgColor indexed="64"/>
      </patternFill>
    </fill>
    <fill>
      <patternFill patternType="solid">
        <fgColor rgb="FFFD8BF5"/>
        <bgColor indexed="64"/>
      </patternFill>
    </fill>
    <fill>
      <patternFill patternType="solid">
        <fgColor theme="9" tint="0.59999389629810485"/>
        <bgColor indexed="64"/>
      </patternFill>
    </fill>
    <fill>
      <patternFill patternType="solid">
        <fgColor rgb="FFFD8BF5"/>
        <bgColor indexed="0"/>
      </patternFill>
    </fill>
    <fill>
      <patternFill patternType="solid">
        <fgColor theme="7" tint="0.79998168889431442"/>
        <bgColor indexed="64"/>
      </patternFill>
    </fill>
    <fill>
      <patternFill patternType="solid">
        <fgColor theme="2" tint="-0.249977111117893"/>
        <bgColor indexed="64"/>
      </patternFill>
    </fill>
    <fill>
      <patternFill patternType="solid">
        <fgColor rgb="FFFFE1FF"/>
        <bgColor indexed="0"/>
      </patternFill>
    </fill>
    <fill>
      <patternFill patternType="solid">
        <fgColor theme="5" tint="0.59999389629810485"/>
        <bgColor indexed="64"/>
      </patternFill>
    </fill>
    <fill>
      <patternFill patternType="lightGray">
        <fgColor theme="2" tint="-9.9948118533890809E-2"/>
        <bgColor theme="2" tint="-9.9948118533890809E-2"/>
      </patternFill>
    </fill>
    <fill>
      <patternFill patternType="lightGray">
        <fgColor theme="2" tint="-9.9948118533890809E-2"/>
        <bgColor rgb="FFCCFFCC"/>
      </patternFill>
    </fill>
    <fill>
      <patternFill patternType="solid">
        <fgColor theme="6" tint="0.59999389629810485"/>
        <bgColor indexed="64"/>
      </patternFill>
    </fill>
    <fill>
      <patternFill patternType="solid">
        <fgColor rgb="FFFFFFFF"/>
        <bgColor rgb="FF000000"/>
      </patternFill>
    </fill>
    <fill>
      <patternFill patternType="solid">
        <fgColor rgb="FF99FFCC"/>
        <bgColor rgb="FF000000"/>
      </patternFill>
    </fill>
    <fill>
      <patternFill patternType="solid">
        <fgColor rgb="FFFF0000"/>
        <bgColor indexed="64"/>
      </patternFill>
    </fill>
    <fill>
      <patternFill patternType="solid">
        <fgColor rgb="FFE9F54D"/>
        <bgColor indexed="64"/>
      </patternFill>
    </fill>
    <fill>
      <patternFill patternType="gray0625">
        <fgColor theme="0" tint="-0.24994659260841701"/>
        <bgColor theme="0"/>
      </patternFill>
    </fill>
    <fill>
      <patternFill patternType="gray0625">
        <fgColor theme="0" tint="-0.24994659260841701"/>
        <bgColor rgb="FFCCFFCC"/>
      </patternFill>
    </fill>
  </fills>
  <borders count="5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top/>
      <bottom/>
      <diagonal/>
    </border>
    <border>
      <left/>
      <right style="thin">
        <color rgb="FFB2B2B2"/>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2"/>
      </left>
      <right/>
      <top/>
      <bottom/>
      <diagonal/>
    </border>
    <border>
      <left style="thin">
        <color indexed="8"/>
      </left>
      <right/>
      <top/>
      <bottom/>
      <diagonal/>
    </border>
    <border>
      <left style="medium">
        <color indexed="64"/>
      </left>
      <right/>
      <top style="medium">
        <color indexed="64"/>
      </top>
      <bottom style="thin">
        <color theme="4" tint="0.39997558519241921"/>
      </bottom>
      <diagonal/>
    </border>
    <border>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22"/>
      </left>
      <right style="thin">
        <color indexed="22"/>
      </right>
      <top/>
      <bottom style="thin">
        <color indexed="22"/>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5343">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2" borderId="1" applyNumberFormat="0" applyAlignment="0" applyProtection="0"/>
    <xf numFmtId="0" fontId="2" fillId="3" borderId="0" applyNumberFormat="0" applyBorder="0" applyAlignment="0" applyProtection="0"/>
    <xf numFmtId="0" fontId="7"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43" fontId="2"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18"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9" fontId="28" fillId="0" borderId="0" applyFont="0" applyFill="0" applyBorder="0" applyAlignment="0" applyProtection="0"/>
    <xf numFmtId="0" fontId="31" fillId="0" borderId="0"/>
    <xf numFmtId="0" fontId="16" fillId="0" borderId="0"/>
    <xf numFmtId="0" fontId="34" fillId="0" borderId="0" applyNumberFormat="0" applyFill="0" applyBorder="0" applyAlignment="0" applyProtection="0"/>
    <xf numFmtId="0" fontId="35" fillId="0" borderId="19" applyNumberFormat="0" applyFill="0" applyAlignment="0" applyProtection="0"/>
    <xf numFmtId="0" fontId="36" fillId="0" borderId="20" applyNumberFormat="0" applyFill="0" applyAlignment="0" applyProtection="0"/>
    <xf numFmtId="0" fontId="37" fillId="0" borderId="21" applyNumberFormat="0" applyFill="0" applyAlignment="0" applyProtection="0"/>
    <xf numFmtId="0" fontId="37" fillId="0" borderId="0" applyNumberForma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3" borderId="0" applyNumberFormat="0" applyBorder="0" applyAlignment="0" applyProtection="0"/>
    <xf numFmtId="0" fontId="41" fillId="34" borderId="22" applyNumberFormat="0" applyAlignment="0" applyProtection="0"/>
    <xf numFmtId="0" fontId="42" fillId="2" borderId="22" applyNumberFormat="0" applyAlignment="0" applyProtection="0"/>
    <xf numFmtId="0" fontId="43" fillId="0" borderId="23" applyNumberFormat="0" applyFill="0" applyAlignment="0" applyProtection="0"/>
    <xf numFmtId="0" fontId="4" fillId="35" borderId="24" applyNumberFormat="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1" fillId="0" borderId="25" applyNumberFormat="0" applyFill="0" applyAlignment="0" applyProtection="0"/>
    <xf numFmtId="0" fontId="45" fillId="3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2" fillId="2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5" fillId="47" borderId="0" applyNumberFormat="0" applyBorder="0" applyAlignment="0" applyProtection="0"/>
    <xf numFmtId="0" fontId="16" fillId="0" borderId="0"/>
    <xf numFmtId="0" fontId="46" fillId="0" borderId="0"/>
    <xf numFmtId="40" fontId="28"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3" fontId="18" fillId="0" borderId="0" applyFont="0" applyFill="0" applyBorder="0" applyAlignment="0" applyProtection="0"/>
    <xf numFmtId="43" fontId="27" fillId="0" borderId="0" applyFont="0" applyFill="0" applyBorder="0" applyAlignment="0" applyProtection="0"/>
    <xf numFmtId="44" fontId="28" fillId="0" borderId="0" applyFont="0" applyFill="0" applyBorder="0" applyAlignment="0" applyProtection="0"/>
    <xf numFmtId="0" fontId="47" fillId="0" borderId="0"/>
    <xf numFmtId="0" fontId="47" fillId="0" borderId="0"/>
    <xf numFmtId="0" fontId="46"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0" fontId="48" fillId="0" borderId="0" applyNumberFormat="0" applyFill="0" applyBorder="0" applyAlignment="0" applyProtection="0">
      <alignment vertical="top"/>
      <protection locked="0"/>
    </xf>
    <xf numFmtId="0" fontId="2"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8" fillId="0" borderId="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18"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46" fillId="0" borderId="0"/>
    <xf numFmtId="40"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8"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49" fillId="0" borderId="0"/>
    <xf numFmtId="0" fontId="2" fillId="0" borderId="0"/>
    <xf numFmtId="0" fontId="2" fillId="0" borderId="0"/>
    <xf numFmtId="0" fontId="28" fillId="0" borderId="0"/>
    <xf numFmtId="0" fontId="28" fillId="0" borderId="0"/>
    <xf numFmtId="0" fontId="28" fillId="0" borderId="0"/>
    <xf numFmtId="0" fontId="18" fillId="0" borderId="0"/>
    <xf numFmtId="43" fontId="50" fillId="0" borderId="0" applyFont="0" applyFill="0" applyBorder="0" applyAlignment="0" applyProtection="0"/>
    <xf numFmtId="0" fontId="50"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0" borderId="0"/>
    <xf numFmtId="0" fontId="2" fillId="15" borderId="7" applyNumberFormat="0" applyFont="0" applyAlignment="0" applyProtection="0"/>
    <xf numFmtId="0" fontId="2" fillId="15" borderId="7" applyNumberFormat="0" applyFont="0" applyAlignment="0" applyProtection="0"/>
    <xf numFmtId="43"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43" fontId="27" fillId="0" borderId="0" applyFont="0" applyFill="0" applyBorder="0" applyAlignment="0" applyProtection="0"/>
    <xf numFmtId="44" fontId="2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0" fontId="2" fillId="15" borderId="7" applyNumberFormat="0" applyFont="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 fillId="0" borderId="0"/>
    <xf numFmtId="0" fontId="74" fillId="0" borderId="0"/>
    <xf numFmtId="0" fontId="2" fillId="0" borderId="0"/>
    <xf numFmtId="0" fontId="2" fillId="0" borderId="0"/>
    <xf numFmtId="0" fontId="92" fillId="0" borderId="0"/>
    <xf numFmtId="0" fontId="2" fillId="0" borderId="0"/>
    <xf numFmtId="0" fontId="2" fillId="0" borderId="0"/>
    <xf numFmtId="0" fontId="2" fillId="0" borderId="0"/>
  </cellStyleXfs>
  <cellXfs count="508">
    <xf numFmtId="0" fontId="0" fillId="0" borderId="0" xfId="0"/>
    <xf numFmtId="44" fontId="0" fillId="4" borderId="0" xfId="1" applyFont="1" applyFill="1"/>
    <xf numFmtId="44" fontId="0" fillId="0" borderId="0" xfId="1" applyFont="1"/>
    <xf numFmtId="44" fontId="0" fillId="5" borderId="0" xfId="1" applyFont="1" applyFill="1"/>
    <xf numFmtId="0" fontId="0" fillId="0" borderId="0" xfId="0" applyAlignment="1">
      <alignment horizontal="left" indent="1"/>
    </xf>
    <xf numFmtId="44" fontId="0" fillId="0" borderId="0" xfId="0" applyNumberFormat="1"/>
    <xf numFmtId="0" fontId="7" fillId="0" borderId="0" xfId="5" applyAlignment="1" applyProtection="1"/>
    <xf numFmtId="0" fontId="1" fillId="0" borderId="0" xfId="0" applyFont="1"/>
    <xf numFmtId="44" fontId="9" fillId="0" borderId="0" xfId="1" applyFont="1"/>
    <xf numFmtId="44" fontId="3" fillId="2" borderId="1" xfId="3" applyNumberFormat="1"/>
    <xf numFmtId="0" fontId="10" fillId="0" borderId="0" xfId="0" applyFont="1"/>
    <xf numFmtId="0" fontId="11" fillId="0" borderId="0" xfId="0" applyFont="1"/>
    <xf numFmtId="10" fontId="0" fillId="0" borderId="0" xfId="0" applyNumberFormat="1"/>
    <xf numFmtId="44" fontId="2" fillId="3" borderId="0" xfId="4" applyNumberFormat="1"/>
    <xf numFmtId="44" fontId="0" fillId="4" borderId="0" xfId="0" applyNumberFormat="1" applyFill="1"/>
    <xf numFmtId="44" fontId="8" fillId="3" borderId="0" xfId="4" applyNumberFormat="1" applyFont="1"/>
    <xf numFmtId="44" fontId="4" fillId="7" borderId="0" xfId="1" applyFont="1" applyFill="1"/>
    <xf numFmtId="0" fontId="11" fillId="0" borderId="0" xfId="0" applyFont="1" applyAlignment="1">
      <alignment vertical="center" wrapText="1"/>
    </xf>
    <xf numFmtId="44" fontId="0" fillId="6" borderId="0" xfId="1" applyFont="1" applyFill="1"/>
    <xf numFmtId="44" fontId="1" fillId="8" borderId="0" xfId="1" applyFont="1" applyFill="1"/>
    <xf numFmtId="44" fontId="1" fillId="6" borderId="0" xfId="1" applyFont="1" applyFill="1"/>
    <xf numFmtId="44" fontId="1" fillId="0" borderId="0" xfId="1" applyFont="1"/>
    <xf numFmtId="0" fontId="0" fillId="8" borderId="0" xfId="0" applyFill="1"/>
    <xf numFmtId="44" fontId="13" fillId="4" borderId="0" xfId="1" applyFont="1" applyFill="1"/>
    <xf numFmtId="0" fontId="14" fillId="10" borderId="2" xfId="0" applyFont="1" applyFill="1" applyBorder="1" applyAlignment="1">
      <alignment horizontal="center"/>
    </xf>
    <xf numFmtId="0" fontId="15" fillId="0" borderId="0" xfId="0" applyFont="1" applyAlignment="1">
      <alignment horizontal="center"/>
    </xf>
    <xf numFmtId="0" fontId="15" fillId="0" borderId="0" xfId="0" applyFont="1"/>
    <xf numFmtId="10" fontId="0" fillId="11" borderId="0" xfId="0" applyNumberFormat="1" applyFill="1"/>
    <xf numFmtId="44" fontId="20" fillId="13" borderId="0" xfId="4" applyNumberFormat="1" applyFont="1" applyFill="1"/>
    <xf numFmtId="44" fontId="0" fillId="12" borderId="0" xfId="1" applyFont="1" applyFill="1"/>
    <xf numFmtId="44" fontId="8" fillId="13" borderId="0" xfId="4" applyNumberFormat="1" applyFont="1" applyFill="1"/>
    <xf numFmtId="44" fontId="8" fillId="13" borderId="0" xfId="1" applyFont="1" applyFill="1"/>
    <xf numFmtId="0" fontId="21" fillId="0" borderId="0" xfId="0" applyFont="1"/>
    <xf numFmtId="44" fontId="22" fillId="14" borderId="0" xfId="1" applyFont="1" applyFill="1"/>
    <xf numFmtId="0" fontId="0" fillId="0" borderId="0" xfId="0" applyAlignment="1">
      <alignment vertical="center"/>
    </xf>
    <xf numFmtId="49" fontId="0" fillId="4" borderId="0" xfId="0" applyNumberFormat="1" applyFill="1"/>
    <xf numFmtId="0" fontId="11" fillId="0" borderId="10" xfId="0" applyFont="1" applyBorder="1"/>
    <xf numFmtId="0" fontId="0" fillId="0" borderId="11" xfId="0" applyBorder="1"/>
    <xf numFmtId="0" fontId="0" fillId="0" borderId="12" xfId="0" applyBorder="1"/>
    <xf numFmtId="44" fontId="0" fillId="4" borderId="13" xfId="1" applyFont="1" applyFill="1" applyBorder="1"/>
    <xf numFmtId="10" fontId="0" fillId="4" borderId="13" xfId="0" applyNumberFormat="1" applyFill="1" applyBorder="1"/>
    <xf numFmtId="44" fontId="0" fillId="0" borderId="13" xfId="0" applyNumberFormat="1" applyBorder="1"/>
    <xf numFmtId="0" fontId="0" fillId="0" borderId="14" xfId="0" applyBorder="1"/>
    <xf numFmtId="10" fontId="0" fillId="0" borderId="15" xfId="2" applyNumberFormat="1" applyFont="1" applyBorder="1"/>
    <xf numFmtId="9" fontId="0" fillId="4" borderId="13" xfId="0" applyNumberFormat="1" applyFill="1" applyBorder="1"/>
    <xf numFmtId="44" fontId="0" fillId="4" borderId="15" xfId="1" applyFont="1" applyFill="1" applyBorder="1"/>
    <xf numFmtId="0" fontId="12" fillId="0" borderId="0" xfId="0" applyFont="1"/>
    <xf numFmtId="49" fontId="0" fillId="27" borderId="0" xfId="0" applyNumberFormat="1" applyFill="1"/>
    <xf numFmtId="0" fontId="1" fillId="0" borderId="0" xfId="0" applyFont="1" applyAlignment="1">
      <alignment vertical="center"/>
    </xf>
    <xf numFmtId="43" fontId="0" fillId="0" borderId="0" xfId="9" applyFont="1"/>
    <xf numFmtId="0" fontId="0" fillId="0" borderId="0" xfId="0" applyAlignment="1">
      <alignment horizontal="center" wrapText="1"/>
    </xf>
    <xf numFmtId="44" fontId="19" fillId="0" borderId="0" xfId="0" applyNumberFormat="1" applyFont="1"/>
    <xf numFmtId="10" fontId="0" fillId="0" borderId="0" xfId="2" applyNumberFormat="1" applyFont="1"/>
    <xf numFmtId="44" fontId="29" fillId="0" borderId="0" xfId="1" applyFont="1"/>
    <xf numFmtId="0" fontId="0" fillId="0" borderId="0" xfId="0" applyAlignment="1">
      <alignment vertical="center" wrapText="1"/>
    </xf>
    <xf numFmtId="44" fontId="9" fillId="0" borderId="0" xfId="0" applyNumberFormat="1" applyFont="1"/>
    <xf numFmtId="44" fontId="30" fillId="0" borderId="0" xfId="1" applyFont="1"/>
    <xf numFmtId="43" fontId="0" fillId="4" borderId="0" xfId="9" applyFont="1" applyFill="1"/>
    <xf numFmtId="43" fontId="19" fillId="4" borderId="0" xfId="9" applyFont="1" applyFill="1"/>
    <xf numFmtId="0" fontId="0" fillId="0" borderId="0" xfId="0" applyAlignment="1">
      <alignment horizontal="left"/>
    </xf>
    <xf numFmtId="44" fontId="19" fillId="4" borderId="0" xfId="1" applyFont="1" applyFill="1"/>
    <xf numFmtId="44" fontId="19" fillId="12" borderId="0" xfId="1" applyFont="1" applyFill="1"/>
    <xf numFmtId="44" fontId="32" fillId="12" borderId="0" xfId="1" applyFont="1" applyFill="1"/>
    <xf numFmtId="44" fontId="9" fillId="28" borderId="0" xfId="1" applyFont="1" applyFill="1"/>
    <xf numFmtId="44" fontId="0" fillId="0" borderId="0" xfId="1" applyFont="1" applyFill="1"/>
    <xf numFmtId="0" fontId="11" fillId="0" borderId="18" xfId="0" applyFont="1" applyBorder="1"/>
    <xf numFmtId="44" fontId="11" fillId="29" borderId="0" xfId="1" applyFont="1" applyFill="1"/>
    <xf numFmtId="44" fontId="1" fillId="0" borderId="0" xfId="1" applyFont="1" applyFill="1"/>
    <xf numFmtId="0" fontId="25" fillId="11" borderId="0" xfId="0" applyFont="1" applyFill="1" applyAlignment="1">
      <alignment horizontal="center" vertical="center"/>
    </xf>
    <xf numFmtId="0" fontId="0" fillId="0" borderId="0" xfId="0" applyAlignment="1">
      <alignment horizontal="center" vertical="center"/>
    </xf>
    <xf numFmtId="0" fontId="49" fillId="0" borderId="0" xfId="3920"/>
    <xf numFmtId="49" fontId="0" fillId="4" borderId="0" xfId="0" applyNumberFormat="1" applyFill="1" applyAlignment="1">
      <alignment horizontal="center" vertical="center"/>
    </xf>
    <xf numFmtId="0" fontId="14" fillId="10" borderId="0" xfId="0" applyFont="1" applyFill="1" applyAlignment="1">
      <alignment horizontal="center"/>
    </xf>
    <xf numFmtId="0" fontId="26" fillId="0" borderId="0" xfId="0" applyFont="1" applyAlignment="1">
      <alignment horizontal="center"/>
    </xf>
    <xf numFmtId="0" fontId="25" fillId="49" borderId="0" xfId="0" applyFont="1" applyFill="1" applyAlignment="1">
      <alignment horizontal="center" vertical="center"/>
    </xf>
    <xf numFmtId="0" fontId="25" fillId="49" borderId="0" xfId="0" applyFont="1" applyFill="1" applyAlignment="1">
      <alignment vertical="center"/>
    </xf>
    <xf numFmtId="0" fontId="25" fillId="0" borderId="0" xfId="0" applyFont="1"/>
    <xf numFmtId="10" fontId="30" fillId="0" borderId="0" xfId="2" applyNumberFormat="1" applyFont="1"/>
    <xf numFmtId="0" fontId="6" fillId="0" borderId="0" xfId="0" applyFont="1"/>
    <xf numFmtId="0" fontId="6" fillId="0" borderId="0" xfId="0" applyFont="1" applyAlignment="1">
      <alignment horizontal="center"/>
    </xf>
    <xf numFmtId="0" fontId="51" fillId="0" borderId="0" xfId="0" applyFont="1"/>
    <xf numFmtId="44" fontId="19" fillId="5" borderId="0" xfId="4" applyNumberFormat="1" applyFont="1" applyFill="1"/>
    <xf numFmtId="0" fontId="53" fillId="11" borderId="0" xfId="0" applyFont="1" applyFill="1" applyAlignment="1">
      <alignment horizontal="center"/>
    </xf>
    <xf numFmtId="40" fontId="1" fillId="0" borderId="0" xfId="0" applyNumberFormat="1" applyFont="1"/>
    <xf numFmtId="0" fontId="1" fillId="50" borderId="28" xfId="0" applyFont="1" applyFill="1" applyBorder="1" applyAlignment="1">
      <alignment horizontal="center" vertical="center"/>
    </xf>
    <xf numFmtId="0" fontId="1" fillId="0" borderId="29" xfId="0" applyFont="1" applyBorder="1" applyAlignment="1">
      <alignment horizontal="left" vertical="center"/>
    </xf>
    <xf numFmtId="0" fontId="1" fillId="50" borderId="29" xfId="0" applyFont="1" applyFill="1" applyBorder="1" applyAlignment="1">
      <alignment horizontal="center" vertical="center"/>
    </xf>
    <xf numFmtId="0" fontId="1" fillId="50" borderId="30" xfId="0" applyFont="1" applyFill="1" applyBorder="1" applyAlignment="1">
      <alignment horizontal="center" vertical="center"/>
    </xf>
    <xf numFmtId="0" fontId="17" fillId="0" borderId="31" xfId="42" applyFont="1" applyBorder="1" applyAlignment="1">
      <alignment horizontal="center" vertical="center" wrapText="1"/>
    </xf>
    <xf numFmtId="49" fontId="0" fillId="0" borderId="31" xfId="0" quotePrefix="1" applyNumberFormat="1" applyBorder="1" applyAlignment="1">
      <alignment horizontal="center" vertical="center"/>
    </xf>
    <xf numFmtId="0" fontId="0" fillId="4" borderId="31" xfId="0" applyFill="1" applyBorder="1"/>
    <xf numFmtId="0" fontId="0" fillId="4" borderId="0" xfId="0" applyFill="1"/>
    <xf numFmtId="0" fontId="56" fillId="0" borderId="0" xfId="0" applyFont="1"/>
    <xf numFmtId="44" fontId="56" fillId="4" borderId="0" xfId="1" applyFont="1" applyFill="1"/>
    <xf numFmtId="44" fontId="56" fillId="5" borderId="0" xfId="1" applyFont="1" applyFill="1"/>
    <xf numFmtId="44" fontId="56" fillId="0" borderId="0" xfId="1" applyFont="1"/>
    <xf numFmtId="44" fontId="56" fillId="9" borderId="0" xfId="1" applyFont="1" applyFill="1"/>
    <xf numFmtId="0" fontId="57" fillId="0" borderId="0" xfId="5" applyFont="1" applyAlignment="1" applyProtection="1">
      <alignment horizontal="left" indent="1"/>
    </xf>
    <xf numFmtId="44" fontId="58" fillId="0" borderId="0" xfId="1" applyFont="1"/>
    <xf numFmtId="44" fontId="59" fillId="9" borderId="0" xfId="1" applyFont="1" applyFill="1"/>
    <xf numFmtId="0" fontId="56" fillId="0" borderId="0" xfId="0" applyFont="1" applyAlignment="1">
      <alignment horizontal="left" indent="1"/>
    </xf>
    <xf numFmtId="44" fontId="56" fillId="0" borderId="0" xfId="1" applyFont="1" applyFill="1"/>
    <xf numFmtId="44" fontId="56" fillId="12" borderId="0" xfId="1" applyFont="1" applyFill="1"/>
    <xf numFmtId="44" fontId="59" fillId="12" borderId="0" xfId="1" applyFont="1" applyFill="1"/>
    <xf numFmtId="0" fontId="60" fillId="0" borderId="0" xfId="5" applyFont="1" applyAlignment="1" applyProtection="1">
      <alignment horizontal="left" indent="1"/>
    </xf>
    <xf numFmtId="0" fontId="56" fillId="0" borderId="0" xfId="0" applyFont="1" applyAlignment="1">
      <alignment horizontal="left"/>
    </xf>
    <xf numFmtId="0" fontId="60" fillId="0" borderId="0" xfId="5" applyFont="1" applyFill="1" applyAlignment="1" applyProtection="1">
      <alignment horizontal="left" indent="1"/>
    </xf>
    <xf numFmtId="0" fontId="61" fillId="0" borderId="0" xfId="0" applyFont="1"/>
    <xf numFmtId="0" fontId="59" fillId="0" borderId="0" xfId="0" applyFont="1" applyAlignment="1">
      <alignment horizontal="left" indent="1"/>
    </xf>
    <xf numFmtId="44" fontId="59" fillId="0" borderId="0" xfId="1" applyFont="1" applyFill="1"/>
    <xf numFmtId="44" fontId="59" fillId="4" borderId="0" xfId="1" applyFont="1" applyFill="1"/>
    <xf numFmtId="164" fontId="56" fillId="9" borderId="0" xfId="1" applyNumberFormat="1" applyFont="1" applyFill="1"/>
    <xf numFmtId="164" fontId="56" fillId="12" borderId="0" xfId="1" applyNumberFormat="1" applyFont="1" applyFill="1"/>
    <xf numFmtId="44" fontId="56" fillId="9" borderId="0" xfId="0" applyNumberFormat="1" applyFont="1" applyFill="1"/>
    <xf numFmtId="164" fontId="56" fillId="9" borderId="0" xfId="0" applyNumberFormat="1" applyFont="1" applyFill="1"/>
    <xf numFmtId="0" fontId="62" fillId="0" borderId="0" xfId="0" applyFont="1" applyAlignment="1">
      <alignment horizontal="center" vertical="center"/>
    </xf>
    <xf numFmtId="0" fontId="63" fillId="0" borderId="0" xfId="0" applyFont="1"/>
    <xf numFmtId="0" fontId="64" fillId="0" borderId="0" xfId="0" applyFont="1" applyAlignment="1">
      <alignment horizontal="center" vertical="center"/>
    </xf>
    <xf numFmtId="0" fontId="63" fillId="0" borderId="0" xfId="0" applyFont="1" applyAlignment="1">
      <alignment horizontal="left" vertical="center"/>
    </xf>
    <xf numFmtId="0" fontId="33" fillId="0" borderId="0" xfId="0" applyFont="1"/>
    <xf numFmtId="0" fontId="67" fillId="0" borderId="0" xfId="5" applyFont="1" applyAlignment="1" applyProtection="1"/>
    <xf numFmtId="44" fontId="20" fillId="0" borderId="0" xfId="4" applyNumberFormat="1" applyFont="1" applyFill="1"/>
    <xf numFmtId="44" fontId="0" fillId="48" borderId="0" xfId="1" applyFont="1" applyFill="1"/>
    <xf numFmtId="44" fontId="20" fillId="4" borderId="0" xfId="1" applyFont="1" applyFill="1"/>
    <xf numFmtId="0" fontId="11" fillId="48" borderId="0" xfId="0" applyFont="1" applyFill="1"/>
    <xf numFmtId="0" fontId="0" fillId="30" borderId="31" xfId="0" applyFill="1" applyBorder="1"/>
    <xf numFmtId="0" fontId="0" fillId="30" borderId="0" xfId="0" applyFill="1"/>
    <xf numFmtId="0" fontId="71" fillId="0" borderId="0" xfId="81" applyFont="1" applyAlignment="1">
      <alignment horizontal="center" wrapText="1"/>
    </xf>
    <xf numFmtId="0" fontId="71" fillId="0" borderId="0" xfId="41" applyFont="1"/>
    <xf numFmtId="0" fontId="6" fillId="0" borderId="0" xfId="3928" applyFont="1"/>
    <xf numFmtId="49" fontId="0" fillId="0" borderId="0" xfId="0" applyNumberFormat="1" applyAlignment="1">
      <alignment horizontal="center"/>
    </xf>
    <xf numFmtId="44" fontId="0" fillId="52" borderId="0" xfId="1" applyFont="1" applyFill="1"/>
    <xf numFmtId="0" fontId="72" fillId="0" borderId="0" xfId="0" applyFont="1"/>
    <xf numFmtId="49" fontId="14" fillId="10" borderId="38" xfId="0" applyNumberFormat="1" applyFont="1" applyFill="1" applyBorder="1" applyAlignment="1">
      <alignment horizontal="center"/>
    </xf>
    <xf numFmtId="165" fontId="26" fillId="0" borderId="0" xfId="7" applyNumberFormat="1" applyFont="1"/>
    <xf numFmtId="0" fontId="26" fillId="0" borderId="0" xfId="0" applyFont="1"/>
    <xf numFmtId="0" fontId="56" fillId="0" borderId="43" xfId="0" applyFont="1" applyBorder="1" applyAlignment="1">
      <alignment horizontal="center" vertical="center"/>
    </xf>
    <xf numFmtId="0" fontId="56" fillId="0" borderId="44" xfId="0" applyFont="1" applyBorder="1" applyAlignment="1">
      <alignment horizontal="center" vertical="center"/>
    </xf>
    <xf numFmtId="166" fontId="56" fillId="0" borderId="40" xfId="1" applyNumberFormat="1" applyFont="1" applyBorder="1"/>
    <xf numFmtId="166" fontId="56" fillId="0" borderId="41" xfId="1" applyNumberFormat="1" applyFont="1" applyBorder="1"/>
    <xf numFmtId="166" fontId="56" fillId="0" borderId="42" xfId="1" applyNumberFormat="1" applyFont="1" applyBorder="1"/>
    <xf numFmtId="166" fontId="56" fillId="0" borderId="31" xfId="1" applyNumberFormat="1" applyFont="1" applyBorder="1"/>
    <xf numFmtId="166" fontId="56" fillId="0" borderId="0" xfId="1" applyNumberFormat="1" applyFont="1" applyBorder="1"/>
    <xf numFmtId="166" fontId="56" fillId="0" borderId="32" xfId="1" applyNumberFormat="1" applyFont="1" applyBorder="1"/>
    <xf numFmtId="166" fontId="56" fillId="0" borderId="31" xfId="1" applyNumberFormat="1" applyFont="1" applyFill="1" applyBorder="1"/>
    <xf numFmtId="166" fontId="56" fillId="0" borderId="0" xfId="1" applyNumberFormat="1" applyFont="1" applyFill="1" applyBorder="1"/>
    <xf numFmtId="166" fontId="56" fillId="53" borderId="31" xfId="1" applyNumberFormat="1" applyFont="1" applyFill="1" applyBorder="1"/>
    <xf numFmtId="166" fontId="56" fillId="53" borderId="0" xfId="1" applyNumberFormat="1" applyFont="1" applyFill="1" applyBorder="1"/>
    <xf numFmtId="166" fontId="56" fillId="9" borderId="0" xfId="1" applyNumberFormat="1" applyFont="1" applyFill="1" applyBorder="1"/>
    <xf numFmtId="166" fontId="56" fillId="4" borderId="31" xfId="1" applyNumberFormat="1" applyFont="1" applyFill="1" applyBorder="1"/>
    <xf numFmtId="166" fontId="56" fillId="4" borderId="0" xfId="1" applyNumberFormat="1" applyFont="1" applyFill="1" applyBorder="1"/>
    <xf numFmtId="166" fontId="56" fillId="30" borderId="33" xfId="1" applyNumberFormat="1" applyFont="1" applyFill="1" applyBorder="1"/>
    <xf numFmtId="166" fontId="56" fillId="30" borderId="34" xfId="1" applyNumberFormat="1" applyFont="1" applyFill="1" applyBorder="1"/>
    <xf numFmtId="166" fontId="56" fillId="9" borderId="34" xfId="1" applyNumberFormat="1" applyFont="1" applyFill="1" applyBorder="1"/>
    <xf numFmtId="0" fontId="26" fillId="5" borderId="0" xfId="0" applyFont="1" applyFill="1" applyAlignment="1">
      <alignment horizontal="center"/>
    </xf>
    <xf numFmtId="0" fontId="26" fillId="5" borderId="0" xfId="0" applyFont="1" applyFill="1"/>
    <xf numFmtId="41" fontId="26" fillId="0" borderId="0" xfId="0" applyNumberFormat="1" applyFont="1"/>
    <xf numFmtId="41" fontId="26" fillId="0" borderId="0" xfId="7" applyNumberFormat="1" applyFont="1"/>
    <xf numFmtId="0" fontId="26" fillId="29" borderId="0" xfId="0" applyFont="1" applyFill="1"/>
    <xf numFmtId="44" fontId="20" fillId="12" borderId="0" xfId="4" applyNumberFormat="1" applyFont="1" applyFill="1"/>
    <xf numFmtId="44" fontId="0" fillId="13" borderId="0" xfId="1" applyFont="1" applyFill="1"/>
    <xf numFmtId="44" fontId="0" fillId="12" borderId="2" xfId="1" applyFont="1" applyFill="1" applyBorder="1"/>
    <xf numFmtId="0" fontId="71" fillId="0" borderId="3" xfId="81" applyFont="1" applyBorder="1" applyAlignment="1">
      <alignment horizontal="center" vertical="center" wrapText="1"/>
    </xf>
    <xf numFmtId="0" fontId="6" fillId="0" borderId="0" xfId="0" applyFont="1" applyAlignment="1">
      <alignment horizontal="left"/>
    </xf>
    <xf numFmtId="0" fontId="0" fillId="0" borderId="0" xfId="0" applyAlignment="1">
      <alignment horizontal="left" vertical="center"/>
    </xf>
    <xf numFmtId="0" fontId="71" fillId="0" borderId="45" xfId="81" applyFont="1" applyBorder="1" applyAlignment="1">
      <alignment horizontal="center" vertical="center" wrapText="1"/>
    </xf>
    <xf numFmtId="0" fontId="0" fillId="0" borderId="3" xfId="0" applyBorder="1" applyAlignment="1">
      <alignment horizontal="center" vertical="center"/>
    </xf>
    <xf numFmtId="44" fontId="13" fillId="13" borderId="46" xfId="0" quotePrefix="1" applyNumberFormat="1" applyFont="1" applyFill="1" applyBorder="1"/>
    <xf numFmtId="0" fontId="1" fillId="0" borderId="0" xfId="0" applyFont="1" applyAlignment="1">
      <alignment horizontal="center" vertical="center" wrapText="1"/>
    </xf>
    <xf numFmtId="166" fontId="56" fillId="12" borderId="32" xfId="1" applyNumberFormat="1" applyFont="1" applyFill="1" applyBorder="1"/>
    <xf numFmtId="166" fontId="56" fillId="12" borderId="35" xfId="1" applyNumberFormat="1" applyFont="1" applyFill="1" applyBorder="1"/>
    <xf numFmtId="0" fontId="1" fillId="0" borderId="0" xfId="0" applyFont="1" applyAlignment="1">
      <alignment horizontal="left" indent="1"/>
    </xf>
    <xf numFmtId="0" fontId="76" fillId="0" borderId="0" xfId="0" applyFont="1" applyAlignment="1">
      <alignment horizontal="left" indent="1"/>
    </xf>
    <xf numFmtId="44" fontId="0" fillId="57" borderId="0" xfId="1" applyFont="1" applyFill="1"/>
    <xf numFmtId="44" fontId="0" fillId="57" borderId="2" xfId="1" applyFont="1" applyFill="1" applyBorder="1"/>
    <xf numFmtId="0" fontId="0" fillId="57" borderId="0" xfId="0" applyFill="1"/>
    <xf numFmtId="0" fontId="0" fillId="8" borderId="0" xfId="0" applyFill="1" applyAlignment="1">
      <alignment horizontal="right"/>
    </xf>
    <xf numFmtId="44" fontId="1" fillId="8" borderId="0" xfId="0" applyNumberFormat="1" applyFont="1" applyFill="1"/>
    <xf numFmtId="0" fontId="10" fillId="0" borderId="0" xfId="0" applyFont="1" applyAlignment="1">
      <alignment horizontal="center"/>
    </xf>
    <xf numFmtId="0" fontId="11" fillId="57" borderId="0" xfId="0" applyFont="1" applyFill="1"/>
    <xf numFmtId="44" fontId="19" fillId="5" borderId="0" xfId="1" applyFont="1" applyFill="1"/>
    <xf numFmtId="0" fontId="54" fillId="58" borderId="26" xfId="81" applyFont="1" applyFill="1" applyBorder="1" applyAlignment="1">
      <alignment horizontal="center" vertical="center" wrapText="1"/>
    </xf>
    <xf numFmtId="0" fontId="82" fillId="30" borderId="0" xfId="0" quotePrefix="1" applyFont="1" applyFill="1" applyAlignment="1">
      <alignment horizontal="center" vertical="center"/>
    </xf>
    <xf numFmtId="0" fontId="82" fillId="0" borderId="0" xfId="0" applyFont="1" applyAlignment="1">
      <alignment horizontal="right"/>
    </xf>
    <xf numFmtId="0" fontId="17" fillId="60" borderId="27" xfId="81" applyFont="1" applyFill="1" applyBorder="1" applyAlignment="1">
      <alignment horizontal="center" vertical="center" wrapText="1"/>
    </xf>
    <xf numFmtId="0" fontId="82" fillId="0" borderId="39" xfId="0" applyFont="1" applyBorder="1" applyAlignment="1">
      <alignment horizontal="center" vertical="center"/>
    </xf>
    <xf numFmtId="0" fontId="82" fillId="0" borderId="8" xfId="0" applyFont="1" applyBorder="1" applyAlignment="1">
      <alignment horizontal="center" vertical="center"/>
    </xf>
    <xf numFmtId="0" fontId="79" fillId="0" borderId="0" xfId="0" applyFont="1" applyAlignment="1">
      <alignment horizontal="center" vertical="center"/>
    </xf>
    <xf numFmtId="0" fontId="86" fillId="0" borderId="33" xfId="0" applyFont="1" applyBorder="1" applyAlignment="1">
      <alignment horizontal="center" vertical="center"/>
    </xf>
    <xf numFmtId="0" fontId="12" fillId="0" borderId="0" xfId="0" applyFont="1" applyAlignment="1">
      <alignment horizontal="center" vertical="center"/>
    </xf>
    <xf numFmtId="0" fontId="0" fillId="54" borderId="0" xfId="0" applyFill="1"/>
    <xf numFmtId="0" fontId="26" fillId="5" borderId="0" xfId="0" quotePrefix="1" applyFont="1" applyFill="1" applyAlignment="1">
      <alignment horizontal="center"/>
    </xf>
    <xf numFmtId="0" fontId="26" fillId="8" borderId="0" xfId="0" applyFont="1" applyFill="1"/>
    <xf numFmtId="40" fontId="12" fillId="0" borderId="0" xfId="9" applyNumberFormat="1" applyFont="1"/>
    <xf numFmtId="0" fontId="12" fillId="29" borderId="0" xfId="3921" applyFont="1" applyFill="1"/>
    <xf numFmtId="49" fontId="26" fillId="0" borderId="0" xfId="0" applyNumberFormat="1" applyFont="1" applyAlignment="1">
      <alignment horizontal="left"/>
    </xf>
    <xf numFmtId="0" fontId="26" fillId="0" borderId="0" xfId="0" applyFont="1" applyAlignment="1">
      <alignment horizontal="left"/>
    </xf>
    <xf numFmtId="0" fontId="12" fillId="0" borderId="2" xfId="0" applyFont="1" applyBorder="1"/>
    <xf numFmtId="49" fontId="12" fillId="0" borderId="0" xfId="0" applyNumberFormat="1" applyFont="1" applyAlignment="1">
      <alignment horizontal="center"/>
    </xf>
    <xf numFmtId="49" fontId="12" fillId="48" borderId="0" xfId="0" applyNumberFormat="1" applyFont="1" applyFill="1" applyAlignment="1">
      <alignment horizontal="left" vertical="center"/>
    </xf>
    <xf numFmtId="0" fontId="12" fillId="48" borderId="0" xfId="0" applyFont="1" applyFill="1" applyAlignment="1">
      <alignment horizontal="left" vertical="center"/>
    </xf>
    <xf numFmtId="49" fontId="26" fillId="29" borderId="0" xfId="3928" applyNumberFormat="1" applyFont="1" applyFill="1" applyAlignment="1">
      <alignment horizontal="left"/>
    </xf>
    <xf numFmtId="0" fontId="26" fillId="0" borderId="0" xfId="3928" applyFont="1"/>
    <xf numFmtId="49" fontId="12" fillId="0" borderId="0" xfId="0" applyNumberFormat="1" applyFont="1" applyAlignment="1">
      <alignment horizontal="left" vertical="center"/>
    </xf>
    <xf numFmtId="0" fontId="26" fillId="0" borderId="6" xfId="0" applyFont="1" applyBorder="1" applyAlignment="1">
      <alignment horizontal="left"/>
    </xf>
    <xf numFmtId="49" fontId="12" fillId="29" borderId="0" xfId="0" applyNumberFormat="1" applyFont="1" applyFill="1" applyAlignment="1">
      <alignment horizontal="left"/>
    </xf>
    <xf numFmtId="0" fontId="12" fillId="29" borderId="0" xfId="0" applyFont="1" applyFill="1" applyAlignment="1">
      <alignment horizontal="left"/>
    </xf>
    <xf numFmtId="49" fontId="26" fillId="0" borderId="0" xfId="0" applyNumberFormat="1" applyFont="1"/>
    <xf numFmtId="0" fontId="87" fillId="0" borderId="0" xfId="3922" applyFont="1" applyAlignment="1">
      <alignment horizontal="center" vertical="center"/>
    </xf>
    <xf numFmtId="0" fontId="10" fillId="57" borderId="0" xfId="0" applyFont="1" applyFill="1"/>
    <xf numFmtId="0" fontId="88" fillId="0" borderId="0" xfId="3922" applyFont="1" applyAlignment="1">
      <alignment horizontal="center" vertical="center"/>
    </xf>
    <xf numFmtId="44" fontId="6" fillId="0" borderId="0" xfId="5336" quotePrefix="1" applyNumberFormat="1" applyFont="1" applyAlignment="1">
      <alignment horizontal="right"/>
    </xf>
    <xf numFmtId="40" fontId="26" fillId="0" borderId="0" xfId="0" applyNumberFormat="1" applyFont="1"/>
    <xf numFmtId="0" fontId="89" fillId="0" borderId="0" xfId="81" applyFont="1" applyAlignment="1">
      <alignment horizontal="center" wrapText="1"/>
    </xf>
    <xf numFmtId="0" fontId="89" fillId="0" borderId="0" xfId="41" applyFont="1"/>
    <xf numFmtId="40" fontId="89" fillId="0" borderId="0" xfId="41" applyNumberFormat="1" applyFont="1"/>
    <xf numFmtId="0" fontId="89" fillId="0" borderId="3" xfId="81" applyFont="1" applyBorder="1" applyAlignment="1">
      <alignment horizontal="center" vertical="center" wrapText="1"/>
    </xf>
    <xf numFmtId="0" fontId="12" fillId="0" borderId="0" xfId="0" applyFont="1" applyAlignment="1">
      <alignment horizontal="left" vertical="center"/>
    </xf>
    <xf numFmtId="0" fontId="89" fillId="0" borderId="45" xfId="81"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61" borderId="2" xfId="0" applyFont="1" applyFill="1" applyBorder="1" applyAlignment="1">
      <alignment horizontal="left" vertical="center"/>
    </xf>
    <xf numFmtId="40" fontId="26" fillId="0" borderId="0" xfId="3928" applyNumberFormat="1" applyFont="1"/>
    <xf numFmtId="0" fontId="12" fillId="55" borderId="0" xfId="5337" applyFont="1" applyFill="1" applyAlignment="1">
      <alignment horizontal="center" vertical="center" wrapText="1"/>
    </xf>
    <xf numFmtId="0" fontId="6" fillId="0" borderId="0" xfId="3922" applyFont="1" applyAlignment="1">
      <alignment horizontal="center" vertical="center"/>
    </xf>
    <xf numFmtId="0" fontId="2" fillId="0" borderId="0" xfId="0" applyFont="1"/>
    <xf numFmtId="0" fontId="91" fillId="0" borderId="0" xfId="3922"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167" fontId="2" fillId="0" borderId="0" xfId="9" applyNumberFormat="1" applyFont="1"/>
    <xf numFmtId="167" fontId="6" fillId="0" borderId="0" xfId="0" applyNumberFormat="1" applyFont="1"/>
    <xf numFmtId="167" fontId="2" fillId="0" borderId="0" xfId="5338" applyNumberFormat="1"/>
    <xf numFmtId="167" fontId="2" fillId="0" borderId="0" xfId="0" applyNumberFormat="1" applyFont="1"/>
    <xf numFmtId="0" fontId="6" fillId="29" borderId="0" xfId="0" applyFont="1" applyFill="1"/>
    <xf numFmtId="0" fontId="6" fillId="0" borderId="0" xfId="0" quotePrefix="1" applyFont="1"/>
    <xf numFmtId="0" fontId="2" fillId="29" borderId="0" xfId="3921" applyFill="1"/>
    <xf numFmtId="0" fontId="6" fillId="0" borderId="0" xfId="3921" applyFont="1"/>
    <xf numFmtId="0" fontId="12" fillId="0" borderId="0" xfId="5337" applyFont="1" applyAlignment="1">
      <alignment horizontal="center" vertical="center"/>
    </xf>
    <xf numFmtId="0" fontId="90" fillId="48" borderId="0" xfId="0" applyFont="1" applyFill="1" applyAlignment="1">
      <alignment horizontal="center" vertical="center"/>
    </xf>
    <xf numFmtId="0" fontId="2" fillId="48" borderId="0" xfId="0" applyFont="1" applyFill="1" applyAlignment="1">
      <alignment horizontal="center" vertical="center"/>
    </xf>
    <xf numFmtId="167" fontId="6" fillId="0" borderId="0" xfId="9" applyNumberFormat="1" applyFont="1" applyFill="1"/>
    <xf numFmtId="167" fontId="71" fillId="0" borderId="0" xfId="9" applyNumberFormat="1" applyFont="1" applyFill="1"/>
    <xf numFmtId="167" fontId="2" fillId="0" borderId="0" xfId="9" applyNumberFormat="1" applyFont="1" applyFill="1"/>
    <xf numFmtId="0" fontId="93" fillId="48" borderId="0" xfId="0" applyFont="1" applyFill="1" applyAlignment="1">
      <alignment horizontal="center" vertical="center"/>
    </xf>
    <xf numFmtId="0" fontId="12" fillId="48" borderId="0" xfId="0" applyFont="1" applyFill="1" applyAlignment="1">
      <alignment horizontal="center" vertical="center"/>
    </xf>
    <xf numFmtId="0" fontId="26" fillId="0" borderId="0" xfId="0" applyFont="1" applyAlignment="1">
      <alignment horizontal="center" vertical="center" wrapText="1"/>
    </xf>
    <xf numFmtId="0" fontId="26" fillId="0" borderId="0" xfId="0" quotePrefix="1" applyFont="1" applyAlignment="1">
      <alignment horizontal="center" vertical="center" wrapText="1"/>
    </xf>
    <xf numFmtId="10" fontId="26" fillId="0" borderId="0" xfId="2" applyNumberFormat="1" applyFont="1"/>
    <xf numFmtId="43" fontId="0" fillId="4" borderId="0" xfId="9" applyFont="1" applyFill="1" applyAlignment="1">
      <alignment horizontal="center" vertical="center" wrapText="1"/>
    </xf>
    <xf numFmtId="167" fontId="2" fillId="4" borderId="0" xfId="9" applyNumberFormat="1" applyFont="1" applyFill="1"/>
    <xf numFmtId="0" fontId="56" fillId="51" borderId="12" xfId="0" applyFont="1" applyFill="1" applyBorder="1" applyAlignment="1">
      <alignment vertical="center" wrapText="1"/>
    </xf>
    <xf numFmtId="0" fontId="51" fillId="51" borderId="38" xfId="0" applyFont="1" applyFill="1" applyBorder="1" applyAlignment="1">
      <alignment vertical="center" wrapText="1"/>
    </xf>
    <xf numFmtId="0" fontId="10" fillId="56" borderId="48" xfId="0" applyFont="1" applyFill="1" applyBorder="1" applyAlignment="1">
      <alignment vertical="center" wrapText="1"/>
    </xf>
    <xf numFmtId="0" fontId="56" fillId="48" borderId="48" xfId="0" applyFont="1" applyFill="1" applyBorder="1" applyAlignment="1">
      <alignment vertical="center" wrapText="1"/>
    </xf>
    <xf numFmtId="0" fontId="56" fillId="51" borderId="49" xfId="0" applyFont="1" applyFill="1" applyBorder="1" applyAlignment="1">
      <alignment vertical="center" wrapText="1"/>
    </xf>
    <xf numFmtId="0" fontId="56" fillId="4" borderId="48" xfId="0" applyFont="1" applyFill="1" applyBorder="1" applyAlignment="1">
      <alignment vertical="center" wrapText="1"/>
    </xf>
    <xf numFmtId="0" fontId="84" fillId="51" borderId="48" xfId="0" applyFont="1" applyFill="1" applyBorder="1" applyAlignment="1">
      <alignment vertical="center" wrapText="1"/>
    </xf>
    <xf numFmtId="0" fontId="52" fillId="51" borderId="39" xfId="0" applyFont="1" applyFill="1" applyBorder="1" applyAlignment="1">
      <alignment vertical="center" wrapText="1"/>
    </xf>
    <xf numFmtId="0" fontId="56" fillId="51" borderId="48" xfId="0" applyFont="1" applyFill="1" applyBorder="1" applyAlignment="1">
      <alignment horizontal="left" vertical="center" wrapText="1"/>
    </xf>
    <xf numFmtId="0" fontId="56" fillId="51" borderId="49" xfId="0" applyFont="1" applyFill="1" applyBorder="1" applyAlignment="1">
      <alignment horizontal="left" vertical="center" wrapText="1"/>
    </xf>
    <xf numFmtId="38" fontId="0" fillId="0" borderId="0" xfId="0" applyNumberFormat="1"/>
    <xf numFmtId="0" fontId="12" fillId="29" borderId="0" xfId="5340" applyFont="1" applyFill="1"/>
    <xf numFmtId="0" fontId="26" fillId="62" borderId="0" xfId="0" quotePrefix="1" applyFont="1" applyFill="1"/>
    <xf numFmtId="0" fontId="26" fillId="62" borderId="0" xfId="0" applyFont="1" applyFill="1"/>
    <xf numFmtId="168" fontId="26" fillId="0" borderId="0" xfId="7" applyNumberFormat="1" applyFont="1"/>
    <xf numFmtId="0" fontId="12" fillId="0" borderId="0" xfId="5341" applyFont="1"/>
    <xf numFmtId="0" fontId="12" fillId="4" borderId="0" xfId="5341" applyFont="1" applyFill="1"/>
    <xf numFmtId="0" fontId="0" fillId="56" borderId="0" xfId="0" applyFill="1"/>
    <xf numFmtId="0" fontId="55" fillId="63" borderId="36" xfId="42" applyFont="1" applyFill="1" applyBorder="1" applyAlignment="1">
      <alignment horizontal="left" vertical="center"/>
    </xf>
    <xf numFmtId="0" fontId="55" fillId="63" borderId="9" xfId="42" applyFont="1" applyFill="1" applyBorder="1" applyAlignment="1">
      <alignment horizontal="left" vertical="center"/>
    </xf>
    <xf numFmtId="0" fontId="13" fillId="56" borderId="9" xfId="0" applyFont="1" applyFill="1" applyBorder="1"/>
    <xf numFmtId="0" fontId="0" fillId="64" borderId="0" xfId="0" applyFill="1"/>
    <xf numFmtId="0" fontId="2" fillId="0" borderId="0" xfId="0" applyFont="1" applyAlignment="1">
      <alignment horizontal="center"/>
    </xf>
    <xf numFmtId="0" fontId="6" fillId="59" borderId="0" xfId="0" applyFont="1" applyFill="1"/>
    <xf numFmtId="167" fontId="0" fillId="0" borderId="0" xfId="9" applyNumberFormat="1" applyFont="1"/>
    <xf numFmtId="0" fontId="6" fillId="56" borderId="0" xfId="0" applyFont="1" applyFill="1"/>
    <xf numFmtId="0" fontId="6" fillId="56" borderId="0" xfId="0" quotePrefix="1" applyFont="1" applyFill="1" applyAlignment="1">
      <alignment horizontal="left"/>
    </xf>
    <xf numFmtId="0" fontId="6" fillId="30" borderId="0" xfId="0" applyFont="1" applyFill="1"/>
    <xf numFmtId="43" fontId="0" fillId="0" borderId="0" xfId="9" applyFont="1" applyFill="1"/>
    <xf numFmtId="0" fontId="6" fillId="0" borderId="0" xfId="0" quotePrefix="1" applyFont="1" applyAlignment="1">
      <alignment horizontal="left"/>
    </xf>
    <xf numFmtId="0" fontId="2" fillId="54" borderId="0" xfId="0" applyFont="1" applyFill="1" applyAlignment="1">
      <alignment horizontal="center" vertical="center" wrapText="1"/>
    </xf>
    <xf numFmtId="167" fontId="0" fillId="4" borderId="0" xfId="9" applyNumberFormat="1" applyFont="1" applyFill="1"/>
    <xf numFmtId="0" fontId="0" fillId="0" borderId="0" xfId="0" applyAlignment="1">
      <alignment wrapText="1"/>
    </xf>
    <xf numFmtId="0" fontId="0" fillId="0" borderId="34" xfId="0" applyBorder="1"/>
    <xf numFmtId="0" fontId="1" fillId="0" borderId="34" xfId="0" applyFont="1" applyBorder="1" applyAlignment="1">
      <alignment vertical="center"/>
    </xf>
    <xf numFmtId="0" fontId="1" fillId="0" borderId="34" xfId="0" applyFont="1" applyBorder="1" applyAlignment="1">
      <alignment horizontal="center" vertical="center" wrapText="1"/>
    </xf>
    <xf numFmtId="0" fontId="11" fillId="0" borderId="0" xfId="0" applyFont="1" applyAlignment="1">
      <alignment wrapText="1"/>
    </xf>
    <xf numFmtId="44" fontId="0" fillId="0" borderId="0" xfId="1" applyFont="1" applyAlignment="1">
      <alignment wrapText="1"/>
    </xf>
    <xf numFmtId="44" fontId="0" fillId="15" borderId="7" xfId="8" applyNumberFormat="1" applyFont="1" applyAlignment="1">
      <alignment vertical="center"/>
    </xf>
    <xf numFmtId="43" fontId="0" fillId="13" borderId="37" xfId="9" quotePrefix="1" applyFont="1" applyFill="1" applyBorder="1" applyAlignment="1">
      <alignment vertical="center"/>
    </xf>
    <xf numFmtId="44" fontId="0" fillId="0" borderId="0" xfId="1" applyFont="1" applyAlignment="1">
      <alignment vertical="center"/>
    </xf>
    <xf numFmtId="44" fontId="0" fillId="65" borderId="12" xfId="1" applyFont="1" applyFill="1" applyBorder="1"/>
    <xf numFmtId="0" fontId="0" fillId="65" borderId="0" xfId="0" applyFill="1"/>
    <xf numFmtId="0" fontId="0" fillId="65" borderId="13" xfId="0" applyFill="1" applyBorder="1"/>
    <xf numFmtId="43" fontId="20" fillId="65" borderId="12" xfId="9" applyFont="1" applyFill="1" applyBorder="1"/>
    <xf numFmtId="44" fontId="20" fillId="65" borderId="12" xfId="4" applyNumberFormat="1" applyFont="1" applyFill="1" applyBorder="1"/>
    <xf numFmtId="44" fontId="20" fillId="65" borderId="0" xfId="4" applyNumberFormat="1" applyFont="1" applyFill="1" applyBorder="1"/>
    <xf numFmtId="44" fontId="20" fillId="65" borderId="13" xfId="4" applyNumberFormat="1" applyFont="1" applyFill="1" applyBorder="1"/>
    <xf numFmtId="0" fontId="0" fillId="65" borderId="12" xfId="0" applyFill="1" applyBorder="1"/>
    <xf numFmtId="0" fontId="0" fillId="65" borderId="2" xfId="0" applyFill="1" applyBorder="1" applyAlignment="1">
      <alignment horizontal="center" vertical="center"/>
    </xf>
    <xf numFmtId="0" fontId="0" fillId="0" borderId="13" xfId="0" applyBorder="1"/>
    <xf numFmtId="0" fontId="0" fillId="66" borderId="2" xfId="0" applyFill="1" applyBorder="1" applyAlignment="1">
      <alignment horizontal="center" wrapText="1"/>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32" xfId="0" applyBorder="1" applyAlignment="1">
      <alignment horizontal="left" vertical="center" wrapText="1"/>
    </xf>
    <xf numFmtId="0" fontId="0" fillId="67" borderId="0" xfId="0" applyFill="1" applyAlignment="1">
      <alignment vertical="center"/>
    </xf>
    <xf numFmtId="0" fontId="0" fillId="0" borderId="0" xfId="0" applyAlignment="1">
      <alignment horizontal="left" vertical="top" wrapText="1"/>
    </xf>
    <xf numFmtId="0" fontId="0" fillId="67" borderId="0" xfId="0" applyFill="1"/>
    <xf numFmtId="0" fontId="1" fillId="67" borderId="0" xfId="0" applyFont="1" applyFill="1" applyAlignment="1">
      <alignment vertical="center"/>
    </xf>
    <xf numFmtId="44" fontId="0" fillId="67" borderId="0" xfId="1" applyFont="1" applyFill="1"/>
    <xf numFmtId="0" fontId="1" fillId="67" borderId="0" xfId="0" applyFont="1" applyFill="1"/>
    <xf numFmtId="44" fontId="2" fillId="0" borderId="0" xfId="1" applyFont="1" applyFill="1" applyAlignment="1">
      <alignment vertical="top"/>
    </xf>
    <xf numFmtId="0" fontId="0" fillId="0" borderId="47" xfId="0" applyBorder="1" applyAlignment="1">
      <alignment vertical="top"/>
    </xf>
    <xf numFmtId="0" fontId="0" fillId="0" borderId="0" xfId="0" applyAlignment="1">
      <alignment vertical="top"/>
    </xf>
    <xf numFmtId="0" fontId="0" fillId="0" borderId="13" xfId="0" applyBorder="1" applyAlignment="1">
      <alignment vertical="top"/>
    </xf>
    <xf numFmtId="44" fontId="0" fillId="67" borderId="0" xfId="1" applyFont="1" applyFill="1" applyBorder="1"/>
    <xf numFmtId="44" fontId="0" fillId="0" borderId="0" xfId="1" applyFont="1" applyFill="1" applyBorder="1"/>
    <xf numFmtId="0" fontId="1" fillId="0" borderId="10" xfId="0" applyFont="1" applyBorder="1" applyAlignment="1">
      <alignment horizontal="center" vertical="center"/>
    </xf>
    <xf numFmtId="0" fontId="0" fillId="0" borderId="47" xfId="0" applyBorder="1"/>
    <xf numFmtId="0" fontId="51" fillId="67" borderId="47" xfId="0" applyFont="1" applyFill="1" applyBorder="1" applyAlignment="1">
      <alignment horizontal="center" vertical="center" wrapText="1"/>
    </xf>
    <xf numFmtId="44" fontId="1" fillId="67" borderId="0" xfId="1" applyFont="1" applyFill="1" applyBorder="1"/>
    <xf numFmtId="0" fontId="0" fillId="67" borderId="12" xfId="0" applyFill="1" applyBorder="1" applyAlignment="1">
      <alignment vertical="center"/>
    </xf>
    <xf numFmtId="43" fontId="0" fillId="67" borderId="0" xfId="9" applyFont="1" applyFill="1" applyBorder="1"/>
    <xf numFmtId="0" fontId="0" fillId="67" borderId="12" xfId="0" applyFill="1" applyBorder="1"/>
    <xf numFmtId="0" fontId="0" fillId="0" borderId="18" xfId="0" applyBorder="1"/>
    <xf numFmtId="0" fontId="0" fillId="0" borderId="15" xfId="0" applyBorder="1"/>
    <xf numFmtId="44" fontId="0" fillId="0" borderId="0" xfId="1" applyFont="1" applyBorder="1"/>
    <xf numFmtId="0" fontId="30" fillId="57" borderId="0" xfId="0" applyFont="1" applyFill="1"/>
    <xf numFmtId="0" fontId="0" fillId="57" borderId="0" xfId="0" applyFill="1" applyAlignment="1">
      <alignment vertical="center"/>
    </xf>
    <xf numFmtId="0" fontId="7" fillId="0" borderId="0" xfId="5" applyFill="1" applyAlignment="1" applyProtection="1">
      <alignment horizontal="left" indent="1"/>
    </xf>
    <xf numFmtId="0" fontId="95" fillId="0" borderId="0" xfId="0" applyFont="1"/>
    <xf numFmtId="44" fontId="95" fillId="0" borderId="0" xfId="1" applyFont="1" applyFill="1"/>
    <xf numFmtId="44" fontId="95" fillId="12" borderId="0" xfId="1" applyFont="1" applyFill="1"/>
    <xf numFmtId="10" fontId="30" fillId="0" borderId="0" xfId="2" applyNumberFormat="1" applyFont="1" applyFill="1"/>
    <xf numFmtId="0" fontId="6" fillId="68" borderId="0" xfId="0" quotePrefix="1" applyFont="1" applyFill="1" applyAlignment="1">
      <alignment horizontal="center" vertical="center"/>
    </xf>
    <xf numFmtId="38" fontId="18" fillId="0" borderId="0" xfId="0" applyNumberFormat="1" applyFont="1"/>
    <xf numFmtId="0" fontId="6" fillId="68" borderId="0" xfId="0" quotePrefix="1" applyFont="1" applyFill="1" applyAlignment="1">
      <alignment horizontal="left" vertical="top"/>
    </xf>
    <xf numFmtId="0" fontId="6" fillId="69" borderId="0" xfId="0" quotePrefix="1" applyFont="1" applyFill="1" applyAlignment="1">
      <alignment horizontal="center" vertical="center"/>
    </xf>
    <xf numFmtId="0" fontId="6" fillId="68" borderId="0" xfId="0" quotePrefix="1" applyFont="1" applyFill="1" applyAlignment="1">
      <alignment horizontal="left" vertical="center"/>
    </xf>
    <xf numFmtId="43" fontId="0" fillId="67" borderId="0" xfId="9" applyFont="1" applyFill="1" applyAlignment="1">
      <alignment horizontal="center"/>
    </xf>
    <xf numFmtId="44" fontId="0" fillId="67" borderId="0" xfId="0" applyNumberFormat="1" applyFill="1" applyAlignment="1">
      <alignment horizontal="center"/>
    </xf>
    <xf numFmtId="43" fontId="0" fillId="67" borderId="0" xfId="9" applyFont="1" applyFill="1"/>
    <xf numFmtId="0" fontId="26" fillId="0" borderId="0" xfId="247" applyFont="1"/>
    <xf numFmtId="0" fontId="26" fillId="29" borderId="0" xfId="247" applyFont="1" applyFill="1"/>
    <xf numFmtId="0" fontId="26" fillId="0" borderId="0" xfId="247" quotePrefix="1" applyFont="1"/>
    <xf numFmtId="0" fontId="26" fillId="59" borderId="0" xfId="247" applyFont="1" applyFill="1"/>
    <xf numFmtId="0" fontId="26" fillId="29" borderId="0" xfId="247" quotePrefix="1" applyFont="1" applyFill="1"/>
    <xf numFmtId="0" fontId="6" fillId="0" borderId="0" xfId="247" applyFont="1"/>
    <xf numFmtId="0" fontId="0" fillId="0" borderId="0" xfId="0" quotePrefix="1" applyAlignment="1">
      <alignment horizontal="left"/>
    </xf>
    <xf numFmtId="0" fontId="6" fillId="0" borderId="0" xfId="247" quotePrefix="1" applyFont="1"/>
    <xf numFmtId="0" fontId="6" fillId="59" borderId="0" xfId="247" applyFont="1" applyFill="1"/>
    <xf numFmtId="49" fontId="0" fillId="0" borderId="0" xfId="0" quotePrefix="1" applyNumberFormat="1" applyAlignment="1">
      <alignment horizontal="left"/>
    </xf>
    <xf numFmtId="0" fontId="0" fillId="71" borderId="0" xfId="0" applyFill="1"/>
    <xf numFmtId="0" fontId="12" fillId="71" borderId="0" xfId="0" applyFont="1" applyFill="1"/>
    <xf numFmtId="0" fontId="26" fillId="71" borderId="0" xfId="0" applyFont="1" applyFill="1" applyAlignment="1">
      <alignment horizontal="center"/>
    </xf>
    <xf numFmtId="0" fontId="12" fillId="71" borderId="0" xfId="0" applyFont="1" applyFill="1" applyAlignment="1">
      <alignment horizontal="left"/>
    </xf>
    <xf numFmtId="0" fontId="12" fillId="71" borderId="0" xfId="0" applyFont="1" applyFill="1" applyAlignment="1">
      <alignment horizontal="left" vertical="center"/>
    </xf>
    <xf numFmtId="0" fontId="14" fillId="10" borderId="0" xfId="0" applyFont="1" applyFill="1" applyAlignment="1">
      <alignment horizontal="center" vertical="center"/>
    </xf>
    <xf numFmtId="0" fontId="12" fillId="71" borderId="0" xfId="0" applyFont="1" applyFill="1" applyAlignment="1">
      <alignment horizontal="center" vertical="center"/>
    </xf>
    <xf numFmtId="49" fontId="26" fillId="71" borderId="0" xfId="0" applyNumberFormat="1" applyFont="1" applyFill="1" applyAlignment="1">
      <alignment horizontal="left"/>
    </xf>
    <xf numFmtId="0" fontId="26" fillId="71" borderId="0" xfId="0" applyFont="1" applyFill="1" applyAlignment="1">
      <alignment horizontal="left"/>
    </xf>
    <xf numFmtId="49" fontId="12" fillId="71" borderId="0" xfId="0" applyNumberFormat="1" applyFont="1" applyFill="1" applyAlignment="1">
      <alignment horizontal="left" vertical="center"/>
    </xf>
    <xf numFmtId="0" fontId="26" fillId="71" borderId="0" xfId="0" quotePrefix="1" applyFont="1" applyFill="1"/>
    <xf numFmtId="0" fontId="26" fillId="71" borderId="0" xfId="0" applyFont="1" applyFill="1"/>
    <xf numFmtId="49" fontId="12" fillId="71" borderId="0" xfId="0" applyNumberFormat="1" applyFont="1" applyFill="1" applyAlignment="1">
      <alignment horizontal="left"/>
    </xf>
    <xf numFmtId="0" fontId="6" fillId="69" borderId="0" xfId="0" quotePrefix="1" applyFont="1" applyFill="1"/>
    <xf numFmtId="0" fontId="26" fillId="69" borderId="0" xfId="0" quotePrefix="1" applyFont="1" applyFill="1"/>
    <xf numFmtId="0" fontId="26" fillId="71" borderId="0" xfId="247" quotePrefix="1" applyFont="1" applyFill="1"/>
    <xf numFmtId="0" fontId="12" fillId="30" borderId="0" xfId="0" applyFont="1" applyFill="1" applyAlignment="1">
      <alignment horizontal="left" vertical="center"/>
    </xf>
    <xf numFmtId="0" fontId="81" fillId="67" borderId="0" xfId="0" applyFont="1" applyFill="1" applyAlignment="1">
      <alignment horizontal="center" vertical="center" wrapText="1"/>
    </xf>
    <xf numFmtId="0" fontId="87" fillId="0" borderId="0" xfId="3922" applyFont="1"/>
    <xf numFmtId="0" fontId="98" fillId="0" borderId="0" xfId="3922" applyFont="1"/>
    <xf numFmtId="43" fontId="98" fillId="0" borderId="0" xfId="3922" applyNumberFormat="1" applyFont="1"/>
    <xf numFmtId="0" fontId="26" fillId="4" borderId="0" xfId="0" applyFont="1" applyFill="1" applyAlignment="1">
      <alignment horizontal="center"/>
    </xf>
    <xf numFmtId="43" fontId="26" fillId="0" borderId="0" xfId="0" applyNumberFormat="1" applyFont="1" applyAlignment="1">
      <alignment horizontal="center"/>
    </xf>
    <xf numFmtId="0" fontId="26" fillId="0" borderId="0" xfId="0" quotePrefix="1" applyFont="1" applyAlignment="1">
      <alignment horizontal="center"/>
    </xf>
    <xf numFmtId="0" fontId="26" fillId="0" borderId="0" xfId="0" applyFont="1" applyAlignment="1">
      <alignment vertical="top"/>
    </xf>
    <xf numFmtId="41" fontId="26" fillId="0" borderId="0" xfId="0" applyNumberFormat="1" applyFont="1" applyAlignment="1">
      <alignment horizontal="left" vertical="top"/>
    </xf>
    <xf numFmtId="168" fontId="26" fillId="4" borderId="0" xfId="7" applyNumberFormat="1" applyFont="1" applyFill="1" applyAlignment="1">
      <alignment vertical="top"/>
    </xf>
    <xf numFmtId="0" fontId="12" fillId="4" borderId="0" xfId="5341" applyFont="1" applyFill="1" applyAlignment="1">
      <alignment vertical="top"/>
    </xf>
    <xf numFmtId="41" fontId="26" fillId="0" borderId="0" xfId="7" applyNumberFormat="1" applyFont="1" applyAlignment="1">
      <alignment horizontal="left" vertical="top"/>
    </xf>
    <xf numFmtId="165" fontId="26" fillId="0" borderId="0" xfId="0" applyNumberFormat="1" applyFont="1" applyAlignment="1">
      <alignment horizontal="left" vertical="top"/>
    </xf>
    <xf numFmtId="165" fontId="26" fillId="4" borderId="0" xfId="0" applyNumberFormat="1" applyFont="1" applyFill="1" applyAlignment="1">
      <alignment horizontal="left" vertical="top"/>
    </xf>
    <xf numFmtId="168" fontId="26" fillId="0" borderId="0" xfId="7" applyNumberFormat="1" applyFont="1" applyFill="1" applyAlignment="1">
      <alignment vertical="top"/>
    </xf>
    <xf numFmtId="0" fontId="12" fillId="0" borderId="0" xfId="5341" applyFont="1" applyAlignment="1">
      <alignment vertical="top"/>
    </xf>
    <xf numFmtId="41" fontId="26" fillId="0" borderId="0" xfId="7" applyNumberFormat="1" applyFont="1" applyFill="1" applyAlignment="1">
      <alignment horizontal="left" vertical="top"/>
    </xf>
    <xf numFmtId="41" fontId="26" fillId="0" borderId="0" xfId="7" applyNumberFormat="1" applyFont="1" applyFill="1"/>
    <xf numFmtId="168" fontId="26" fillId="0" borderId="0" xfId="7" applyNumberFormat="1" applyFont="1" applyFill="1"/>
    <xf numFmtId="0" fontId="18" fillId="0" borderId="0" xfId="6" quotePrefix="1"/>
    <xf numFmtId="0" fontId="18" fillId="0" borderId="0" xfId="6"/>
    <xf numFmtId="4" fontId="2" fillId="0" borderId="0" xfId="247" applyNumberFormat="1"/>
    <xf numFmtId="4" fontId="18" fillId="0" borderId="0" xfId="6" quotePrefix="1" applyNumberFormat="1"/>
    <xf numFmtId="0" fontId="12" fillId="0" borderId="0" xfId="5340" applyFont="1"/>
    <xf numFmtId="165" fontId="26" fillId="0" borderId="0" xfId="7" applyNumberFormat="1" applyFont="1" applyFill="1"/>
    <xf numFmtId="43" fontId="26" fillId="0" borderId="0" xfId="7" applyFont="1" applyFill="1"/>
    <xf numFmtId="0" fontId="99" fillId="0" borderId="0" xfId="0" applyFont="1"/>
    <xf numFmtId="0" fontId="26" fillId="0" borderId="0" xfId="6" quotePrefix="1" applyFont="1"/>
    <xf numFmtId="0" fontId="26" fillId="0" borderId="0" xfId="6" applyFont="1"/>
    <xf numFmtId="4" fontId="12" fillId="0" borderId="0" xfId="247" applyNumberFormat="1" applyFont="1"/>
    <xf numFmtId="4" fontId="26" fillId="0" borderId="0" xfId="6" quotePrefix="1" applyNumberFormat="1" applyFont="1"/>
    <xf numFmtId="0" fontId="2" fillId="0" borderId="0" xfId="5338" applyAlignment="1">
      <alignment horizontal="center" vertical="center" wrapText="1"/>
    </xf>
    <xf numFmtId="0" fontId="2" fillId="0" borderId="0" xfId="5338" applyAlignment="1">
      <alignment horizontal="center" vertical="center"/>
    </xf>
    <xf numFmtId="167" fontId="0" fillId="0" borderId="0" xfId="0" applyNumberFormat="1"/>
    <xf numFmtId="167" fontId="26" fillId="48" borderId="0" xfId="0" applyNumberFormat="1" applyFont="1" applyFill="1"/>
    <xf numFmtId="0" fontId="100" fillId="0" borderId="0" xfId="0" applyFont="1"/>
    <xf numFmtId="0" fontId="56" fillId="4" borderId="48" xfId="0" applyFont="1" applyFill="1" applyBorder="1" applyAlignment="1">
      <alignment horizontal="left" vertical="center" wrapText="1"/>
    </xf>
    <xf numFmtId="0" fontId="65" fillId="72" borderId="43" xfId="0" applyFont="1" applyFill="1" applyBorder="1" applyAlignment="1">
      <alignment vertical="center" wrapText="1"/>
    </xf>
    <xf numFmtId="0" fontId="66" fillId="72" borderId="50" xfId="0" applyFont="1" applyFill="1" applyBorder="1" applyAlignment="1">
      <alignment vertical="center" wrapText="1"/>
    </xf>
    <xf numFmtId="0" fontId="56" fillId="72" borderId="51" xfId="0" applyFont="1" applyFill="1" applyBorder="1" applyAlignment="1">
      <alignment horizontal="left" vertical="center" wrapText="1"/>
    </xf>
    <xf numFmtId="0" fontId="56" fillId="72" borderId="52" xfId="0" applyFont="1" applyFill="1" applyBorder="1" applyAlignment="1">
      <alignment horizontal="left" vertical="center" wrapText="1"/>
    </xf>
    <xf numFmtId="0" fontId="56" fillId="72" borderId="50" xfId="0" applyFont="1" applyFill="1" applyBorder="1" applyAlignment="1">
      <alignment horizontal="left" vertical="center" wrapText="1"/>
    </xf>
    <xf numFmtId="0" fontId="51" fillId="73" borderId="53" xfId="0" applyFont="1" applyFill="1" applyBorder="1" applyAlignment="1">
      <alignment vertical="center" wrapText="1"/>
    </xf>
    <xf numFmtId="0" fontId="1" fillId="67" borderId="0" xfId="0" applyFont="1" applyFill="1" applyAlignment="1">
      <alignment horizontal="center" vertical="center"/>
    </xf>
    <xf numFmtId="166" fontId="0" fillId="0" borderId="0" xfId="1" applyNumberFormat="1" applyFont="1"/>
    <xf numFmtId="44" fontId="0" fillId="4" borderId="0" xfId="1" applyFont="1" applyFill="1" applyBorder="1"/>
    <xf numFmtId="44" fontId="1" fillId="67" borderId="0" xfId="1" applyFont="1" applyFill="1"/>
    <xf numFmtId="0" fontId="10" fillId="55" borderId="0" xfId="0" applyFont="1" applyFill="1" applyAlignment="1">
      <alignment horizontal="centerContinuous" vertical="center" wrapText="1"/>
    </xf>
    <xf numFmtId="0" fontId="0" fillId="55" borderId="0" xfId="0" applyFill="1" applyAlignment="1">
      <alignment horizontal="centerContinuous" vertical="center"/>
    </xf>
    <xf numFmtId="166" fontId="0" fillId="0" borderId="0" xfId="0" applyNumberFormat="1"/>
    <xf numFmtId="169" fontId="0" fillId="0" borderId="0" xfId="0" applyNumberFormat="1" applyAlignment="1">
      <alignment horizontal="center" vertical="center"/>
    </xf>
    <xf numFmtId="0" fontId="77" fillId="0" borderId="10" xfId="0" applyFont="1" applyBorder="1" applyAlignment="1">
      <alignment horizontal="left" vertical="top" wrapText="1"/>
    </xf>
    <xf numFmtId="0" fontId="77" fillId="0" borderId="11" xfId="0" applyFont="1" applyBorder="1" applyAlignment="1">
      <alignment horizontal="left" vertical="top" wrapText="1"/>
    </xf>
    <xf numFmtId="0" fontId="77" fillId="0" borderId="12" xfId="0" applyFont="1" applyBorder="1" applyAlignment="1">
      <alignment horizontal="left" vertical="top" wrapText="1"/>
    </xf>
    <xf numFmtId="0" fontId="77" fillId="0" borderId="13" xfId="0" applyFont="1" applyBorder="1" applyAlignment="1">
      <alignment horizontal="left" vertical="top" wrapText="1"/>
    </xf>
    <xf numFmtId="0" fontId="77" fillId="0" borderId="14" xfId="0" applyFont="1" applyBorder="1" applyAlignment="1">
      <alignment horizontal="left" vertical="top" wrapText="1"/>
    </xf>
    <xf numFmtId="0" fontId="77" fillId="0" borderId="15" xfId="0" applyFont="1" applyBorder="1" applyAlignment="1">
      <alignment horizontal="left" vertical="top" wrapText="1"/>
    </xf>
    <xf numFmtId="0" fontId="86" fillId="4" borderId="0" xfId="0" applyFont="1" applyFill="1" applyAlignment="1">
      <alignment horizontal="center"/>
    </xf>
    <xf numFmtId="0" fontId="82" fillId="0" borderId="40" xfId="0" applyFont="1" applyBorder="1" applyAlignment="1">
      <alignment horizontal="center" vertical="center"/>
    </xf>
    <xf numFmtId="0" fontId="82" fillId="0" borderId="41" xfId="0" applyFont="1" applyBorder="1" applyAlignment="1">
      <alignment horizontal="center" vertical="center"/>
    </xf>
    <xf numFmtId="0" fontId="85" fillId="0" borderId="40" xfId="0" applyFont="1" applyBorder="1" applyAlignment="1">
      <alignment horizontal="center"/>
    </xf>
    <xf numFmtId="0" fontId="85" fillId="0" borderId="41" xfId="0" applyFont="1" applyBorder="1" applyAlignment="1">
      <alignment horizontal="center"/>
    </xf>
    <xf numFmtId="0" fontId="85" fillId="0" borderId="42" xfId="0" applyFont="1" applyBorder="1" applyAlignment="1">
      <alignment horizontal="center"/>
    </xf>
    <xf numFmtId="0" fontId="52" fillId="0" borderId="33"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5" xfId="0" applyFont="1" applyBorder="1" applyAlignment="1">
      <alignment horizontal="center" vertical="center" wrapText="1"/>
    </xf>
    <xf numFmtId="0" fontId="81" fillId="12" borderId="43" xfId="0" applyFont="1" applyFill="1" applyBorder="1" applyAlignment="1">
      <alignment horizontal="center" vertical="top" wrapText="1"/>
    </xf>
    <xf numFmtId="0" fontId="81" fillId="12" borderId="44" xfId="0" applyFont="1" applyFill="1" applyBorder="1" applyAlignment="1">
      <alignment horizontal="center" vertical="top" wrapText="1"/>
    </xf>
    <xf numFmtId="0" fontId="1"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1" fillId="15" borderId="16" xfId="8" applyFont="1" applyBorder="1" applyAlignment="1">
      <alignment horizontal="left" vertical="center" wrapText="1"/>
    </xf>
    <xf numFmtId="0" fontId="11" fillId="15" borderId="17" xfId="8" applyFont="1" applyBorder="1" applyAlignment="1">
      <alignment horizontal="left" vertical="center" wrapText="1"/>
    </xf>
    <xf numFmtId="0" fontId="0" fillId="48" borderId="0" xfId="0" applyFill="1" applyAlignment="1">
      <alignment horizontal="left" vertical="top" wrapText="1"/>
    </xf>
    <xf numFmtId="0" fontId="0" fillId="65" borderId="4" xfId="0" applyFill="1" applyBorder="1" applyAlignment="1">
      <alignment horizontal="center"/>
    </xf>
    <xf numFmtId="0" fontId="0" fillId="65" borderId="5" xfId="0" applyFill="1" applyBorder="1" applyAlignment="1">
      <alignment horizontal="center"/>
    </xf>
    <xf numFmtId="0" fontId="0" fillId="65" borderId="6" xfId="0" applyFill="1" applyBorder="1" applyAlignment="1">
      <alignment horizontal="center"/>
    </xf>
    <xf numFmtId="0" fontId="0" fillId="65" borderId="2" xfId="0" applyFill="1" applyBorder="1" applyAlignment="1">
      <alignment horizontal="center"/>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82" fillId="70" borderId="0" xfId="0" applyFont="1" applyFill="1" applyAlignment="1">
      <alignment horizontal="center" vertical="center" wrapText="1"/>
    </xf>
    <xf numFmtId="0" fontId="30" fillId="53" borderId="0" xfId="0" applyFont="1" applyFill="1" applyAlignment="1">
      <alignment horizontal="center" wrapText="1"/>
    </xf>
    <xf numFmtId="0" fontId="30" fillId="53" borderId="0" xfId="0" applyFont="1" applyFill="1" applyAlignment="1">
      <alignment horizontal="left" vertical="top" wrapText="1"/>
    </xf>
    <xf numFmtId="0" fontId="10" fillId="56" borderId="34" xfId="0" applyFont="1" applyFill="1" applyBorder="1" applyAlignment="1">
      <alignment horizontal="left" vertical="center" wrapText="1"/>
    </xf>
    <xf numFmtId="0" fontId="82" fillId="0" borderId="0" xfId="0" applyFont="1" applyAlignment="1">
      <alignment horizontal="center" vertical="center"/>
    </xf>
    <xf numFmtId="0" fontId="51" fillId="0" borderId="0" xfId="0" applyFont="1" applyAlignment="1">
      <alignment horizontal="center" vertical="center"/>
    </xf>
    <xf numFmtId="0" fontId="0" fillId="0" borderId="0" xfId="0" applyAlignment="1">
      <alignment horizontal="left"/>
    </xf>
    <xf numFmtId="0" fontId="51" fillId="0" borderId="40" xfId="0" applyFont="1" applyBorder="1" applyAlignment="1">
      <alignment horizontal="left" vertical="top" wrapText="1"/>
    </xf>
    <xf numFmtId="0" fontId="51" fillId="0" borderId="41" xfId="0" applyFont="1" applyBorder="1" applyAlignment="1">
      <alignment horizontal="left" vertical="top" wrapText="1"/>
    </xf>
    <xf numFmtId="0" fontId="51" fillId="0" borderId="42" xfId="0" applyFont="1" applyBorder="1" applyAlignment="1">
      <alignment horizontal="left" vertical="top" wrapText="1"/>
    </xf>
    <xf numFmtId="0" fontId="1" fillId="0" borderId="31" xfId="0" applyFont="1" applyBorder="1" applyAlignment="1">
      <alignment horizontal="left" vertical="top" wrapText="1"/>
    </xf>
    <xf numFmtId="0" fontId="1" fillId="0" borderId="0" xfId="0" applyFont="1" applyAlignment="1">
      <alignment horizontal="left" vertical="top" wrapText="1"/>
    </xf>
    <xf numFmtId="0" fontId="1" fillId="0" borderId="32" xfId="0" applyFont="1" applyBorder="1" applyAlignment="1">
      <alignment horizontal="left" vertical="top" wrapText="1"/>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32" xfId="0" applyBorder="1" applyAlignment="1">
      <alignment horizontal="left" vertical="center"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1" fillId="0" borderId="31" xfId="0" applyFont="1" applyBorder="1" applyAlignment="1">
      <alignment horizontal="left" vertical="center" wrapText="1"/>
    </xf>
    <xf numFmtId="0" fontId="1" fillId="0" borderId="0" xfId="0" applyFont="1" applyAlignment="1">
      <alignment horizontal="left" vertical="center" wrapText="1"/>
    </xf>
    <xf numFmtId="0" fontId="1" fillId="0" borderId="32" xfId="0" applyFont="1" applyBorder="1" applyAlignment="1">
      <alignment horizontal="left" vertical="center" wrapText="1"/>
    </xf>
    <xf numFmtId="0" fontId="6" fillId="0" borderId="31" xfId="0" applyFont="1" applyBorder="1" applyAlignment="1">
      <alignment horizontal="left" vertical="center" wrapText="1"/>
    </xf>
    <xf numFmtId="0" fontId="6" fillId="0" borderId="0" xfId="0" applyFont="1" applyAlignment="1">
      <alignment horizontal="left" vertical="center" wrapText="1"/>
    </xf>
    <xf numFmtId="0" fontId="6" fillId="0" borderId="32" xfId="0" applyFont="1" applyBorder="1" applyAlignment="1">
      <alignment horizontal="left" vertical="center" wrapText="1"/>
    </xf>
    <xf numFmtId="0" fontId="0" fillId="56" borderId="31" xfId="0" applyFill="1" applyBorder="1" applyAlignment="1">
      <alignment horizontal="left" vertical="center" wrapText="1"/>
    </xf>
    <xf numFmtId="0" fontId="0" fillId="56" borderId="0" xfId="0" applyFill="1" applyAlignment="1">
      <alignment horizontal="left" vertical="center" wrapText="1"/>
    </xf>
    <xf numFmtId="0" fontId="0" fillId="56" borderId="32" xfId="0" applyFill="1" applyBorder="1" applyAlignment="1">
      <alignment horizontal="left" vertical="center" wrapText="1"/>
    </xf>
    <xf numFmtId="0" fontId="0" fillId="56" borderId="33" xfId="0" applyFill="1" applyBorder="1" applyAlignment="1">
      <alignment horizontal="left" vertical="center" wrapText="1"/>
    </xf>
    <xf numFmtId="0" fontId="0" fillId="56" borderId="34" xfId="0" applyFill="1" applyBorder="1" applyAlignment="1">
      <alignment horizontal="left" vertical="center" wrapText="1"/>
    </xf>
    <xf numFmtId="0" fontId="0" fillId="56" borderId="35" xfId="0" applyFill="1" applyBorder="1" applyAlignment="1">
      <alignment horizontal="left" vertical="center" wrapText="1"/>
    </xf>
    <xf numFmtId="0" fontId="0" fillId="53" borderId="38" xfId="0" applyFill="1" applyBorder="1" applyAlignment="1">
      <alignment horizontal="left" vertical="top" wrapText="1"/>
    </xf>
    <xf numFmtId="0" fontId="0" fillId="53" borderId="48" xfId="0" applyFill="1" applyBorder="1" applyAlignment="1">
      <alignment horizontal="left" vertical="top" wrapText="1"/>
    </xf>
    <xf numFmtId="0" fontId="0" fillId="53" borderId="49" xfId="0" applyFill="1" applyBorder="1" applyAlignment="1">
      <alignment horizontal="left" vertical="top" wrapText="1"/>
    </xf>
    <xf numFmtId="0" fontId="0" fillId="53" borderId="10" xfId="0" applyFill="1" applyBorder="1" applyAlignment="1">
      <alignment horizontal="left" vertical="top" wrapText="1"/>
    </xf>
    <xf numFmtId="0" fontId="0" fillId="53" borderId="47" xfId="0" applyFill="1" applyBorder="1" applyAlignment="1">
      <alignment horizontal="left" vertical="top" wrapText="1"/>
    </xf>
    <xf numFmtId="0" fontId="0" fillId="53" borderId="11" xfId="0" applyFill="1" applyBorder="1" applyAlignment="1">
      <alignment horizontal="left" vertical="top" wrapText="1"/>
    </xf>
    <xf numFmtId="0" fontId="0" fillId="53" borderId="0" xfId="0" applyFill="1" applyAlignment="1">
      <alignment horizontal="left" vertical="top" wrapText="1"/>
    </xf>
    <xf numFmtId="0" fontId="0" fillId="53" borderId="13" xfId="0" applyFill="1" applyBorder="1" applyAlignment="1">
      <alignment horizontal="left" vertical="top" wrapText="1"/>
    </xf>
    <xf numFmtId="0" fontId="0" fillId="53" borderId="18" xfId="0" applyFill="1" applyBorder="1" applyAlignment="1">
      <alignment horizontal="left" vertical="top" wrapText="1"/>
    </xf>
    <xf numFmtId="0" fontId="0" fillId="53" borderId="15" xfId="0" applyFill="1" applyBorder="1" applyAlignment="1">
      <alignment horizontal="left" vertical="top" wrapText="1"/>
    </xf>
    <xf numFmtId="0" fontId="1" fillId="0" borderId="10" xfId="0" applyFont="1" applyBorder="1" applyAlignment="1">
      <alignment horizontal="left" vertical="top" wrapText="1"/>
    </xf>
    <xf numFmtId="0" fontId="1" fillId="0" borderId="47"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center" vertical="center" wrapText="1"/>
    </xf>
    <xf numFmtId="0" fontId="13" fillId="0" borderId="0" xfId="0" applyFont="1" applyAlignment="1">
      <alignment horizontal="center"/>
    </xf>
    <xf numFmtId="0" fontId="0" fillId="0" borderId="0" xfId="0" applyAlignment="1">
      <alignment horizontal="center"/>
    </xf>
    <xf numFmtId="0" fontId="11" fillId="0" borderId="0" xfId="0" applyFont="1" applyAlignment="1">
      <alignment horizontal="center" vertical="center" wrapText="1"/>
    </xf>
    <xf numFmtId="41" fontId="18" fillId="0" borderId="0" xfId="7" applyNumberFormat="1" applyFont="1"/>
  </cellXfs>
  <cellStyles count="5343">
    <cellStyle name="20% - Accent1" xfId="59" builtinId="30" customBuiltin="1"/>
    <cellStyle name="20% - Accent1 10" xfId="924" xr:uid="{00000000-0005-0000-0000-000001000000}"/>
    <cellStyle name="20% - Accent1 10 2" xfId="2216" xr:uid="{00000000-0005-0000-0000-000002000000}"/>
    <cellStyle name="20% - Accent1 10 3" xfId="3494" xr:uid="{00000000-0005-0000-0000-000003000000}"/>
    <cellStyle name="20% - Accent1 10 4" xfId="4781" xr:uid="{00000000-0005-0000-0000-000004000000}"/>
    <cellStyle name="20% - Accent1 11" xfId="1364" xr:uid="{00000000-0005-0000-0000-000005000000}"/>
    <cellStyle name="20% - Accent1 12" xfId="2642" xr:uid="{00000000-0005-0000-0000-000006000000}"/>
    <cellStyle name="20% - Accent1 13" xfId="3929" xr:uid="{00000000-0005-0000-0000-000007000000}"/>
    <cellStyle name="20% - Accent1 14" xfId="5207" xr:uid="{00000000-0005-0000-0000-000008000000}"/>
    <cellStyle name="20% - Accent1 2" xfId="10" xr:uid="{00000000-0005-0000-0000-000009000000}"/>
    <cellStyle name="20% - Accent1 2 10" xfId="1365" xr:uid="{00000000-0005-0000-0000-00000A000000}"/>
    <cellStyle name="20% - Accent1 2 11" xfId="2643" xr:uid="{00000000-0005-0000-0000-00000B000000}"/>
    <cellStyle name="20% - Accent1 2 12" xfId="3930" xr:uid="{00000000-0005-0000-0000-00000C000000}"/>
    <cellStyle name="20% - Accent1 2 13" xfId="5208" xr:uid="{00000000-0005-0000-0000-00000D000000}"/>
    <cellStyle name="20% - Accent1 2 2" xfId="84" xr:uid="{00000000-0005-0000-0000-00000E000000}"/>
    <cellStyle name="20% - Accent1 2 2 2" xfId="85" xr:uid="{00000000-0005-0000-0000-00000F000000}"/>
    <cellStyle name="20% - Accent1 2 2 2 2" xfId="288" xr:uid="{00000000-0005-0000-0000-000010000000}"/>
    <cellStyle name="20% - Accent1 2 2 2 2 2" xfId="714" xr:uid="{00000000-0005-0000-0000-000011000000}"/>
    <cellStyle name="20% - Accent1 2 2 2 2 2 2" xfId="2006" xr:uid="{00000000-0005-0000-0000-000012000000}"/>
    <cellStyle name="20% - Accent1 2 2 2 2 2 3" xfId="3284" xr:uid="{00000000-0005-0000-0000-000013000000}"/>
    <cellStyle name="20% - Accent1 2 2 2 2 2 4" xfId="4571" xr:uid="{00000000-0005-0000-0000-000014000000}"/>
    <cellStyle name="20% - Accent1 2 2 2 2 3" xfId="1140" xr:uid="{00000000-0005-0000-0000-000015000000}"/>
    <cellStyle name="20% - Accent1 2 2 2 2 3 2" xfId="2432" xr:uid="{00000000-0005-0000-0000-000016000000}"/>
    <cellStyle name="20% - Accent1 2 2 2 2 3 3" xfId="3710" xr:uid="{00000000-0005-0000-0000-000017000000}"/>
    <cellStyle name="20% - Accent1 2 2 2 2 3 4" xfId="4997" xr:uid="{00000000-0005-0000-0000-000018000000}"/>
    <cellStyle name="20% - Accent1 2 2 2 2 4" xfId="1580" xr:uid="{00000000-0005-0000-0000-000019000000}"/>
    <cellStyle name="20% - Accent1 2 2 2 2 5" xfId="2858" xr:uid="{00000000-0005-0000-0000-00001A000000}"/>
    <cellStyle name="20% - Accent1 2 2 2 2 6" xfId="4145" xr:uid="{00000000-0005-0000-0000-00001B000000}"/>
    <cellStyle name="20% - Accent1 2 2 2 3" xfId="501" xr:uid="{00000000-0005-0000-0000-00001C000000}"/>
    <cellStyle name="20% - Accent1 2 2 2 3 2" xfId="1793" xr:uid="{00000000-0005-0000-0000-00001D000000}"/>
    <cellStyle name="20% - Accent1 2 2 2 3 3" xfId="3071" xr:uid="{00000000-0005-0000-0000-00001E000000}"/>
    <cellStyle name="20% - Accent1 2 2 2 3 4" xfId="4358" xr:uid="{00000000-0005-0000-0000-00001F000000}"/>
    <cellStyle name="20% - Accent1 2 2 2 4" xfId="927" xr:uid="{00000000-0005-0000-0000-000020000000}"/>
    <cellStyle name="20% - Accent1 2 2 2 4 2" xfId="2219" xr:uid="{00000000-0005-0000-0000-000021000000}"/>
    <cellStyle name="20% - Accent1 2 2 2 4 3" xfId="3497" xr:uid="{00000000-0005-0000-0000-000022000000}"/>
    <cellStyle name="20% - Accent1 2 2 2 4 4" xfId="4784" xr:uid="{00000000-0005-0000-0000-000023000000}"/>
    <cellStyle name="20% - Accent1 2 2 2 5" xfId="1367" xr:uid="{00000000-0005-0000-0000-000024000000}"/>
    <cellStyle name="20% - Accent1 2 2 2 6" xfId="2645" xr:uid="{00000000-0005-0000-0000-000025000000}"/>
    <cellStyle name="20% - Accent1 2 2 2 7" xfId="3932" xr:uid="{00000000-0005-0000-0000-000026000000}"/>
    <cellStyle name="20% - Accent1 2 2 2 8" xfId="5210" xr:uid="{00000000-0005-0000-0000-000027000000}"/>
    <cellStyle name="20% - Accent1 2 2 3" xfId="287" xr:uid="{00000000-0005-0000-0000-000028000000}"/>
    <cellStyle name="20% - Accent1 2 2 3 2" xfId="713" xr:uid="{00000000-0005-0000-0000-000029000000}"/>
    <cellStyle name="20% - Accent1 2 2 3 2 2" xfId="2005" xr:uid="{00000000-0005-0000-0000-00002A000000}"/>
    <cellStyle name="20% - Accent1 2 2 3 2 3" xfId="3283" xr:uid="{00000000-0005-0000-0000-00002B000000}"/>
    <cellStyle name="20% - Accent1 2 2 3 2 4" xfId="4570" xr:uid="{00000000-0005-0000-0000-00002C000000}"/>
    <cellStyle name="20% - Accent1 2 2 3 3" xfId="1139" xr:uid="{00000000-0005-0000-0000-00002D000000}"/>
    <cellStyle name="20% - Accent1 2 2 3 3 2" xfId="2431" xr:uid="{00000000-0005-0000-0000-00002E000000}"/>
    <cellStyle name="20% - Accent1 2 2 3 3 3" xfId="3709" xr:uid="{00000000-0005-0000-0000-00002F000000}"/>
    <cellStyle name="20% - Accent1 2 2 3 3 4" xfId="4996" xr:uid="{00000000-0005-0000-0000-000030000000}"/>
    <cellStyle name="20% - Accent1 2 2 3 4" xfId="1579" xr:uid="{00000000-0005-0000-0000-000031000000}"/>
    <cellStyle name="20% - Accent1 2 2 3 5" xfId="2857" xr:uid="{00000000-0005-0000-0000-000032000000}"/>
    <cellStyle name="20% - Accent1 2 2 3 6" xfId="4144" xr:uid="{00000000-0005-0000-0000-000033000000}"/>
    <cellStyle name="20% - Accent1 2 2 4" xfId="500" xr:uid="{00000000-0005-0000-0000-000034000000}"/>
    <cellStyle name="20% - Accent1 2 2 4 2" xfId="1792" xr:uid="{00000000-0005-0000-0000-000035000000}"/>
    <cellStyle name="20% - Accent1 2 2 4 3" xfId="3070" xr:uid="{00000000-0005-0000-0000-000036000000}"/>
    <cellStyle name="20% - Accent1 2 2 4 4" xfId="4357" xr:uid="{00000000-0005-0000-0000-000037000000}"/>
    <cellStyle name="20% - Accent1 2 2 5" xfId="926" xr:uid="{00000000-0005-0000-0000-000038000000}"/>
    <cellStyle name="20% - Accent1 2 2 5 2" xfId="2218" xr:uid="{00000000-0005-0000-0000-000039000000}"/>
    <cellStyle name="20% - Accent1 2 2 5 3" xfId="3496" xr:uid="{00000000-0005-0000-0000-00003A000000}"/>
    <cellStyle name="20% - Accent1 2 2 5 4" xfId="4783" xr:uid="{00000000-0005-0000-0000-00003B000000}"/>
    <cellStyle name="20% - Accent1 2 2 6" xfId="1366" xr:uid="{00000000-0005-0000-0000-00003C000000}"/>
    <cellStyle name="20% - Accent1 2 2 7" xfId="2644" xr:uid="{00000000-0005-0000-0000-00003D000000}"/>
    <cellStyle name="20% - Accent1 2 2 8" xfId="3931" xr:uid="{00000000-0005-0000-0000-00003E000000}"/>
    <cellStyle name="20% - Accent1 2 2 9" xfId="5209" xr:uid="{00000000-0005-0000-0000-00003F000000}"/>
    <cellStyle name="20% - Accent1 2 3" xfId="86" xr:uid="{00000000-0005-0000-0000-000040000000}"/>
    <cellStyle name="20% - Accent1 2 3 2" xfId="289" xr:uid="{00000000-0005-0000-0000-000041000000}"/>
    <cellStyle name="20% - Accent1 2 3 2 2" xfId="715" xr:uid="{00000000-0005-0000-0000-000042000000}"/>
    <cellStyle name="20% - Accent1 2 3 2 2 2" xfId="2007" xr:uid="{00000000-0005-0000-0000-000043000000}"/>
    <cellStyle name="20% - Accent1 2 3 2 2 3" xfId="3285" xr:uid="{00000000-0005-0000-0000-000044000000}"/>
    <cellStyle name="20% - Accent1 2 3 2 2 4" xfId="4572" xr:uid="{00000000-0005-0000-0000-000045000000}"/>
    <cellStyle name="20% - Accent1 2 3 2 3" xfId="1141" xr:uid="{00000000-0005-0000-0000-000046000000}"/>
    <cellStyle name="20% - Accent1 2 3 2 3 2" xfId="2433" xr:uid="{00000000-0005-0000-0000-000047000000}"/>
    <cellStyle name="20% - Accent1 2 3 2 3 3" xfId="3711" xr:uid="{00000000-0005-0000-0000-000048000000}"/>
    <cellStyle name="20% - Accent1 2 3 2 3 4" xfId="4998" xr:uid="{00000000-0005-0000-0000-000049000000}"/>
    <cellStyle name="20% - Accent1 2 3 2 4" xfId="1581" xr:uid="{00000000-0005-0000-0000-00004A000000}"/>
    <cellStyle name="20% - Accent1 2 3 2 5" xfId="2859" xr:uid="{00000000-0005-0000-0000-00004B000000}"/>
    <cellStyle name="20% - Accent1 2 3 2 6" xfId="4146" xr:uid="{00000000-0005-0000-0000-00004C000000}"/>
    <cellStyle name="20% - Accent1 2 3 3" xfId="502" xr:uid="{00000000-0005-0000-0000-00004D000000}"/>
    <cellStyle name="20% - Accent1 2 3 3 2" xfId="1794" xr:uid="{00000000-0005-0000-0000-00004E000000}"/>
    <cellStyle name="20% - Accent1 2 3 3 3" xfId="3072" xr:uid="{00000000-0005-0000-0000-00004F000000}"/>
    <cellStyle name="20% - Accent1 2 3 3 4" xfId="4359" xr:uid="{00000000-0005-0000-0000-000050000000}"/>
    <cellStyle name="20% - Accent1 2 3 4" xfId="928" xr:uid="{00000000-0005-0000-0000-000051000000}"/>
    <cellStyle name="20% - Accent1 2 3 4 2" xfId="2220" xr:uid="{00000000-0005-0000-0000-000052000000}"/>
    <cellStyle name="20% - Accent1 2 3 4 3" xfId="3498" xr:uid="{00000000-0005-0000-0000-000053000000}"/>
    <cellStyle name="20% - Accent1 2 3 4 4" xfId="4785" xr:uid="{00000000-0005-0000-0000-000054000000}"/>
    <cellStyle name="20% - Accent1 2 3 5" xfId="1368" xr:uid="{00000000-0005-0000-0000-000055000000}"/>
    <cellStyle name="20% - Accent1 2 3 6" xfId="2646" xr:uid="{00000000-0005-0000-0000-000056000000}"/>
    <cellStyle name="20% - Accent1 2 3 7" xfId="3933" xr:uid="{00000000-0005-0000-0000-000057000000}"/>
    <cellStyle name="20% - Accent1 2 3 8" xfId="5211" xr:uid="{00000000-0005-0000-0000-000058000000}"/>
    <cellStyle name="20% - Accent1 2 4" xfId="87" xr:uid="{00000000-0005-0000-0000-000059000000}"/>
    <cellStyle name="20% - Accent1 2 4 2" xfId="290" xr:uid="{00000000-0005-0000-0000-00005A000000}"/>
    <cellStyle name="20% - Accent1 2 4 2 2" xfId="716" xr:uid="{00000000-0005-0000-0000-00005B000000}"/>
    <cellStyle name="20% - Accent1 2 4 2 2 2" xfId="2008" xr:uid="{00000000-0005-0000-0000-00005C000000}"/>
    <cellStyle name="20% - Accent1 2 4 2 2 3" xfId="3286" xr:uid="{00000000-0005-0000-0000-00005D000000}"/>
    <cellStyle name="20% - Accent1 2 4 2 2 4" xfId="4573" xr:uid="{00000000-0005-0000-0000-00005E000000}"/>
    <cellStyle name="20% - Accent1 2 4 2 3" xfId="1142" xr:uid="{00000000-0005-0000-0000-00005F000000}"/>
    <cellStyle name="20% - Accent1 2 4 2 3 2" xfId="2434" xr:uid="{00000000-0005-0000-0000-000060000000}"/>
    <cellStyle name="20% - Accent1 2 4 2 3 3" xfId="3712" xr:uid="{00000000-0005-0000-0000-000061000000}"/>
    <cellStyle name="20% - Accent1 2 4 2 3 4" xfId="4999" xr:uid="{00000000-0005-0000-0000-000062000000}"/>
    <cellStyle name="20% - Accent1 2 4 2 4" xfId="1582" xr:uid="{00000000-0005-0000-0000-000063000000}"/>
    <cellStyle name="20% - Accent1 2 4 2 5" xfId="2860" xr:uid="{00000000-0005-0000-0000-000064000000}"/>
    <cellStyle name="20% - Accent1 2 4 2 6" xfId="4147" xr:uid="{00000000-0005-0000-0000-000065000000}"/>
    <cellStyle name="20% - Accent1 2 4 3" xfId="503" xr:uid="{00000000-0005-0000-0000-000066000000}"/>
    <cellStyle name="20% - Accent1 2 4 3 2" xfId="1795" xr:uid="{00000000-0005-0000-0000-000067000000}"/>
    <cellStyle name="20% - Accent1 2 4 3 3" xfId="3073" xr:uid="{00000000-0005-0000-0000-000068000000}"/>
    <cellStyle name="20% - Accent1 2 4 3 4" xfId="4360" xr:uid="{00000000-0005-0000-0000-000069000000}"/>
    <cellStyle name="20% - Accent1 2 4 4" xfId="929" xr:uid="{00000000-0005-0000-0000-00006A000000}"/>
    <cellStyle name="20% - Accent1 2 4 4 2" xfId="2221" xr:uid="{00000000-0005-0000-0000-00006B000000}"/>
    <cellStyle name="20% - Accent1 2 4 4 3" xfId="3499" xr:uid="{00000000-0005-0000-0000-00006C000000}"/>
    <cellStyle name="20% - Accent1 2 4 4 4" xfId="4786" xr:uid="{00000000-0005-0000-0000-00006D000000}"/>
    <cellStyle name="20% - Accent1 2 4 5" xfId="1369" xr:uid="{00000000-0005-0000-0000-00006E000000}"/>
    <cellStyle name="20% - Accent1 2 4 6" xfId="2647" xr:uid="{00000000-0005-0000-0000-00006F000000}"/>
    <cellStyle name="20% - Accent1 2 4 7" xfId="3934" xr:uid="{00000000-0005-0000-0000-000070000000}"/>
    <cellStyle name="20% - Accent1 2 5" xfId="88" xr:uid="{00000000-0005-0000-0000-000071000000}"/>
    <cellStyle name="20% - Accent1 2 5 2" xfId="291" xr:uid="{00000000-0005-0000-0000-000072000000}"/>
    <cellStyle name="20% - Accent1 2 5 2 2" xfId="717" xr:uid="{00000000-0005-0000-0000-000073000000}"/>
    <cellStyle name="20% - Accent1 2 5 2 2 2" xfId="2009" xr:uid="{00000000-0005-0000-0000-000074000000}"/>
    <cellStyle name="20% - Accent1 2 5 2 2 3" xfId="3287" xr:uid="{00000000-0005-0000-0000-000075000000}"/>
    <cellStyle name="20% - Accent1 2 5 2 2 4" xfId="4574" xr:uid="{00000000-0005-0000-0000-000076000000}"/>
    <cellStyle name="20% - Accent1 2 5 2 3" xfId="1143" xr:uid="{00000000-0005-0000-0000-000077000000}"/>
    <cellStyle name="20% - Accent1 2 5 2 3 2" xfId="2435" xr:uid="{00000000-0005-0000-0000-000078000000}"/>
    <cellStyle name="20% - Accent1 2 5 2 3 3" xfId="3713" xr:uid="{00000000-0005-0000-0000-000079000000}"/>
    <cellStyle name="20% - Accent1 2 5 2 3 4" xfId="5000" xr:uid="{00000000-0005-0000-0000-00007A000000}"/>
    <cellStyle name="20% - Accent1 2 5 2 4" xfId="1583" xr:uid="{00000000-0005-0000-0000-00007B000000}"/>
    <cellStyle name="20% - Accent1 2 5 2 5" xfId="2861" xr:uid="{00000000-0005-0000-0000-00007C000000}"/>
    <cellStyle name="20% - Accent1 2 5 2 6" xfId="4148" xr:uid="{00000000-0005-0000-0000-00007D000000}"/>
    <cellStyle name="20% - Accent1 2 5 3" xfId="504" xr:uid="{00000000-0005-0000-0000-00007E000000}"/>
    <cellStyle name="20% - Accent1 2 5 3 2" xfId="1796" xr:uid="{00000000-0005-0000-0000-00007F000000}"/>
    <cellStyle name="20% - Accent1 2 5 3 3" xfId="3074" xr:uid="{00000000-0005-0000-0000-000080000000}"/>
    <cellStyle name="20% - Accent1 2 5 3 4" xfId="4361" xr:uid="{00000000-0005-0000-0000-000081000000}"/>
    <cellStyle name="20% - Accent1 2 5 4" xfId="930" xr:uid="{00000000-0005-0000-0000-000082000000}"/>
    <cellStyle name="20% - Accent1 2 5 4 2" xfId="2222" xr:uid="{00000000-0005-0000-0000-000083000000}"/>
    <cellStyle name="20% - Accent1 2 5 4 3" xfId="3500" xr:uid="{00000000-0005-0000-0000-000084000000}"/>
    <cellStyle name="20% - Accent1 2 5 4 4" xfId="4787" xr:uid="{00000000-0005-0000-0000-000085000000}"/>
    <cellStyle name="20% - Accent1 2 5 5" xfId="1370" xr:uid="{00000000-0005-0000-0000-000086000000}"/>
    <cellStyle name="20% - Accent1 2 5 6" xfId="2648" xr:uid="{00000000-0005-0000-0000-000087000000}"/>
    <cellStyle name="20% - Accent1 2 5 7" xfId="3935" xr:uid="{00000000-0005-0000-0000-000088000000}"/>
    <cellStyle name="20% - Accent1 2 6" xfId="270" xr:uid="{00000000-0005-0000-0000-000089000000}"/>
    <cellStyle name="20% - Accent1 2 6 2" xfId="483" xr:uid="{00000000-0005-0000-0000-00008A000000}"/>
    <cellStyle name="20% - Accent1 2 6 2 2" xfId="908" xr:uid="{00000000-0005-0000-0000-00008B000000}"/>
    <cellStyle name="20% - Accent1 2 6 2 2 2" xfId="2200" xr:uid="{00000000-0005-0000-0000-00008C000000}"/>
    <cellStyle name="20% - Accent1 2 6 2 2 3" xfId="3478" xr:uid="{00000000-0005-0000-0000-00008D000000}"/>
    <cellStyle name="20% - Accent1 2 6 2 2 4" xfId="4765" xr:uid="{00000000-0005-0000-0000-00008E000000}"/>
    <cellStyle name="20% - Accent1 2 6 2 3" xfId="1334" xr:uid="{00000000-0005-0000-0000-00008F000000}"/>
    <cellStyle name="20% - Accent1 2 6 2 3 2" xfId="2626" xr:uid="{00000000-0005-0000-0000-000090000000}"/>
    <cellStyle name="20% - Accent1 2 6 2 3 3" xfId="3904" xr:uid="{00000000-0005-0000-0000-000091000000}"/>
    <cellStyle name="20% - Accent1 2 6 2 3 4" xfId="5191" xr:uid="{00000000-0005-0000-0000-000092000000}"/>
    <cellStyle name="20% - Accent1 2 6 2 4" xfId="1774" xr:uid="{00000000-0005-0000-0000-000093000000}"/>
    <cellStyle name="20% - Accent1 2 6 2 5" xfId="3052" xr:uid="{00000000-0005-0000-0000-000094000000}"/>
    <cellStyle name="20% - Accent1 2 6 2 6" xfId="4339" xr:uid="{00000000-0005-0000-0000-000095000000}"/>
    <cellStyle name="20% - Accent1 2 6 3" xfId="695" xr:uid="{00000000-0005-0000-0000-000096000000}"/>
    <cellStyle name="20% - Accent1 2 6 3 2" xfId="1987" xr:uid="{00000000-0005-0000-0000-000097000000}"/>
    <cellStyle name="20% - Accent1 2 6 3 3" xfId="3265" xr:uid="{00000000-0005-0000-0000-000098000000}"/>
    <cellStyle name="20% - Accent1 2 6 3 4" xfId="4552" xr:uid="{00000000-0005-0000-0000-000099000000}"/>
    <cellStyle name="20% - Accent1 2 6 4" xfId="1121" xr:uid="{00000000-0005-0000-0000-00009A000000}"/>
    <cellStyle name="20% - Accent1 2 6 4 2" xfId="2413" xr:uid="{00000000-0005-0000-0000-00009B000000}"/>
    <cellStyle name="20% - Accent1 2 6 4 3" xfId="3691" xr:uid="{00000000-0005-0000-0000-00009C000000}"/>
    <cellStyle name="20% - Accent1 2 6 4 4" xfId="4978" xr:uid="{00000000-0005-0000-0000-00009D000000}"/>
    <cellStyle name="20% - Accent1 2 6 5" xfId="1561" xr:uid="{00000000-0005-0000-0000-00009E000000}"/>
    <cellStyle name="20% - Accent1 2 6 6" xfId="2839" xr:uid="{00000000-0005-0000-0000-00009F000000}"/>
    <cellStyle name="20% - Accent1 2 6 7" xfId="4126" xr:uid="{00000000-0005-0000-0000-0000A0000000}"/>
    <cellStyle name="20% - Accent1 2 7" xfId="286" xr:uid="{00000000-0005-0000-0000-0000A1000000}"/>
    <cellStyle name="20% - Accent1 2 7 2" xfId="712" xr:uid="{00000000-0005-0000-0000-0000A2000000}"/>
    <cellStyle name="20% - Accent1 2 7 2 2" xfId="2004" xr:uid="{00000000-0005-0000-0000-0000A3000000}"/>
    <cellStyle name="20% - Accent1 2 7 2 3" xfId="3282" xr:uid="{00000000-0005-0000-0000-0000A4000000}"/>
    <cellStyle name="20% - Accent1 2 7 2 4" xfId="4569" xr:uid="{00000000-0005-0000-0000-0000A5000000}"/>
    <cellStyle name="20% - Accent1 2 7 3" xfId="1138" xr:uid="{00000000-0005-0000-0000-0000A6000000}"/>
    <cellStyle name="20% - Accent1 2 7 3 2" xfId="2430" xr:uid="{00000000-0005-0000-0000-0000A7000000}"/>
    <cellStyle name="20% - Accent1 2 7 3 3" xfId="3708" xr:uid="{00000000-0005-0000-0000-0000A8000000}"/>
    <cellStyle name="20% - Accent1 2 7 3 4" xfId="4995" xr:uid="{00000000-0005-0000-0000-0000A9000000}"/>
    <cellStyle name="20% - Accent1 2 7 4" xfId="1578" xr:uid="{00000000-0005-0000-0000-0000AA000000}"/>
    <cellStyle name="20% - Accent1 2 7 5" xfId="2856" xr:uid="{00000000-0005-0000-0000-0000AB000000}"/>
    <cellStyle name="20% - Accent1 2 7 6" xfId="4143" xr:uid="{00000000-0005-0000-0000-0000AC000000}"/>
    <cellStyle name="20% - Accent1 2 8" xfId="499" xr:uid="{00000000-0005-0000-0000-0000AD000000}"/>
    <cellStyle name="20% - Accent1 2 8 2" xfId="1791" xr:uid="{00000000-0005-0000-0000-0000AE000000}"/>
    <cellStyle name="20% - Accent1 2 8 3" xfId="3069" xr:uid="{00000000-0005-0000-0000-0000AF000000}"/>
    <cellStyle name="20% - Accent1 2 8 4" xfId="4356" xr:uid="{00000000-0005-0000-0000-0000B0000000}"/>
    <cellStyle name="20% - Accent1 2 9" xfId="925" xr:uid="{00000000-0005-0000-0000-0000B1000000}"/>
    <cellStyle name="20% - Accent1 2 9 2" xfId="2217" xr:uid="{00000000-0005-0000-0000-0000B2000000}"/>
    <cellStyle name="20% - Accent1 2 9 3" xfId="3495" xr:uid="{00000000-0005-0000-0000-0000B3000000}"/>
    <cellStyle name="20% - Accent1 2 9 4" xfId="4782" xr:uid="{00000000-0005-0000-0000-0000B4000000}"/>
    <cellStyle name="20% - Accent1 3" xfId="89" xr:uid="{00000000-0005-0000-0000-0000B5000000}"/>
    <cellStyle name="20% - Accent1 3 2" xfId="90" xr:uid="{00000000-0005-0000-0000-0000B6000000}"/>
    <cellStyle name="20% - Accent1 3 2 2" xfId="293" xr:uid="{00000000-0005-0000-0000-0000B7000000}"/>
    <cellStyle name="20% - Accent1 3 2 2 2" xfId="719" xr:uid="{00000000-0005-0000-0000-0000B8000000}"/>
    <cellStyle name="20% - Accent1 3 2 2 2 2" xfId="2011" xr:uid="{00000000-0005-0000-0000-0000B9000000}"/>
    <cellStyle name="20% - Accent1 3 2 2 2 3" xfId="3289" xr:uid="{00000000-0005-0000-0000-0000BA000000}"/>
    <cellStyle name="20% - Accent1 3 2 2 2 4" xfId="4576" xr:uid="{00000000-0005-0000-0000-0000BB000000}"/>
    <cellStyle name="20% - Accent1 3 2 2 3" xfId="1145" xr:uid="{00000000-0005-0000-0000-0000BC000000}"/>
    <cellStyle name="20% - Accent1 3 2 2 3 2" xfId="2437" xr:uid="{00000000-0005-0000-0000-0000BD000000}"/>
    <cellStyle name="20% - Accent1 3 2 2 3 3" xfId="3715" xr:uid="{00000000-0005-0000-0000-0000BE000000}"/>
    <cellStyle name="20% - Accent1 3 2 2 3 4" xfId="5002" xr:uid="{00000000-0005-0000-0000-0000BF000000}"/>
    <cellStyle name="20% - Accent1 3 2 2 4" xfId="1585" xr:uid="{00000000-0005-0000-0000-0000C0000000}"/>
    <cellStyle name="20% - Accent1 3 2 2 5" xfId="2863" xr:uid="{00000000-0005-0000-0000-0000C1000000}"/>
    <cellStyle name="20% - Accent1 3 2 2 6" xfId="4150" xr:uid="{00000000-0005-0000-0000-0000C2000000}"/>
    <cellStyle name="20% - Accent1 3 2 3" xfId="506" xr:uid="{00000000-0005-0000-0000-0000C3000000}"/>
    <cellStyle name="20% - Accent1 3 2 3 2" xfId="1798" xr:uid="{00000000-0005-0000-0000-0000C4000000}"/>
    <cellStyle name="20% - Accent1 3 2 3 3" xfId="3076" xr:uid="{00000000-0005-0000-0000-0000C5000000}"/>
    <cellStyle name="20% - Accent1 3 2 3 4" xfId="4363" xr:uid="{00000000-0005-0000-0000-0000C6000000}"/>
    <cellStyle name="20% - Accent1 3 2 4" xfId="932" xr:uid="{00000000-0005-0000-0000-0000C7000000}"/>
    <cellStyle name="20% - Accent1 3 2 4 2" xfId="2224" xr:uid="{00000000-0005-0000-0000-0000C8000000}"/>
    <cellStyle name="20% - Accent1 3 2 4 3" xfId="3502" xr:uid="{00000000-0005-0000-0000-0000C9000000}"/>
    <cellStyle name="20% - Accent1 3 2 4 4" xfId="4789" xr:uid="{00000000-0005-0000-0000-0000CA000000}"/>
    <cellStyle name="20% - Accent1 3 2 5" xfId="1372" xr:uid="{00000000-0005-0000-0000-0000CB000000}"/>
    <cellStyle name="20% - Accent1 3 2 6" xfId="2650" xr:uid="{00000000-0005-0000-0000-0000CC000000}"/>
    <cellStyle name="20% - Accent1 3 2 7" xfId="3937" xr:uid="{00000000-0005-0000-0000-0000CD000000}"/>
    <cellStyle name="20% - Accent1 3 2 8" xfId="5213" xr:uid="{00000000-0005-0000-0000-0000CE000000}"/>
    <cellStyle name="20% - Accent1 3 3" xfId="292" xr:uid="{00000000-0005-0000-0000-0000CF000000}"/>
    <cellStyle name="20% - Accent1 3 3 2" xfId="718" xr:uid="{00000000-0005-0000-0000-0000D0000000}"/>
    <cellStyle name="20% - Accent1 3 3 2 2" xfId="2010" xr:uid="{00000000-0005-0000-0000-0000D1000000}"/>
    <cellStyle name="20% - Accent1 3 3 2 3" xfId="3288" xr:uid="{00000000-0005-0000-0000-0000D2000000}"/>
    <cellStyle name="20% - Accent1 3 3 2 4" xfId="4575" xr:uid="{00000000-0005-0000-0000-0000D3000000}"/>
    <cellStyle name="20% - Accent1 3 3 3" xfId="1144" xr:uid="{00000000-0005-0000-0000-0000D4000000}"/>
    <cellStyle name="20% - Accent1 3 3 3 2" xfId="2436" xr:uid="{00000000-0005-0000-0000-0000D5000000}"/>
    <cellStyle name="20% - Accent1 3 3 3 3" xfId="3714" xr:uid="{00000000-0005-0000-0000-0000D6000000}"/>
    <cellStyle name="20% - Accent1 3 3 3 4" xfId="5001" xr:uid="{00000000-0005-0000-0000-0000D7000000}"/>
    <cellStyle name="20% - Accent1 3 3 4" xfId="1584" xr:uid="{00000000-0005-0000-0000-0000D8000000}"/>
    <cellStyle name="20% - Accent1 3 3 5" xfId="2862" xr:uid="{00000000-0005-0000-0000-0000D9000000}"/>
    <cellStyle name="20% - Accent1 3 3 6" xfId="4149" xr:uid="{00000000-0005-0000-0000-0000DA000000}"/>
    <cellStyle name="20% - Accent1 3 4" xfId="505" xr:uid="{00000000-0005-0000-0000-0000DB000000}"/>
    <cellStyle name="20% - Accent1 3 4 2" xfId="1797" xr:uid="{00000000-0005-0000-0000-0000DC000000}"/>
    <cellStyle name="20% - Accent1 3 4 3" xfId="3075" xr:uid="{00000000-0005-0000-0000-0000DD000000}"/>
    <cellStyle name="20% - Accent1 3 4 4" xfId="4362" xr:uid="{00000000-0005-0000-0000-0000DE000000}"/>
    <cellStyle name="20% - Accent1 3 5" xfId="931" xr:uid="{00000000-0005-0000-0000-0000DF000000}"/>
    <cellStyle name="20% - Accent1 3 5 2" xfId="2223" xr:uid="{00000000-0005-0000-0000-0000E0000000}"/>
    <cellStyle name="20% - Accent1 3 5 3" xfId="3501" xr:uid="{00000000-0005-0000-0000-0000E1000000}"/>
    <cellStyle name="20% - Accent1 3 5 4" xfId="4788" xr:uid="{00000000-0005-0000-0000-0000E2000000}"/>
    <cellStyle name="20% - Accent1 3 6" xfId="1371" xr:uid="{00000000-0005-0000-0000-0000E3000000}"/>
    <cellStyle name="20% - Accent1 3 7" xfId="2649" xr:uid="{00000000-0005-0000-0000-0000E4000000}"/>
    <cellStyle name="20% - Accent1 3 8" xfId="3936" xr:uid="{00000000-0005-0000-0000-0000E5000000}"/>
    <cellStyle name="20% - Accent1 3 9" xfId="5212" xr:uid="{00000000-0005-0000-0000-0000E6000000}"/>
    <cellStyle name="20% - Accent1 4" xfId="91" xr:uid="{00000000-0005-0000-0000-0000E7000000}"/>
    <cellStyle name="20% - Accent1 4 2" xfId="294" xr:uid="{00000000-0005-0000-0000-0000E8000000}"/>
    <cellStyle name="20% - Accent1 4 2 2" xfId="720" xr:uid="{00000000-0005-0000-0000-0000E9000000}"/>
    <cellStyle name="20% - Accent1 4 2 2 2" xfId="2012" xr:uid="{00000000-0005-0000-0000-0000EA000000}"/>
    <cellStyle name="20% - Accent1 4 2 2 3" xfId="3290" xr:uid="{00000000-0005-0000-0000-0000EB000000}"/>
    <cellStyle name="20% - Accent1 4 2 2 4" xfId="4577" xr:uid="{00000000-0005-0000-0000-0000EC000000}"/>
    <cellStyle name="20% - Accent1 4 2 3" xfId="1146" xr:uid="{00000000-0005-0000-0000-0000ED000000}"/>
    <cellStyle name="20% - Accent1 4 2 3 2" xfId="2438" xr:uid="{00000000-0005-0000-0000-0000EE000000}"/>
    <cellStyle name="20% - Accent1 4 2 3 3" xfId="3716" xr:uid="{00000000-0005-0000-0000-0000EF000000}"/>
    <cellStyle name="20% - Accent1 4 2 3 4" xfId="5003" xr:uid="{00000000-0005-0000-0000-0000F0000000}"/>
    <cellStyle name="20% - Accent1 4 2 4" xfId="1586" xr:uid="{00000000-0005-0000-0000-0000F1000000}"/>
    <cellStyle name="20% - Accent1 4 2 5" xfId="2864" xr:uid="{00000000-0005-0000-0000-0000F2000000}"/>
    <cellStyle name="20% - Accent1 4 2 6" xfId="4151" xr:uid="{00000000-0005-0000-0000-0000F3000000}"/>
    <cellStyle name="20% - Accent1 4 3" xfId="507" xr:uid="{00000000-0005-0000-0000-0000F4000000}"/>
    <cellStyle name="20% - Accent1 4 3 2" xfId="1799" xr:uid="{00000000-0005-0000-0000-0000F5000000}"/>
    <cellStyle name="20% - Accent1 4 3 3" xfId="3077" xr:uid="{00000000-0005-0000-0000-0000F6000000}"/>
    <cellStyle name="20% - Accent1 4 3 4" xfId="4364" xr:uid="{00000000-0005-0000-0000-0000F7000000}"/>
    <cellStyle name="20% - Accent1 4 4" xfId="933" xr:uid="{00000000-0005-0000-0000-0000F8000000}"/>
    <cellStyle name="20% - Accent1 4 4 2" xfId="2225" xr:uid="{00000000-0005-0000-0000-0000F9000000}"/>
    <cellStyle name="20% - Accent1 4 4 3" xfId="3503" xr:uid="{00000000-0005-0000-0000-0000FA000000}"/>
    <cellStyle name="20% - Accent1 4 4 4" xfId="4790" xr:uid="{00000000-0005-0000-0000-0000FB000000}"/>
    <cellStyle name="20% - Accent1 4 5" xfId="1373" xr:uid="{00000000-0005-0000-0000-0000FC000000}"/>
    <cellStyle name="20% - Accent1 4 6" xfId="2651" xr:uid="{00000000-0005-0000-0000-0000FD000000}"/>
    <cellStyle name="20% - Accent1 4 7" xfId="3938" xr:uid="{00000000-0005-0000-0000-0000FE000000}"/>
    <cellStyle name="20% - Accent1 4 8" xfId="5214" xr:uid="{00000000-0005-0000-0000-0000FF000000}"/>
    <cellStyle name="20% - Accent1 5" xfId="92" xr:uid="{00000000-0005-0000-0000-000000010000}"/>
    <cellStyle name="20% - Accent1 5 2" xfId="295" xr:uid="{00000000-0005-0000-0000-000001010000}"/>
    <cellStyle name="20% - Accent1 5 2 2" xfId="721" xr:uid="{00000000-0005-0000-0000-000002010000}"/>
    <cellStyle name="20% - Accent1 5 2 2 2" xfId="2013" xr:uid="{00000000-0005-0000-0000-000003010000}"/>
    <cellStyle name="20% - Accent1 5 2 2 3" xfId="3291" xr:uid="{00000000-0005-0000-0000-000004010000}"/>
    <cellStyle name="20% - Accent1 5 2 2 4" xfId="4578" xr:uid="{00000000-0005-0000-0000-000005010000}"/>
    <cellStyle name="20% - Accent1 5 2 3" xfId="1147" xr:uid="{00000000-0005-0000-0000-000006010000}"/>
    <cellStyle name="20% - Accent1 5 2 3 2" xfId="2439" xr:uid="{00000000-0005-0000-0000-000007010000}"/>
    <cellStyle name="20% - Accent1 5 2 3 3" xfId="3717" xr:uid="{00000000-0005-0000-0000-000008010000}"/>
    <cellStyle name="20% - Accent1 5 2 3 4" xfId="5004" xr:uid="{00000000-0005-0000-0000-000009010000}"/>
    <cellStyle name="20% - Accent1 5 2 4" xfId="1587" xr:uid="{00000000-0005-0000-0000-00000A010000}"/>
    <cellStyle name="20% - Accent1 5 2 5" xfId="2865" xr:uid="{00000000-0005-0000-0000-00000B010000}"/>
    <cellStyle name="20% - Accent1 5 2 6" xfId="4152" xr:uid="{00000000-0005-0000-0000-00000C010000}"/>
    <cellStyle name="20% - Accent1 5 3" xfId="508" xr:uid="{00000000-0005-0000-0000-00000D010000}"/>
    <cellStyle name="20% - Accent1 5 3 2" xfId="1800" xr:uid="{00000000-0005-0000-0000-00000E010000}"/>
    <cellStyle name="20% - Accent1 5 3 3" xfId="3078" xr:uid="{00000000-0005-0000-0000-00000F010000}"/>
    <cellStyle name="20% - Accent1 5 3 4" xfId="4365" xr:uid="{00000000-0005-0000-0000-000010010000}"/>
    <cellStyle name="20% - Accent1 5 4" xfId="934" xr:uid="{00000000-0005-0000-0000-000011010000}"/>
    <cellStyle name="20% - Accent1 5 4 2" xfId="2226" xr:uid="{00000000-0005-0000-0000-000012010000}"/>
    <cellStyle name="20% - Accent1 5 4 3" xfId="3504" xr:uid="{00000000-0005-0000-0000-000013010000}"/>
    <cellStyle name="20% - Accent1 5 4 4" xfId="4791" xr:uid="{00000000-0005-0000-0000-000014010000}"/>
    <cellStyle name="20% - Accent1 5 5" xfId="1374" xr:uid="{00000000-0005-0000-0000-000015010000}"/>
    <cellStyle name="20% - Accent1 5 6" xfId="2652" xr:uid="{00000000-0005-0000-0000-000016010000}"/>
    <cellStyle name="20% - Accent1 5 7" xfId="3939" xr:uid="{00000000-0005-0000-0000-000017010000}"/>
    <cellStyle name="20% - Accent1 6" xfId="93" xr:uid="{00000000-0005-0000-0000-000018010000}"/>
    <cellStyle name="20% - Accent1 6 2" xfId="296" xr:uid="{00000000-0005-0000-0000-000019010000}"/>
    <cellStyle name="20% - Accent1 6 2 2" xfId="722" xr:uid="{00000000-0005-0000-0000-00001A010000}"/>
    <cellStyle name="20% - Accent1 6 2 2 2" xfId="2014" xr:uid="{00000000-0005-0000-0000-00001B010000}"/>
    <cellStyle name="20% - Accent1 6 2 2 3" xfId="3292" xr:uid="{00000000-0005-0000-0000-00001C010000}"/>
    <cellStyle name="20% - Accent1 6 2 2 4" xfId="4579" xr:uid="{00000000-0005-0000-0000-00001D010000}"/>
    <cellStyle name="20% - Accent1 6 2 3" xfId="1148" xr:uid="{00000000-0005-0000-0000-00001E010000}"/>
    <cellStyle name="20% - Accent1 6 2 3 2" xfId="2440" xr:uid="{00000000-0005-0000-0000-00001F010000}"/>
    <cellStyle name="20% - Accent1 6 2 3 3" xfId="3718" xr:uid="{00000000-0005-0000-0000-000020010000}"/>
    <cellStyle name="20% - Accent1 6 2 3 4" xfId="5005" xr:uid="{00000000-0005-0000-0000-000021010000}"/>
    <cellStyle name="20% - Accent1 6 2 4" xfId="1588" xr:uid="{00000000-0005-0000-0000-000022010000}"/>
    <cellStyle name="20% - Accent1 6 2 5" xfId="2866" xr:uid="{00000000-0005-0000-0000-000023010000}"/>
    <cellStyle name="20% - Accent1 6 2 6" xfId="4153" xr:uid="{00000000-0005-0000-0000-000024010000}"/>
    <cellStyle name="20% - Accent1 6 3" xfId="509" xr:uid="{00000000-0005-0000-0000-000025010000}"/>
    <cellStyle name="20% - Accent1 6 3 2" xfId="1801" xr:uid="{00000000-0005-0000-0000-000026010000}"/>
    <cellStyle name="20% - Accent1 6 3 3" xfId="3079" xr:uid="{00000000-0005-0000-0000-000027010000}"/>
    <cellStyle name="20% - Accent1 6 3 4" xfId="4366" xr:uid="{00000000-0005-0000-0000-000028010000}"/>
    <cellStyle name="20% - Accent1 6 4" xfId="935" xr:uid="{00000000-0005-0000-0000-000029010000}"/>
    <cellStyle name="20% - Accent1 6 4 2" xfId="2227" xr:uid="{00000000-0005-0000-0000-00002A010000}"/>
    <cellStyle name="20% - Accent1 6 4 3" xfId="3505" xr:uid="{00000000-0005-0000-0000-00002B010000}"/>
    <cellStyle name="20% - Accent1 6 4 4" xfId="4792" xr:uid="{00000000-0005-0000-0000-00002C010000}"/>
    <cellStyle name="20% - Accent1 6 5" xfId="1375" xr:uid="{00000000-0005-0000-0000-00002D010000}"/>
    <cellStyle name="20% - Accent1 6 6" xfId="2653" xr:uid="{00000000-0005-0000-0000-00002E010000}"/>
    <cellStyle name="20% - Accent1 6 7" xfId="3940" xr:uid="{00000000-0005-0000-0000-00002F010000}"/>
    <cellStyle name="20% - Accent1 7" xfId="255" xr:uid="{00000000-0005-0000-0000-000030010000}"/>
    <cellStyle name="20% - Accent1 7 2" xfId="468" xr:uid="{00000000-0005-0000-0000-000031010000}"/>
    <cellStyle name="20% - Accent1 7 2 2" xfId="893" xr:uid="{00000000-0005-0000-0000-000032010000}"/>
    <cellStyle name="20% - Accent1 7 2 2 2" xfId="2185" xr:uid="{00000000-0005-0000-0000-000033010000}"/>
    <cellStyle name="20% - Accent1 7 2 2 3" xfId="3463" xr:uid="{00000000-0005-0000-0000-000034010000}"/>
    <cellStyle name="20% - Accent1 7 2 2 4" xfId="4750" xr:uid="{00000000-0005-0000-0000-000035010000}"/>
    <cellStyle name="20% - Accent1 7 2 3" xfId="1319" xr:uid="{00000000-0005-0000-0000-000036010000}"/>
    <cellStyle name="20% - Accent1 7 2 3 2" xfId="2611" xr:uid="{00000000-0005-0000-0000-000037010000}"/>
    <cellStyle name="20% - Accent1 7 2 3 3" xfId="3889" xr:uid="{00000000-0005-0000-0000-000038010000}"/>
    <cellStyle name="20% - Accent1 7 2 3 4" xfId="5176" xr:uid="{00000000-0005-0000-0000-000039010000}"/>
    <cellStyle name="20% - Accent1 7 2 4" xfId="1759" xr:uid="{00000000-0005-0000-0000-00003A010000}"/>
    <cellStyle name="20% - Accent1 7 2 5" xfId="3037" xr:uid="{00000000-0005-0000-0000-00003B010000}"/>
    <cellStyle name="20% - Accent1 7 2 6" xfId="4324" xr:uid="{00000000-0005-0000-0000-00003C010000}"/>
    <cellStyle name="20% - Accent1 7 3" xfId="680" xr:uid="{00000000-0005-0000-0000-00003D010000}"/>
    <cellStyle name="20% - Accent1 7 3 2" xfId="1972" xr:uid="{00000000-0005-0000-0000-00003E010000}"/>
    <cellStyle name="20% - Accent1 7 3 3" xfId="3250" xr:uid="{00000000-0005-0000-0000-00003F010000}"/>
    <cellStyle name="20% - Accent1 7 3 4" xfId="4537" xr:uid="{00000000-0005-0000-0000-000040010000}"/>
    <cellStyle name="20% - Accent1 7 4" xfId="1106" xr:uid="{00000000-0005-0000-0000-000041010000}"/>
    <cellStyle name="20% - Accent1 7 4 2" xfId="2398" xr:uid="{00000000-0005-0000-0000-000042010000}"/>
    <cellStyle name="20% - Accent1 7 4 3" xfId="3676" xr:uid="{00000000-0005-0000-0000-000043010000}"/>
    <cellStyle name="20% - Accent1 7 4 4" xfId="4963" xr:uid="{00000000-0005-0000-0000-000044010000}"/>
    <cellStyle name="20% - Accent1 7 5" xfId="1546" xr:uid="{00000000-0005-0000-0000-000045010000}"/>
    <cellStyle name="20% - Accent1 7 6" xfId="2824" xr:uid="{00000000-0005-0000-0000-000046010000}"/>
    <cellStyle name="20% - Accent1 7 7" xfId="4111" xr:uid="{00000000-0005-0000-0000-000047010000}"/>
    <cellStyle name="20% - Accent1 8" xfId="285" xr:uid="{00000000-0005-0000-0000-000048010000}"/>
    <cellStyle name="20% - Accent1 8 2" xfId="711" xr:uid="{00000000-0005-0000-0000-000049010000}"/>
    <cellStyle name="20% - Accent1 8 2 2" xfId="2003" xr:uid="{00000000-0005-0000-0000-00004A010000}"/>
    <cellStyle name="20% - Accent1 8 2 3" xfId="3281" xr:uid="{00000000-0005-0000-0000-00004B010000}"/>
    <cellStyle name="20% - Accent1 8 2 4" xfId="4568" xr:uid="{00000000-0005-0000-0000-00004C010000}"/>
    <cellStyle name="20% - Accent1 8 3" xfId="1137" xr:uid="{00000000-0005-0000-0000-00004D010000}"/>
    <cellStyle name="20% - Accent1 8 3 2" xfId="2429" xr:uid="{00000000-0005-0000-0000-00004E010000}"/>
    <cellStyle name="20% - Accent1 8 3 3" xfId="3707" xr:uid="{00000000-0005-0000-0000-00004F010000}"/>
    <cellStyle name="20% - Accent1 8 3 4" xfId="4994" xr:uid="{00000000-0005-0000-0000-000050010000}"/>
    <cellStyle name="20% - Accent1 8 4" xfId="1577" xr:uid="{00000000-0005-0000-0000-000051010000}"/>
    <cellStyle name="20% - Accent1 8 5" xfId="2855" xr:uid="{00000000-0005-0000-0000-000052010000}"/>
    <cellStyle name="20% - Accent1 8 6" xfId="4142" xr:uid="{00000000-0005-0000-0000-000053010000}"/>
    <cellStyle name="20% - Accent1 9" xfId="498" xr:uid="{00000000-0005-0000-0000-000054010000}"/>
    <cellStyle name="20% - Accent1 9 2" xfId="1790" xr:uid="{00000000-0005-0000-0000-000055010000}"/>
    <cellStyle name="20% - Accent1 9 3" xfId="3068" xr:uid="{00000000-0005-0000-0000-000056010000}"/>
    <cellStyle name="20% - Accent1 9 4" xfId="4355" xr:uid="{00000000-0005-0000-0000-000057010000}"/>
    <cellStyle name="20% - Accent2" xfId="63" builtinId="34" customBuiltin="1"/>
    <cellStyle name="20% - Accent2 10" xfId="936" xr:uid="{00000000-0005-0000-0000-000059010000}"/>
    <cellStyle name="20% - Accent2 10 2" xfId="2228" xr:uid="{00000000-0005-0000-0000-00005A010000}"/>
    <cellStyle name="20% - Accent2 10 3" xfId="3506" xr:uid="{00000000-0005-0000-0000-00005B010000}"/>
    <cellStyle name="20% - Accent2 10 4" xfId="4793" xr:uid="{00000000-0005-0000-0000-00005C010000}"/>
    <cellStyle name="20% - Accent2 11" xfId="1376" xr:uid="{00000000-0005-0000-0000-00005D010000}"/>
    <cellStyle name="20% - Accent2 12" xfId="2654" xr:uid="{00000000-0005-0000-0000-00005E010000}"/>
    <cellStyle name="20% - Accent2 13" xfId="3941" xr:uid="{00000000-0005-0000-0000-00005F010000}"/>
    <cellStyle name="20% - Accent2 14" xfId="5215" xr:uid="{00000000-0005-0000-0000-000060010000}"/>
    <cellStyle name="20% - Accent2 2" xfId="11" xr:uid="{00000000-0005-0000-0000-000061010000}"/>
    <cellStyle name="20% - Accent2 2 10" xfId="1377" xr:uid="{00000000-0005-0000-0000-000062010000}"/>
    <cellStyle name="20% - Accent2 2 11" xfId="2655" xr:uid="{00000000-0005-0000-0000-000063010000}"/>
    <cellStyle name="20% - Accent2 2 12" xfId="3942" xr:uid="{00000000-0005-0000-0000-000064010000}"/>
    <cellStyle name="20% - Accent2 2 13" xfId="5216" xr:uid="{00000000-0005-0000-0000-000065010000}"/>
    <cellStyle name="20% - Accent2 2 2" xfId="94" xr:uid="{00000000-0005-0000-0000-000066010000}"/>
    <cellStyle name="20% - Accent2 2 2 2" xfId="95" xr:uid="{00000000-0005-0000-0000-000067010000}"/>
    <cellStyle name="20% - Accent2 2 2 2 2" xfId="300" xr:uid="{00000000-0005-0000-0000-000068010000}"/>
    <cellStyle name="20% - Accent2 2 2 2 2 2" xfId="726" xr:uid="{00000000-0005-0000-0000-000069010000}"/>
    <cellStyle name="20% - Accent2 2 2 2 2 2 2" xfId="2018" xr:uid="{00000000-0005-0000-0000-00006A010000}"/>
    <cellStyle name="20% - Accent2 2 2 2 2 2 3" xfId="3296" xr:uid="{00000000-0005-0000-0000-00006B010000}"/>
    <cellStyle name="20% - Accent2 2 2 2 2 2 4" xfId="4583" xr:uid="{00000000-0005-0000-0000-00006C010000}"/>
    <cellStyle name="20% - Accent2 2 2 2 2 3" xfId="1152" xr:uid="{00000000-0005-0000-0000-00006D010000}"/>
    <cellStyle name="20% - Accent2 2 2 2 2 3 2" xfId="2444" xr:uid="{00000000-0005-0000-0000-00006E010000}"/>
    <cellStyle name="20% - Accent2 2 2 2 2 3 3" xfId="3722" xr:uid="{00000000-0005-0000-0000-00006F010000}"/>
    <cellStyle name="20% - Accent2 2 2 2 2 3 4" xfId="5009" xr:uid="{00000000-0005-0000-0000-000070010000}"/>
    <cellStyle name="20% - Accent2 2 2 2 2 4" xfId="1592" xr:uid="{00000000-0005-0000-0000-000071010000}"/>
    <cellStyle name="20% - Accent2 2 2 2 2 5" xfId="2870" xr:uid="{00000000-0005-0000-0000-000072010000}"/>
    <cellStyle name="20% - Accent2 2 2 2 2 6" xfId="4157" xr:uid="{00000000-0005-0000-0000-000073010000}"/>
    <cellStyle name="20% - Accent2 2 2 2 3" xfId="513" xr:uid="{00000000-0005-0000-0000-000074010000}"/>
    <cellStyle name="20% - Accent2 2 2 2 3 2" xfId="1805" xr:uid="{00000000-0005-0000-0000-000075010000}"/>
    <cellStyle name="20% - Accent2 2 2 2 3 3" xfId="3083" xr:uid="{00000000-0005-0000-0000-000076010000}"/>
    <cellStyle name="20% - Accent2 2 2 2 3 4" xfId="4370" xr:uid="{00000000-0005-0000-0000-000077010000}"/>
    <cellStyle name="20% - Accent2 2 2 2 4" xfId="939" xr:uid="{00000000-0005-0000-0000-000078010000}"/>
    <cellStyle name="20% - Accent2 2 2 2 4 2" xfId="2231" xr:uid="{00000000-0005-0000-0000-000079010000}"/>
    <cellStyle name="20% - Accent2 2 2 2 4 3" xfId="3509" xr:uid="{00000000-0005-0000-0000-00007A010000}"/>
    <cellStyle name="20% - Accent2 2 2 2 4 4" xfId="4796" xr:uid="{00000000-0005-0000-0000-00007B010000}"/>
    <cellStyle name="20% - Accent2 2 2 2 5" xfId="1379" xr:uid="{00000000-0005-0000-0000-00007C010000}"/>
    <cellStyle name="20% - Accent2 2 2 2 6" xfId="2657" xr:uid="{00000000-0005-0000-0000-00007D010000}"/>
    <cellStyle name="20% - Accent2 2 2 2 7" xfId="3944" xr:uid="{00000000-0005-0000-0000-00007E010000}"/>
    <cellStyle name="20% - Accent2 2 2 2 8" xfId="5218" xr:uid="{00000000-0005-0000-0000-00007F010000}"/>
    <cellStyle name="20% - Accent2 2 2 3" xfId="299" xr:uid="{00000000-0005-0000-0000-000080010000}"/>
    <cellStyle name="20% - Accent2 2 2 3 2" xfId="725" xr:uid="{00000000-0005-0000-0000-000081010000}"/>
    <cellStyle name="20% - Accent2 2 2 3 2 2" xfId="2017" xr:uid="{00000000-0005-0000-0000-000082010000}"/>
    <cellStyle name="20% - Accent2 2 2 3 2 3" xfId="3295" xr:uid="{00000000-0005-0000-0000-000083010000}"/>
    <cellStyle name="20% - Accent2 2 2 3 2 4" xfId="4582" xr:uid="{00000000-0005-0000-0000-000084010000}"/>
    <cellStyle name="20% - Accent2 2 2 3 3" xfId="1151" xr:uid="{00000000-0005-0000-0000-000085010000}"/>
    <cellStyle name="20% - Accent2 2 2 3 3 2" xfId="2443" xr:uid="{00000000-0005-0000-0000-000086010000}"/>
    <cellStyle name="20% - Accent2 2 2 3 3 3" xfId="3721" xr:uid="{00000000-0005-0000-0000-000087010000}"/>
    <cellStyle name="20% - Accent2 2 2 3 3 4" xfId="5008" xr:uid="{00000000-0005-0000-0000-000088010000}"/>
    <cellStyle name="20% - Accent2 2 2 3 4" xfId="1591" xr:uid="{00000000-0005-0000-0000-000089010000}"/>
    <cellStyle name="20% - Accent2 2 2 3 5" xfId="2869" xr:uid="{00000000-0005-0000-0000-00008A010000}"/>
    <cellStyle name="20% - Accent2 2 2 3 6" xfId="4156" xr:uid="{00000000-0005-0000-0000-00008B010000}"/>
    <cellStyle name="20% - Accent2 2 2 4" xfId="512" xr:uid="{00000000-0005-0000-0000-00008C010000}"/>
    <cellStyle name="20% - Accent2 2 2 4 2" xfId="1804" xr:uid="{00000000-0005-0000-0000-00008D010000}"/>
    <cellStyle name="20% - Accent2 2 2 4 3" xfId="3082" xr:uid="{00000000-0005-0000-0000-00008E010000}"/>
    <cellStyle name="20% - Accent2 2 2 4 4" xfId="4369" xr:uid="{00000000-0005-0000-0000-00008F010000}"/>
    <cellStyle name="20% - Accent2 2 2 5" xfId="938" xr:uid="{00000000-0005-0000-0000-000090010000}"/>
    <cellStyle name="20% - Accent2 2 2 5 2" xfId="2230" xr:uid="{00000000-0005-0000-0000-000091010000}"/>
    <cellStyle name="20% - Accent2 2 2 5 3" xfId="3508" xr:uid="{00000000-0005-0000-0000-000092010000}"/>
    <cellStyle name="20% - Accent2 2 2 5 4" xfId="4795" xr:uid="{00000000-0005-0000-0000-000093010000}"/>
    <cellStyle name="20% - Accent2 2 2 6" xfId="1378" xr:uid="{00000000-0005-0000-0000-000094010000}"/>
    <cellStyle name="20% - Accent2 2 2 7" xfId="2656" xr:uid="{00000000-0005-0000-0000-000095010000}"/>
    <cellStyle name="20% - Accent2 2 2 8" xfId="3943" xr:uid="{00000000-0005-0000-0000-000096010000}"/>
    <cellStyle name="20% - Accent2 2 2 9" xfId="5217" xr:uid="{00000000-0005-0000-0000-000097010000}"/>
    <cellStyle name="20% - Accent2 2 3" xfId="96" xr:uid="{00000000-0005-0000-0000-000098010000}"/>
    <cellStyle name="20% - Accent2 2 3 2" xfId="301" xr:uid="{00000000-0005-0000-0000-000099010000}"/>
    <cellStyle name="20% - Accent2 2 3 2 2" xfId="727" xr:uid="{00000000-0005-0000-0000-00009A010000}"/>
    <cellStyle name="20% - Accent2 2 3 2 2 2" xfId="2019" xr:uid="{00000000-0005-0000-0000-00009B010000}"/>
    <cellStyle name="20% - Accent2 2 3 2 2 3" xfId="3297" xr:uid="{00000000-0005-0000-0000-00009C010000}"/>
    <cellStyle name="20% - Accent2 2 3 2 2 4" xfId="4584" xr:uid="{00000000-0005-0000-0000-00009D010000}"/>
    <cellStyle name="20% - Accent2 2 3 2 3" xfId="1153" xr:uid="{00000000-0005-0000-0000-00009E010000}"/>
    <cellStyle name="20% - Accent2 2 3 2 3 2" xfId="2445" xr:uid="{00000000-0005-0000-0000-00009F010000}"/>
    <cellStyle name="20% - Accent2 2 3 2 3 3" xfId="3723" xr:uid="{00000000-0005-0000-0000-0000A0010000}"/>
    <cellStyle name="20% - Accent2 2 3 2 3 4" xfId="5010" xr:uid="{00000000-0005-0000-0000-0000A1010000}"/>
    <cellStyle name="20% - Accent2 2 3 2 4" xfId="1593" xr:uid="{00000000-0005-0000-0000-0000A2010000}"/>
    <cellStyle name="20% - Accent2 2 3 2 5" xfId="2871" xr:uid="{00000000-0005-0000-0000-0000A3010000}"/>
    <cellStyle name="20% - Accent2 2 3 2 6" xfId="4158" xr:uid="{00000000-0005-0000-0000-0000A4010000}"/>
    <cellStyle name="20% - Accent2 2 3 3" xfId="514" xr:uid="{00000000-0005-0000-0000-0000A5010000}"/>
    <cellStyle name="20% - Accent2 2 3 3 2" xfId="1806" xr:uid="{00000000-0005-0000-0000-0000A6010000}"/>
    <cellStyle name="20% - Accent2 2 3 3 3" xfId="3084" xr:uid="{00000000-0005-0000-0000-0000A7010000}"/>
    <cellStyle name="20% - Accent2 2 3 3 4" xfId="4371" xr:uid="{00000000-0005-0000-0000-0000A8010000}"/>
    <cellStyle name="20% - Accent2 2 3 4" xfId="940" xr:uid="{00000000-0005-0000-0000-0000A9010000}"/>
    <cellStyle name="20% - Accent2 2 3 4 2" xfId="2232" xr:uid="{00000000-0005-0000-0000-0000AA010000}"/>
    <cellStyle name="20% - Accent2 2 3 4 3" xfId="3510" xr:uid="{00000000-0005-0000-0000-0000AB010000}"/>
    <cellStyle name="20% - Accent2 2 3 4 4" xfId="4797" xr:uid="{00000000-0005-0000-0000-0000AC010000}"/>
    <cellStyle name="20% - Accent2 2 3 5" xfId="1380" xr:uid="{00000000-0005-0000-0000-0000AD010000}"/>
    <cellStyle name="20% - Accent2 2 3 6" xfId="2658" xr:uid="{00000000-0005-0000-0000-0000AE010000}"/>
    <cellStyle name="20% - Accent2 2 3 7" xfId="3945" xr:uid="{00000000-0005-0000-0000-0000AF010000}"/>
    <cellStyle name="20% - Accent2 2 3 8" xfId="5219" xr:uid="{00000000-0005-0000-0000-0000B0010000}"/>
    <cellStyle name="20% - Accent2 2 4" xfId="97" xr:uid="{00000000-0005-0000-0000-0000B1010000}"/>
    <cellStyle name="20% - Accent2 2 4 2" xfId="302" xr:uid="{00000000-0005-0000-0000-0000B2010000}"/>
    <cellStyle name="20% - Accent2 2 4 2 2" xfId="728" xr:uid="{00000000-0005-0000-0000-0000B3010000}"/>
    <cellStyle name="20% - Accent2 2 4 2 2 2" xfId="2020" xr:uid="{00000000-0005-0000-0000-0000B4010000}"/>
    <cellStyle name="20% - Accent2 2 4 2 2 3" xfId="3298" xr:uid="{00000000-0005-0000-0000-0000B5010000}"/>
    <cellStyle name="20% - Accent2 2 4 2 2 4" xfId="4585" xr:uid="{00000000-0005-0000-0000-0000B6010000}"/>
    <cellStyle name="20% - Accent2 2 4 2 3" xfId="1154" xr:uid="{00000000-0005-0000-0000-0000B7010000}"/>
    <cellStyle name="20% - Accent2 2 4 2 3 2" xfId="2446" xr:uid="{00000000-0005-0000-0000-0000B8010000}"/>
    <cellStyle name="20% - Accent2 2 4 2 3 3" xfId="3724" xr:uid="{00000000-0005-0000-0000-0000B9010000}"/>
    <cellStyle name="20% - Accent2 2 4 2 3 4" xfId="5011" xr:uid="{00000000-0005-0000-0000-0000BA010000}"/>
    <cellStyle name="20% - Accent2 2 4 2 4" xfId="1594" xr:uid="{00000000-0005-0000-0000-0000BB010000}"/>
    <cellStyle name="20% - Accent2 2 4 2 5" xfId="2872" xr:uid="{00000000-0005-0000-0000-0000BC010000}"/>
    <cellStyle name="20% - Accent2 2 4 2 6" xfId="4159" xr:uid="{00000000-0005-0000-0000-0000BD010000}"/>
    <cellStyle name="20% - Accent2 2 4 3" xfId="515" xr:uid="{00000000-0005-0000-0000-0000BE010000}"/>
    <cellStyle name="20% - Accent2 2 4 3 2" xfId="1807" xr:uid="{00000000-0005-0000-0000-0000BF010000}"/>
    <cellStyle name="20% - Accent2 2 4 3 3" xfId="3085" xr:uid="{00000000-0005-0000-0000-0000C0010000}"/>
    <cellStyle name="20% - Accent2 2 4 3 4" xfId="4372" xr:uid="{00000000-0005-0000-0000-0000C1010000}"/>
    <cellStyle name="20% - Accent2 2 4 4" xfId="941" xr:uid="{00000000-0005-0000-0000-0000C2010000}"/>
    <cellStyle name="20% - Accent2 2 4 4 2" xfId="2233" xr:uid="{00000000-0005-0000-0000-0000C3010000}"/>
    <cellStyle name="20% - Accent2 2 4 4 3" xfId="3511" xr:uid="{00000000-0005-0000-0000-0000C4010000}"/>
    <cellStyle name="20% - Accent2 2 4 4 4" xfId="4798" xr:uid="{00000000-0005-0000-0000-0000C5010000}"/>
    <cellStyle name="20% - Accent2 2 4 5" xfId="1381" xr:uid="{00000000-0005-0000-0000-0000C6010000}"/>
    <cellStyle name="20% - Accent2 2 4 6" xfId="2659" xr:uid="{00000000-0005-0000-0000-0000C7010000}"/>
    <cellStyle name="20% - Accent2 2 4 7" xfId="3946" xr:uid="{00000000-0005-0000-0000-0000C8010000}"/>
    <cellStyle name="20% - Accent2 2 5" xfId="98" xr:uid="{00000000-0005-0000-0000-0000C9010000}"/>
    <cellStyle name="20% - Accent2 2 5 2" xfId="303" xr:uid="{00000000-0005-0000-0000-0000CA010000}"/>
    <cellStyle name="20% - Accent2 2 5 2 2" xfId="729" xr:uid="{00000000-0005-0000-0000-0000CB010000}"/>
    <cellStyle name="20% - Accent2 2 5 2 2 2" xfId="2021" xr:uid="{00000000-0005-0000-0000-0000CC010000}"/>
    <cellStyle name="20% - Accent2 2 5 2 2 3" xfId="3299" xr:uid="{00000000-0005-0000-0000-0000CD010000}"/>
    <cellStyle name="20% - Accent2 2 5 2 2 4" xfId="4586" xr:uid="{00000000-0005-0000-0000-0000CE010000}"/>
    <cellStyle name="20% - Accent2 2 5 2 3" xfId="1155" xr:uid="{00000000-0005-0000-0000-0000CF010000}"/>
    <cellStyle name="20% - Accent2 2 5 2 3 2" xfId="2447" xr:uid="{00000000-0005-0000-0000-0000D0010000}"/>
    <cellStyle name="20% - Accent2 2 5 2 3 3" xfId="3725" xr:uid="{00000000-0005-0000-0000-0000D1010000}"/>
    <cellStyle name="20% - Accent2 2 5 2 3 4" xfId="5012" xr:uid="{00000000-0005-0000-0000-0000D2010000}"/>
    <cellStyle name="20% - Accent2 2 5 2 4" xfId="1595" xr:uid="{00000000-0005-0000-0000-0000D3010000}"/>
    <cellStyle name="20% - Accent2 2 5 2 5" xfId="2873" xr:uid="{00000000-0005-0000-0000-0000D4010000}"/>
    <cellStyle name="20% - Accent2 2 5 2 6" xfId="4160" xr:uid="{00000000-0005-0000-0000-0000D5010000}"/>
    <cellStyle name="20% - Accent2 2 5 3" xfId="516" xr:uid="{00000000-0005-0000-0000-0000D6010000}"/>
    <cellStyle name="20% - Accent2 2 5 3 2" xfId="1808" xr:uid="{00000000-0005-0000-0000-0000D7010000}"/>
    <cellStyle name="20% - Accent2 2 5 3 3" xfId="3086" xr:uid="{00000000-0005-0000-0000-0000D8010000}"/>
    <cellStyle name="20% - Accent2 2 5 3 4" xfId="4373" xr:uid="{00000000-0005-0000-0000-0000D9010000}"/>
    <cellStyle name="20% - Accent2 2 5 4" xfId="942" xr:uid="{00000000-0005-0000-0000-0000DA010000}"/>
    <cellStyle name="20% - Accent2 2 5 4 2" xfId="2234" xr:uid="{00000000-0005-0000-0000-0000DB010000}"/>
    <cellStyle name="20% - Accent2 2 5 4 3" xfId="3512" xr:uid="{00000000-0005-0000-0000-0000DC010000}"/>
    <cellStyle name="20% - Accent2 2 5 4 4" xfId="4799" xr:uid="{00000000-0005-0000-0000-0000DD010000}"/>
    <cellStyle name="20% - Accent2 2 5 5" xfId="1382" xr:uid="{00000000-0005-0000-0000-0000DE010000}"/>
    <cellStyle name="20% - Accent2 2 5 6" xfId="2660" xr:uid="{00000000-0005-0000-0000-0000DF010000}"/>
    <cellStyle name="20% - Accent2 2 5 7" xfId="3947" xr:uid="{00000000-0005-0000-0000-0000E0010000}"/>
    <cellStyle name="20% - Accent2 2 6" xfId="272" xr:uid="{00000000-0005-0000-0000-0000E1010000}"/>
    <cellStyle name="20% - Accent2 2 6 2" xfId="485" xr:uid="{00000000-0005-0000-0000-0000E2010000}"/>
    <cellStyle name="20% - Accent2 2 6 2 2" xfId="910" xr:uid="{00000000-0005-0000-0000-0000E3010000}"/>
    <cellStyle name="20% - Accent2 2 6 2 2 2" xfId="2202" xr:uid="{00000000-0005-0000-0000-0000E4010000}"/>
    <cellStyle name="20% - Accent2 2 6 2 2 3" xfId="3480" xr:uid="{00000000-0005-0000-0000-0000E5010000}"/>
    <cellStyle name="20% - Accent2 2 6 2 2 4" xfId="4767" xr:uid="{00000000-0005-0000-0000-0000E6010000}"/>
    <cellStyle name="20% - Accent2 2 6 2 3" xfId="1336" xr:uid="{00000000-0005-0000-0000-0000E7010000}"/>
    <cellStyle name="20% - Accent2 2 6 2 3 2" xfId="2628" xr:uid="{00000000-0005-0000-0000-0000E8010000}"/>
    <cellStyle name="20% - Accent2 2 6 2 3 3" xfId="3906" xr:uid="{00000000-0005-0000-0000-0000E9010000}"/>
    <cellStyle name="20% - Accent2 2 6 2 3 4" xfId="5193" xr:uid="{00000000-0005-0000-0000-0000EA010000}"/>
    <cellStyle name="20% - Accent2 2 6 2 4" xfId="1776" xr:uid="{00000000-0005-0000-0000-0000EB010000}"/>
    <cellStyle name="20% - Accent2 2 6 2 5" xfId="3054" xr:uid="{00000000-0005-0000-0000-0000EC010000}"/>
    <cellStyle name="20% - Accent2 2 6 2 6" xfId="4341" xr:uid="{00000000-0005-0000-0000-0000ED010000}"/>
    <cellStyle name="20% - Accent2 2 6 3" xfId="697" xr:uid="{00000000-0005-0000-0000-0000EE010000}"/>
    <cellStyle name="20% - Accent2 2 6 3 2" xfId="1989" xr:uid="{00000000-0005-0000-0000-0000EF010000}"/>
    <cellStyle name="20% - Accent2 2 6 3 3" xfId="3267" xr:uid="{00000000-0005-0000-0000-0000F0010000}"/>
    <cellStyle name="20% - Accent2 2 6 3 4" xfId="4554" xr:uid="{00000000-0005-0000-0000-0000F1010000}"/>
    <cellStyle name="20% - Accent2 2 6 4" xfId="1123" xr:uid="{00000000-0005-0000-0000-0000F2010000}"/>
    <cellStyle name="20% - Accent2 2 6 4 2" xfId="2415" xr:uid="{00000000-0005-0000-0000-0000F3010000}"/>
    <cellStyle name="20% - Accent2 2 6 4 3" xfId="3693" xr:uid="{00000000-0005-0000-0000-0000F4010000}"/>
    <cellStyle name="20% - Accent2 2 6 4 4" xfId="4980" xr:uid="{00000000-0005-0000-0000-0000F5010000}"/>
    <cellStyle name="20% - Accent2 2 6 5" xfId="1563" xr:uid="{00000000-0005-0000-0000-0000F6010000}"/>
    <cellStyle name="20% - Accent2 2 6 6" xfId="2841" xr:uid="{00000000-0005-0000-0000-0000F7010000}"/>
    <cellStyle name="20% - Accent2 2 6 7" xfId="4128" xr:uid="{00000000-0005-0000-0000-0000F8010000}"/>
    <cellStyle name="20% - Accent2 2 7" xfId="298" xr:uid="{00000000-0005-0000-0000-0000F9010000}"/>
    <cellStyle name="20% - Accent2 2 7 2" xfId="724" xr:uid="{00000000-0005-0000-0000-0000FA010000}"/>
    <cellStyle name="20% - Accent2 2 7 2 2" xfId="2016" xr:uid="{00000000-0005-0000-0000-0000FB010000}"/>
    <cellStyle name="20% - Accent2 2 7 2 3" xfId="3294" xr:uid="{00000000-0005-0000-0000-0000FC010000}"/>
    <cellStyle name="20% - Accent2 2 7 2 4" xfId="4581" xr:uid="{00000000-0005-0000-0000-0000FD010000}"/>
    <cellStyle name="20% - Accent2 2 7 3" xfId="1150" xr:uid="{00000000-0005-0000-0000-0000FE010000}"/>
    <cellStyle name="20% - Accent2 2 7 3 2" xfId="2442" xr:uid="{00000000-0005-0000-0000-0000FF010000}"/>
    <cellStyle name="20% - Accent2 2 7 3 3" xfId="3720" xr:uid="{00000000-0005-0000-0000-000000020000}"/>
    <cellStyle name="20% - Accent2 2 7 3 4" xfId="5007" xr:uid="{00000000-0005-0000-0000-000001020000}"/>
    <cellStyle name="20% - Accent2 2 7 4" xfId="1590" xr:uid="{00000000-0005-0000-0000-000002020000}"/>
    <cellStyle name="20% - Accent2 2 7 5" xfId="2868" xr:uid="{00000000-0005-0000-0000-000003020000}"/>
    <cellStyle name="20% - Accent2 2 7 6" xfId="4155" xr:uid="{00000000-0005-0000-0000-000004020000}"/>
    <cellStyle name="20% - Accent2 2 8" xfId="511" xr:uid="{00000000-0005-0000-0000-000005020000}"/>
    <cellStyle name="20% - Accent2 2 8 2" xfId="1803" xr:uid="{00000000-0005-0000-0000-000006020000}"/>
    <cellStyle name="20% - Accent2 2 8 3" xfId="3081" xr:uid="{00000000-0005-0000-0000-000007020000}"/>
    <cellStyle name="20% - Accent2 2 8 4" xfId="4368" xr:uid="{00000000-0005-0000-0000-000008020000}"/>
    <cellStyle name="20% - Accent2 2 9" xfId="937" xr:uid="{00000000-0005-0000-0000-000009020000}"/>
    <cellStyle name="20% - Accent2 2 9 2" xfId="2229" xr:uid="{00000000-0005-0000-0000-00000A020000}"/>
    <cellStyle name="20% - Accent2 2 9 3" xfId="3507" xr:uid="{00000000-0005-0000-0000-00000B020000}"/>
    <cellStyle name="20% - Accent2 2 9 4" xfId="4794" xr:uid="{00000000-0005-0000-0000-00000C020000}"/>
    <cellStyle name="20% - Accent2 3" xfId="99" xr:uid="{00000000-0005-0000-0000-00000D020000}"/>
    <cellStyle name="20% - Accent2 3 2" xfId="100" xr:uid="{00000000-0005-0000-0000-00000E020000}"/>
    <cellStyle name="20% - Accent2 3 2 2" xfId="305" xr:uid="{00000000-0005-0000-0000-00000F020000}"/>
    <cellStyle name="20% - Accent2 3 2 2 2" xfId="731" xr:uid="{00000000-0005-0000-0000-000010020000}"/>
    <cellStyle name="20% - Accent2 3 2 2 2 2" xfId="2023" xr:uid="{00000000-0005-0000-0000-000011020000}"/>
    <cellStyle name="20% - Accent2 3 2 2 2 3" xfId="3301" xr:uid="{00000000-0005-0000-0000-000012020000}"/>
    <cellStyle name="20% - Accent2 3 2 2 2 4" xfId="4588" xr:uid="{00000000-0005-0000-0000-000013020000}"/>
    <cellStyle name="20% - Accent2 3 2 2 3" xfId="1157" xr:uid="{00000000-0005-0000-0000-000014020000}"/>
    <cellStyle name="20% - Accent2 3 2 2 3 2" xfId="2449" xr:uid="{00000000-0005-0000-0000-000015020000}"/>
    <cellStyle name="20% - Accent2 3 2 2 3 3" xfId="3727" xr:uid="{00000000-0005-0000-0000-000016020000}"/>
    <cellStyle name="20% - Accent2 3 2 2 3 4" xfId="5014" xr:uid="{00000000-0005-0000-0000-000017020000}"/>
    <cellStyle name="20% - Accent2 3 2 2 4" xfId="1597" xr:uid="{00000000-0005-0000-0000-000018020000}"/>
    <cellStyle name="20% - Accent2 3 2 2 5" xfId="2875" xr:uid="{00000000-0005-0000-0000-000019020000}"/>
    <cellStyle name="20% - Accent2 3 2 2 6" xfId="4162" xr:uid="{00000000-0005-0000-0000-00001A020000}"/>
    <cellStyle name="20% - Accent2 3 2 3" xfId="518" xr:uid="{00000000-0005-0000-0000-00001B020000}"/>
    <cellStyle name="20% - Accent2 3 2 3 2" xfId="1810" xr:uid="{00000000-0005-0000-0000-00001C020000}"/>
    <cellStyle name="20% - Accent2 3 2 3 3" xfId="3088" xr:uid="{00000000-0005-0000-0000-00001D020000}"/>
    <cellStyle name="20% - Accent2 3 2 3 4" xfId="4375" xr:uid="{00000000-0005-0000-0000-00001E020000}"/>
    <cellStyle name="20% - Accent2 3 2 4" xfId="944" xr:uid="{00000000-0005-0000-0000-00001F020000}"/>
    <cellStyle name="20% - Accent2 3 2 4 2" xfId="2236" xr:uid="{00000000-0005-0000-0000-000020020000}"/>
    <cellStyle name="20% - Accent2 3 2 4 3" xfId="3514" xr:uid="{00000000-0005-0000-0000-000021020000}"/>
    <cellStyle name="20% - Accent2 3 2 4 4" xfId="4801" xr:uid="{00000000-0005-0000-0000-000022020000}"/>
    <cellStyle name="20% - Accent2 3 2 5" xfId="1384" xr:uid="{00000000-0005-0000-0000-000023020000}"/>
    <cellStyle name="20% - Accent2 3 2 6" xfId="2662" xr:uid="{00000000-0005-0000-0000-000024020000}"/>
    <cellStyle name="20% - Accent2 3 2 7" xfId="3949" xr:uid="{00000000-0005-0000-0000-000025020000}"/>
    <cellStyle name="20% - Accent2 3 2 8" xfId="5221" xr:uid="{00000000-0005-0000-0000-000026020000}"/>
    <cellStyle name="20% - Accent2 3 3" xfId="304" xr:uid="{00000000-0005-0000-0000-000027020000}"/>
    <cellStyle name="20% - Accent2 3 3 2" xfId="730" xr:uid="{00000000-0005-0000-0000-000028020000}"/>
    <cellStyle name="20% - Accent2 3 3 2 2" xfId="2022" xr:uid="{00000000-0005-0000-0000-000029020000}"/>
    <cellStyle name="20% - Accent2 3 3 2 3" xfId="3300" xr:uid="{00000000-0005-0000-0000-00002A020000}"/>
    <cellStyle name="20% - Accent2 3 3 2 4" xfId="4587" xr:uid="{00000000-0005-0000-0000-00002B020000}"/>
    <cellStyle name="20% - Accent2 3 3 3" xfId="1156" xr:uid="{00000000-0005-0000-0000-00002C020000}"/>
    <cellStyle name="20% - Accent2 3 3 3 2" xfId="2448" xr:uid="{00000000-0005-0000-0000-00002D020000}"/>
    <cellStyle name="20% - Accent2 3 3 3 3" xfId="3726" xr:uid="{00000000-0005-0000-0000-00002E020000}"/>
    <cellStyle name="20% - Accent2 3 3 3 4" xfId="5013" xr:uid="{00000000-0005-0000-0000-00002F020000}"/>
    <cellStyle name="20% - Accent2 3 3 4" xfId="1596" xr:uid="{00000000-0005-0000-0000-000030020000}"/>
    <cellStyle name="20% - Accent2 3 3 5" xfId="2874" xr:uid="{00000000-0005-0000-0000-000031020000}"/>
    <cellStyle name="20% - Accent2 3 3 6" xfId="4161" xr:uid="{00000000-0005-0000-0000-000032020000}"/>
    <cellStyle name="20% - Accent2 3 4" xfId="517" xr:uid="{00000000-0005-0000-0000-000033020000}"/>
    <cellStyle name="20% - Accent2 3 4 2" xfId="1809" xr:uid="{00000000-0005-0000-0000-000034020000}"/>
    <cellStyle name="20% - Accent2 3 4 3" xfId="3087" xr:uid="{00000000-0005-0000-0000-000035020000}"/>
    <cellStyle name="20% - Accent2 3 4 4" xfId="4374" xr:uid="{00000000-0005-0000-0000-000036020000}"/>
    <cellStyle name="20% - Accent2 3 5" xfId="943" xr:uid="{00000000-0005-0000-0000-000037020000}"/>
    <cellStyle name="20% - Accent2 3 5 2" xfId="2235" xr:uid="{00000000-0005-0000-0000-000038020000}"/>
    <cellStyle name="20% - Accent2 3 5 3" xfId="3513" xr:uid="{00000000-0005-0000-0000-000039020000}"/>
    <cellStyle name="20% - Accent2 3 5 4" xfId="4800" xr:uid="{00000000-0005-0000-0000-00003A020000}"/>
    <cellStyle name="20% - Accent2 3 6" xfId="1383" xr:uid="{00000000-0005-0000-0000-00003B020000}"/>
    <cellStyle name="20% - Accent2 3 7" xfId="2661" xr:uid="{00000000-0005-0000-0000-00003C020000}"/>
    <cellStyle name="20% - Accent2 3 8" xfId="3948" xr:uid="{00000000-0005-0000-0000-00003D020000}"/>
    <cellStyle name="20% - Accent2 3 9" xfId="5220" xr:uid="{00000000-0005-0000-0000-00003E020000}"/>
    <cellStyle name="20% - Accent2 4" xfId="101" xr:uid="{00000000-0005-0000-0000-00003F020000}"/>
    <cellStyle name="20% - Accent2 4 2" xfId="306" xr:uid="{00000000-0005-0000-0000-000040020000}"/>
    <cellStyle name="20% - Accent2 4 2 2" xfId="732" xr:uid="{00000000-0005-0000-0000-000041020000}"/>
    <cellStyle name="20% - Accent2 4 2 2 2" xfId="2024" xr:uid="{00000000-0005-0000-0000-000042020000}"/>
    <cellStyle name="20% - Accent2 4 2 2 3" xfId="3302" xr:uid="{00000000-0005-0000-0000-000043020000}"/>
    <cellStyle name="20% - Accent2 4 2 2 4" xfId="4589" xr:uid="{00000000-0005-0000-0000-000044020000}"/>
    <cellStyle name="20% - Accent2 4 2 3" xfId="1158" xr:uid="{00000000-0005-0000-0000-000045020000}"/>
    <cellStyle name="20% - Accent2 4 2 3 2" xfId="2450" xr:uid="{00000000-0005-0000-0000-000046020000}"/>
    <cellStyle name="20% - Accent2 4 2 3 3" xfId="3728" xr:uid="{00000000-0005-0000-0000-000047020000}"/>
    <cellStyle name="20% - Accent2 4 2 3 4" xfId="5015" xr:uid="{00000000-0005-0000-0000-000048020000}"/>
    <cellStyle name="20% - Accent2 4 2 4" xfId="1598" xr:uid="{00000000-0005-0000-0000-000049020000}"/>
    <cellStyle name="20% - Accent2 4 2 5" xfId="2876" xr:uid="{00000000-0005-0000-0000-00004A020000}"/>
    <cellStyle name="20% - Accent2 4 2 6" xfId="4163" xr:uid="{00000000-0005-0000-0000-00004B020000}"/>
    <cellStyle name="20% - Accent2 4 3" xfId="519" xr:uid="{00000000-0005-0000-0000-00004C020000}"/>
    <cellStyle name="20% - Accent2 4 3 2" xfId="1811" xr:uid="{00000000-0005-0000-0000-00004D020000}"/>
    <cellStyle name="20% - Accent2 4 3 3" xfId="3089" xr:uid="{00000000-0005-0000-0000-00004E020000}"/>
    <cellStyle name="20% - Accent2 4 3 4" xfId="4376" xr:uid="{00000000-0005-0000-0000-00004F020000}"/>
    <cellStyle name="20% - Accent2 4 4" xfId="945" xr:uid="{00000000-0005-0000-0000-000050020000}"/>
    <cellStyle name="20% - Accent2 4 4 2" xfId="2237" xr:uid="{00000000-0005-0000-0000-000051020000}"/>
    <cellStyle name="20% - Accent2 4 4 3" xfId="3515" xr:uid="{00000000-0005-0000-0000-000052020000}"/>
    <cellStyle name="20% - Accent2 4 4 4" xfId="4802" xr:uid="{00000000-0005-0000-0000-000053020000}"/>
    <cellStyle name="20% - Accent2 4 5" xfId="1385" xr:uid="{00000000-0005-0000-0000-000054020000}"/>
    <cellStyle name="20% - Accent2 4 6" xfId="2663" xr:uid="{00000000-0005-0000-0000-000055020000}"/>
    <cellStyle name="20% - Accent2 4 7" xfId="3950" xr:uid="{00000000-0005-0000-0000-000056020000}"/>
    <cellStyle name="20% - Accent2 4 8" xfId="5222" xr:uid="{00000000-0005-0000-0000-000057020000}"/>
    <cellStyle name="20% - Accent2 5" xfId="102" xr:uid="{00000000-0005-0000-0000-000058020000}"/>
    <cellStyle name="20% - Accent2 5 2" xfId="307" xr:uid="{00000000-0005-0000-0000-000059020000}"/>
    <cellStyle name="20% - Accent2 5 2 2" xfId="733" xr:uid="{00000000-0005-0000-0000-00005A020000}"/>
    <cellStyle name="20% - Accent2 5 2 2 2" xfId="2025" xr:uid="{00000000-0005-0000-0000-00005B020000}"/>
    <cellStyle name="20% - Accent2 5 2 2 3" xfId="3303" xr:uid="{00000000-0005-0000-0000-00005C020000}"/>
    <cellStyle name="20% - Accent2 5 2 2 4" xfId="4590" xr:uid="{00000000-0005-0000-0000-00005D020000}"/>
    <cellStyle name="20% - Accent2 5 2 3" xfId="1159" xr:uid="{00000000-0005-0000-0000-00005E020000}"/>
    <cellStyle name="20% - Accent2 5 2 3 2" xfId="2451" xr:uid="{00000000-0005-0000-0000-00005F020000}"/>
    <cellStyle name="20% - Accent2 5 2 3 3" xfId="3729" xr:uid="{00000000-0005-0000-0000-000060020000}"/>
    <cellStyle name="20% - Accent2 5 2 3 4" xfId="5016" xr:uid="{00000000-0005-0000-0000-000061020000}"/>
    <cellStyle name="20% - Accent2 5 2 4" xfId="1599" xr:uid="{00000000-0005-0000-0000-000062020000}"/>
    <cellStyle name="20% - Accent2 5 2 5" xfId="2877" xr:uid="{00000000-0005-0000-0000-000063020000}"/>
    <cellStyle name="20% - Accent2 5 2 6" xfId="4164" xr:uid="{00000000-0005-0000-0000-000064020000}"/>
    <cellStyle name="20% - Accent2 5 3" xfId="520" xr:uid="{00000000-0005-0000-0000-000065020000}"/>
    <cellStyle name="20% - Accent2 5 3 2" xfId="1812" xr:uid="{00000000-0005-0000-0000-000066020000}"/>
    <cellStyle name="20% - Accent2 5 3 3" xfId="3090" xr:uid="{00000000-0005-0000-0000-000067020000}"/>
    <cellStyle name="20% - Accent2 5 3 4" xfId="4377" xr:uid="{00000000-0005-0000-0000-000068020000}"/>
    <cellStyle name="20% - Accent2 5 4" xfId="946" xr:uid="{00000000-0005-0000-0000-000069020000}"/>
    <cellStyle name="20% - Accent2 5 4 2" xfId="2238" xr:uid="{00000000-0005-0000-0000-00006A020000}"/>
    <cellStyle name="20% - Accent2 5 4 3" xfId="3516" xr:uid="{00000000-0005-0000-0000-00006B020000}"/>
    <cellStyle name="20% - Accent2 5 4 4" xfId="4803" xr:uid="{00000000-0005-0000-0000-00006C020000}"/>
    <cellStyle name="20% - Accent2 5 5" xfId="1386" xr:uid="{00000000-0005-0000-0000-00006D020000}"/>
    <cellStyle name="20% - Accent2 5 6" xfId="2664" xr:uid="{00000000-0005-0000-0000-00006E020000}"/>
    <cellStyle name="20% - Accent2 5 7" xfId="3951" xr:uid="{00000000-0005-0000-0000-00006F020000}"/>
    <cellStyle name="20% - Accent2 6" xfId="103" xr:uid="{00000000-0005-0000-0000-000070020000}"/>
    <cellStyle name="20% - Accent2 6 2" xfId="308" xr:uid="{00000000-0005-0000-0000-000071020000}"/>
    <cellStyle name="20% - Accent2 6 2 2" xfId="734" xr:uid="{00000000-0005-0000-0000-000072020000}"/>
    <cellStyle name="20% - Accent2 6 2 2 2" xfId="2026" xr:uid="{00000000-0005-0000-0000-000073020000}"/>
    <cellStyle name="20% - Accent2 6 2 2 3" xfId="3304" xr:uid="{00000000-0005-0000-0000-000074020000}"/>
    <cellStyle name="20% - Accent2 6 2 2 4" xfId="4591" xr:uid="{00000000-0005-0000-0000-000075020000}"/>
    <cellStyle name="20% - Accent2 6 2 3" xfId="1160" xr:uid="{00000000-0005-0000-0000-000076020000}"/>
    <cellStyle name="20% - Accent2 6 2 3 2" xfId="2452" xr:uid="{00000000-0005-0000-0000-000077020000}"/>
    <cellStyle name="20% - Accent2 6 2 3 3" xfId="3730" xr:uid="{00000000-0005-0000-0000-000078020000}"/>
    <cellStyle name="20% - Accent2 6 2 3 4" xfId="5017" xr:uid="{00000000-0005-0000-0000-000079020000}"/>
    <cellStyle name="20% - Accent2 6 2 4" xfId="1600" xr:uid="{00000000-0005-0000-0000-00007A020000}"/>
    <cellStyle name="20% - Accent2 6 2 5" xfId="2878" xr:uid="{00000000-0005-0000-0000-00007B020000}"/>
    <cellStyle name="20% - Accent2 6 2 6" xfId="4165" xr:uid="{00000000-0005-0000-0000-00007C020000}"/>
    <cellStyle name="20% - Accent2 6 3" xfId="521" xr:uid="{00000000-0005-0000-0000-00007D020000}"/>
    <cellStyle name="20% - Accent2 6 3 2" xfId="1813" xr:uid="{00000000-0005-0000-0000-00007E020000}"/>
    <cellStyle name="20% - Accent2 6 3 3" xfId="3091" xr:uid="{00000000-0005-0000-0000-00007F020000}"/>
    <cellStyle name="20% - Accent2 6 3 4" xfId="4378" xr:uid="{00000000-0005-0000-0000-000080020000}"/>
    <cellStyle name="20% - Accent2 6 4" xfId="947" xr:uid="{00000000-0005-0000-0000-000081020000}"/>
    <cellStyle name="20% - Accent2 6 4 2" xfId="2239" xr:uid="{00000000-0005-0000-0000-000082020000}"/>
    <cellStyle name="20% - Accent2 6 4 3" xfId="3517" xr:uid="{00000000-0005-0000-0000-000083020000}"/>
    <cellStyle name="20% - Accent2 6 4 4" xfId="4804" xr:uid="{00000000-0005-0000-0000-000084020000}"/>
    <cellStyle name="20% - Accent2 6 5" xfId="1387" xr:uid="{00000000-0005-0000-0000-000085020000}"/>
    <cellStyle name="20% - Accent2 6 6" xfId="2665" xr:uid="{00000000-0005-0000-0000-000086020000}"/>
    <cellStyle name="20% - Accent2 6 7" xfId="3952" xr:uid="{00000000-0005-0000-0000-000087020000}"/>
    <cellStyle name="20% - Accent2 7" xfId="256" xr:uid="{00000000-0005-0000-0000-000088020000}"/>
    <cellStyle name="20% - Accent2 7 2" xfId="469" xr:uid="{00000000-0005-0000-0000-000089020000}"/>
    <cellStyle name="20% - Accent2 7 2 2" xfId="894" xr:uid="{00000000-0005-0000-0000-00008A020000}"/>
    <cellStyle name="20% - Accent2 7 2 2 2" xfId="2186" xr:uid="{00000000-0005-0000-0000-00008B020000}"/>
    <cellStyle name="20% - Accent2 7 2 2 3" xfId="3464" xr:uid="{00000000-0005-0000-0000-00008C020000}"/>
    <cellStyle name="20% - Accent2 7 2 2 4" xfId="4751" xr:uid="{00000000-0005-0000-0000-00008D020000}"/>
    <cellStyle name="20% - Accent2 7 2 3" xfId="1320" xr:uid="{00000000-0005-0000-0000-00008E020000}"/>
    <cellStyle name="20% - Accent2 7 2 3 2" xfId="2612" xr:uid="{00000000-0005-0000-0000-00008F020000}"/>
    <cellStyle name="20% - Accent2 7 2 3 3" xfId="3890" xr:uid="{00000000-0005-0000-0000-000090020000}"/>
    <cellStyle name="20% - Accent2 7 2 3 4" xfId="5177" xr:uid="{00000000-0005-0000-0000-000091020000}"/>
    <cellStyle name="20% - Accent2 7 2 4" xfId="1760" xr:uid="{00000000-0005-0000-0000-000092020000}"/>
    <cellStyle name="20% - Accent2 7 2 5" xfId="3038" xr:uid="{00000000-0005-0000-0000-000093020000}"/>
    <cellStyle name="20% - Accent2 7 2 6" xfId="4325" xr:uid="{00000000-0005-0000-0000-000094020000}"/>
    <cellStyle name="20% - Accent2 7 3" xfId="681" xr:uid="{00000000-0005-0000-0000-000095020000}"/>
    <cellStyle name="20% - Accent2 7 3 2" xfId="1973" xr:uid="{00000000-0005-0000-0000-000096020000}"/>
    <cellStyle name="20% - Accent2 7 3 3" xfId="3251" xr:uid="{00000000-0005-0000-0000-000097020000}"/>
    <cellStyle name="20% - Accent2 7 3 4" xfId="4538" xr:uid="{00000000-0005-0000-0000-000098020000}"/>
    <cellStyle name="20% - Accent2 7 4" xfId="1107" xr:uid="{00000000-0005-0000-0000-000099020000}"/>
    <cellStyle name="20% - Accent2 7 4 2" xfId="2399" xr:uid="{00000000-0005-0000-0000-00009A020000}"/>
    <cellStyle name="20% - Accent2 7 4 3" xfId="3677" xr:uid="{00000000-0005-0000-0000-00009B020000}"/>
    <cellStyle name="20% - Accent2 7 4 4" xfId="4964" xr:uid="{00000000-0005-0000-0000-00009C020000}"/>
    <cellStyle name="20% - Accent2 7 5" xfId="1547" xr:uid="{00000000-0005-0000-0000-00009D020000}"/>
    <cellStyle name="20% - Accent2 7 6" xfId="2825" xr:uid="{00000000-0005-0000-0000-00009E020000}"/>
    <cellStyle name="20% - Accent2 7 7" xfId="4112" xr:uid="{00000000-0005-0000-0000-00009F020000}"/>
    <cellStyle name="20% - Accent2 8" xfId="297" xr:uid="{00000000-0005-0000-0000-0000A0020000}"/>
    <cellStyle name="20% - Accent2 8 2" xfId="723" xr:uid="{00000000-0005-0000-0000-0000A1020000}"/>
    <cellStyle name="20% - Accent2 8 2 2" xfId="2015" xr:uid="{00000000-0005-0000-0000-0000A2020000}"/>
    <cellStyle name="20% - Accent2 8 2 3" xfId="3293" xr:uid="{00000000-0005-0000-0000-0000A3020000}"/>
    <cellStyle name="20% - Accent2 8 2 4" xfId="4580" xr:uid="{00000000-0005-0000-0000-0000A4020000}"/>
    <cellStyle name="20% - Accent2 8 3" xfId="1149" xr:uid="{00000000-0005-0000-0000-0000A5020000}"/>
    <cellStyle name="20% - Accent2 8 3 2" xfId="2441" xr:uid="{00000000-0005-0000-0000-0000A6020000}"/>
    <cellStyle name="20% - Accent2 8 3 3" xfId="3719" xr:uid="{00000000-0005-0000-0000-0000A7020000}"/>
    <cellStyle name="20% - Accent2 8 3 4" xfId="5006" xr:uid="{00000000-0005-0000-0000-0000A8020000}"/>
    <cellStyle name="20% - Accent2 8 4" xfId="1589" xr:uid="{00000000-0005-0000-0000-0000A9020000}"/>
    <cellStyle name="20% - Accent2 8 5" xfId="2867" xr:uid="{00000000-0005-0000-0000-0000AA020000}"/>
    <cellStyle name="20% - Accent2 8 6" xfId="4154" xr:uid="{00000000-0005-0000-0000-0000AB020000}"/>
    <cellStyle name="20% - Accent2 9" xfId="510" xr:uid="{00000000-0005-0000-0000-0000AC020000}"/>
    <cellStyle name="20% - Accent2 9 2" xfId="1802" xr:uid="{00000000-0005-0000-0000-0000AD020000}"/>
    <cellStyle name="20% - Accent2 9 3" xfId="3080" xr:uid="{00000000-0005-0000-0000-0000AE020000}"/>
    <cellStyle name="20% - Accent2 9 4" xfId="4367" xr:uid="{00000000-0005-0000-0000-0000AF020000}"/>
    <cellStyle name="20% - Accent3" xfId="67" builtinId="38" customBuiltin="1"/>
    <cellStyle name="20% - Accent3 10" xfId="948" xr:uid="{00000000-0005-0000-0000-0000B1020000}"/>
    <cellStyle name="20% - Accent3 10 2" xfId="2240" xr:uid="{00000000-0005-0000-0000-0000B2020000}"/>
    <cellStyle name="20% - Accent3 10 3" xfId="3518" xr:uid="{00000000-0005-0000-0000-0000B3020000}"/>
    <cellStyle name="20% - Accent3 10 4" xfId="4805" xr:uid="{00000000-0005-0000-0000-0000B4020000}"/>
    <cellStyle name="20% - Accent3 11" xfId="1388" xr:uid="{00000000-0005-0000-0000-0000B5020000}"/>
    <cellStyle name="20% - Accent3 12" xfId="2666" xr:uid="{00000000-0005-0000-0000-0000B6020000}"/>
    <cellStyle name="20% - Accent3 13" xfId="3953" xr:uid="{00000000-0005-0000-0000-0000B7020000}"/>
    <cellStyle name="20% - Accent3 14" xfId="5223" xr:uid="{00000000-0005-0000-0000-0000B8020000}"/>
    <cellStyle name="20% - Accent3 2" xfId="12" xr:uid="{00000000-0005-0000-0000-0000B9020000}"/>
    <cellStyle name="20% - Accent3 2 10" xfId="1389" xr:uid="{00000000-0005-0000-0000-0000BA020000}"/>
    <cellStyle name="20% - Accent3 2 11" xfId="2667" xr:uid="{00000000-0005-0000-0000-0000BB020000}"/>
    <cellStyle name="20% - Accent3 2 12" xfId="3954" xr:uid="{00000000-0005-0000-0000-0000BC020000}"/>
    <cellStyle name="20% - Accent3 2 13" xfId="5224" xr:uid="{00000000-0005-0000-0000-0000BD020000}"/>
    <cellStyle name="20% - Accent3 2 2" xfId="104" xr:uid="{00000000-0005-0000-0000-0000BE020000}"/>
    <cellStyle name="20% - Accent3 2 2 2" xfId="105" xr:uid="{00000000-0005-0000-0000-0000BF020000}"/>
    <cellStyle name="20% - Accent3 2 2 2 2" xfId="312" xr:uid="{00000000-0005-0000-0000-0000C0020000}"/>
    <cellStyle name="20% - Accent3 2 2 2 2 2" xfId="738" xr:uid="{00000000-0005-0000-0000-0000C1020000}"/>
    <cellStyle name="20% - Accent3 2 2 2 2 2 2" xfId="2030" xr:uid="{00000000-0005-0000-0000-0000C2020000}"/>
    <cellStyle name="20% - Accent3 2 2 2 2 2 3" xfId="3308" xr:uid="{00000000-0005-0000-0000-0000C3020000}"/>
    <cellStyle name="20% - Accent3 2 2 2 2 2 4" xfId="4595" xr:uid="{00000000-0005-0000-0000-0000C4020000}"/>
    <cellStyle name="20% - Accent3 2 2 2 2 3" xfId="1164" xr:uid="{00000000-0005-0000-0000-0000C5020000}"/>
    <cellStyle name="20% - Accent3 2 2 2 2 3 2" xfId="2456" xr:uid="{00000000-0005-0000-0000-0000C6020000}"/>
    <cellStyle name="20% - Accent3 2 2 2 2 3 3" xfId="3734" xr:uid="{00000000-0005-0000-0000-0000C7020000}"/>
    <cellStyle name="20% - Accent3 2 2 2 2 3 4" xfId="5021" xr:uid="{00000000-0005-0000-0000-0000C8020000}"/>
    <cellStyle name="20% - Accent3 2 2 2 2 4" xfId="1604" xr:uid="{00000000-0005-0000-0000-0000C9020000}"/>
    <cellStyle name="20% - Accent3 2 2 2 2 5" xfId="2882" xr:uid="{00000000-0005-0000-0000-0000CA020000}"/>
    <cellStyle name="20% - Accent3 2 2 2 2 6" xfId="4169" xr:uid="{00000000-0005-0000-0000-0000CB020000}"/>
    <cellStyle name="20% - Accent3 2 2 2 3" xfId="525" xr:uid="{00000000-0005-0000-0000-0000CC020000}"/>
    <cellStyle name="20% - Accent3 2 2 2 3 2" xfId="1817" xr:uid="{00000000-0005-0000-0000-0000CD020000}"/>
    <cellStyle name="20% - Accent3 2 2 2 3 3" xfId="3095" xr:uid="{00000000-0005-0000-0000-0000CE020000}"/>
    <cellStyle name="20% - Accent3 2 2 2 3 4" xfId="4382" xr:uid="{00000000-0005-0000-0000-0000CF020000}"/>
    <cellStyle name="20% - Accent3 2 2 2 4" xfId="951" xr:uid="{00000000-0005-0000-0000-0000D0020000}"/>
    <cellStyle name="20% - Accent3 2 2 2 4 2" xfId="2243" xr:uid="{00000000-0005-0000-0000-0000D1020000}"/>
    <cellStyle name="20% - Accent3 2 2 2 4 3" xfId="3521" xr:uid="{00000000-0005-0000-0000-0000D2020000}"/>
    <cellStyle name="20% - Accent3 2 2 2 4 4" xfId="4808" xr:uid="{00000000-0005-0000-0000-0000D3020000}"/>
    <cellStyle name="20% - Accent3 2 2 2 5" xfId="1391" xr:uid="{00000000-0005-0000-0000-0000D4020000}"/>
    <cellStyle name="20% - Accent3 2 2 2 6" xfId="2669" xr:uid="{00000000-0005-0000-0000-0000D5020000}"/>
    <cellStyle name="20% - Accent3 2 2 2 7" xfId="3956" xr:uid="{00000000-0005-0000-0000-0000D6020000}"/>
    <cellStyle name="20% - Accent3 2 2 2 8" xfId="5226" xr:uid="{00000000-0005-0000-0000-0000D7020000}"/>
    <cellStyle name="20% - Accent3 2 2 3" xfId="311" xr:uid="{00000000-0005-0000-0000-0000D8020000}"/>
    <cellStyle name="20% - Accent3 2 2 3 2" xfId="737" xr:uid="{00000000-0005-0000-0000-0000D9020000}"/>
    <cellStyle name="20% - Accent3 2 2 3 2 2" xfId="2029" xr:uid="{00000000-0005-0000-0000-0000DA020000}"/>
    <cellStyle name="20% - Accent3 2 2 3 2 3" xfId="3307" xr:uid="{00000000-0005-0000-0000-0000DB020000}"/>
    <cellStyle name="20% - Accent3 2 2 3 2 4" xfId="4594" xr:uid="{00000000-0005-0000-0000-0000DC020000}"/>
    <cellStyle name="20% - Accent3 2 2 3 3" xfId="1163" xr:uid="{00000000-0005-0000-0000-0000DD020000}"/>
    <cellStyle name="20% - Accent3 2 2 3 3 2" xfId="2455" xr:uid="{00000000-0005-0000-0000-0000DE020000}"/>
    <cellStyle name="20% - Accent3 2 2 3 3 3" xfId="3733" xr:uid="{00000000-0005-0000-0000-0000DF020000}"/>
    <cellStyle name="20% - Accent3 2 2 3 3 4" xfId="5020" xr:uid="{00000000-0005-0000-0000-0000E0020000}"/>
    <cellStyle name="20% - Accent3 2 2 3 4" xfId="1603" xr:uid="{00000000-0005-0000-0000-0000E1020000}"/>
    <cellStyle name="20% - Accent3 2 2 3 5" xfId="2881" xr:uid="{00000000-0005-0000-0000-0000E2020000}"/>
    <cellStyle name="20% - Accent3 2 2 3 6" xfId="4168" xr:uid="{00000000-0005-0000-0000-0000E3020000}"/>
    <cellStyle name="20% - Accent3 2 2 4" xfId="524" xr:uid="{00000000-0005-0000-0000-0000E4020000}"/>
    <cellStyle name="20% - Accent3 2 2 4 2" xfId="1816" xr:uid="{00000000-0005-0000-0000-0000E5020000}"/>
    <cellStyle name="20% - Accent3 2 2 4 3" xfId="3094" xr:uid="{00000000-0005-0000-0000-0000E6020000}"/>
    <cellStyle name="20% - Accent3 2 2 4 4" xfId="4381" xr:uid="{00000000-0005-0000-0000-0000E7020000}"/>
    <cellStyle name="20% - Accent3 2 2 5" xfId="950" xr:uid="{00000000-0005-0000-0000-0000E8020000}"/>
    <cellStyle name="20% - Accent3 2 2 5 2" xfId="2242" xr:uid="{00000000-0005-0000-0000-0000E9020000}"/>
    <cellStyle name="20% - Accent3 2 2 5 3" xfId="3520" xr:uid="{00000000-0005-0000-0000-0000EA020000}"/>
    <cellStyle name="20% - Accent3 2 2 5 4" xfId="4807" xr:uid="{00000000-0005-0000-0000-0000EB020000}"/>
    <cellStyle name="20% - Accent3 2 2 6" xfId="1390" xr:uid="{00000000-0005-0000-0000-0000EC020000}"/>
    <cellStyle name="20% - Accent3 2 2 7" xfId="2668" xr:uid="{00000000-0005-0000-0000-0000ED020000}"/>
    <cellStyle name="20% - Accent3 2 2 8" xfId="3955" xr:uid="{00000000-0005-0000-0000-0000EE020000}"/>
    <cellStyle name="20% - Accent3 2 2 9" xfId="5225" xr:uid="{00000000-0005-0000-0000-0000EF020000}"/>
    <cellStyle name="20% - Accent3 2 3" xfId="106" xr:uid="{00000000-0005-0000-0000-0000F0020000}"/>
    <cellStyle name="20% - Accent3 2 3 2" xfId="313" xr:uid="{00000000-0005-0000-0000-0000F1020000}"/>
    <cellStyle name="20% - Accent3 2 3 2 2" xfId="739" xr:uid="{00000000-0005-0000-0000-0000F2020000}"/>
    <cellStyle name="20% - Accent3 2 3 2 2 2" xfId="2031" xr:uid="{00000000-0005-0000-0000-0000F3020000}"/>
    <cellStyle name="20% - Accent3 2 3 2 2 3" xfId="3309" xr:uid="{00000000-0005-0000-0000-0000F4020000}"/>
    <cellStyle name="20% - Accent3 2 3 2 2 4" xfId="4596" xr:uid="{00000000-0005-0000-0000-0000F5020000}"/>
    <cellStyle name="20% - Accent3 2 3 2 3" xfId="1165" xr:uid="{00000000-0005-0000-0000-0000F6020000}"/>
    <cellStyle name="20% - Accent3 2 3 2 3 2" xfId="2457" xr:uid="{00000000-0005-0000-0000-0000F7020000}"/>
    <cellStyle name="20% - Accent3 2 3 2 3 3" xfId="3735" xr:uid="{00000000-0005-0000-0000-0000F8020000}"/>
    <cellStyle name="20% - Accent3 2 3 2 3 4" xfId="5022" xr:uid="{00000000-0005-0000-0000-0000F9020000}"/>
    <cellStyle name="20% - Accent3 2 3 2 4" xfId="1605" xr:uid="{00000000-0005-0000-0000-0000FA020000}"/>
    <cellStyle name="20% - Accent3 2 3 2 5" xfId="2883" xr:uid="{00000000-0005-0000-0000-0000FB020000}"/>
    <cellStyle name="20% - Accent3 2 3 2 6" xfId="4170" xr:uid="{00000000-0005-0000-0000-0000FC020000}"/>
    <cellStyle name="20% - Accent3 2 3 3" xfId="526" xr:uid="{00000000-0005-0000-0000-0000FD020000}"/>
    <cellStyle name="20% - Accent3 2 3 3 2" xfId="1818" xr:uid="{00000000-0005-0000-0000-0000FE020000}"/>
    <cellStyle name="20% - Accent3 2 3 3 3" xfId="3096" xr:uid="{00000000-0005-0000-0000-0000FF020000}"/>
    <cellStyle name="20% - Accent3 2 3 3 4" xfId="4383" xr:uid="{00000000-0005-0000-0000-000000030000}"/>
    <cellStyle name="20% - Accent3 2 3 4" xfId="952" xr:uid="{00000000-0005-0000-0000-000001030000}"/>
    <cellStyle name="20% - Accent3 2 3 4 2" xfId="2244" xr:uid="{00000000-0005-0000-0000-000002030000}"/>
    <cellStyle name="20% - Accent3 2 3 4 3" xfId="3522" xr:uid="{00000000-0005-0000-0000-000003030000}"/>
    <cellStyle name="20% - Accent3 2 3 4 4" xfId="4809" xr:uid="{00000000-0005-0000-0000-000004030000}"/>
    <cellStyle name="20% - Accent3 2 3 5" xfId="1392" xr:uid="{00000000-0005-0000-0000-000005030000}"/>
    <cellStyle name="20% - Accent3 2 3 6" xfId="2670" xr:uid="{00000000-0005-0000-0000-000006030000}"/>
    <cellStyle name="20% - Accent3 2 3 7" xfId="3957" xr:uid="{00000000-0005-0000-0000-000007030000}"/>
    <cellStyle name="20% - Accent3 2 3 8" xfId="5227" xr:uid="{00000000-0005-0000-0000-000008030000}"/>
    <cellStyle name="20% - Accent3 2 4" xfId="107" xr:uid="{00000000-0005-0000-0000-000009030000}"/>
    <cellStyle name="20% - Accent3 2 4 2" xfId="314" xr:uid="{00000000-0005-0000-0000-00000A030000}"/>
    <cellStyle name="20% - Accent3 2 4 2 2" xfId="740" xr:uid="{00000000-0005-0000-0000-00000B030000}"/>
    <cellStyle name="20% - Accent3 2 4 2 2 2" xfId="2032" xr:uid="{00000000-0005-0000-0000-00000C030000}"/>
    <cellStyle name="20% - Accent3 2 4 2 2 3" xfId="3310" xr:uid="{00000000-0005-0000-0000-00000D030000}"/>
    <cellStyle name="20% - Accent3 2 4 2 2 4" xfId="4597" xr:uid="{00000000-0005-0000-0000-00000E030000}"/>
    <cellStyle name="20% - Accent3 2 4 2 3" xfId="1166" xr:uid="{00000000-0005-0000-0000-00000F030000}"/>
    <cellStyle name="20% - Accent3 2 4 2 3 2" xfId="2458" xr:uid="{00000000-0005-0000-0000-000010030000}"/>
    <cellStyle name="20% - Accent3 2 4 2 3 3" xfId="3736" xr:uid="{00000000-0005-0000-0000-000011030000}"/>
    <cellStyle name="20% - Accent3 2 4 2 3 4" xfId="5023" xr:uid="{00000000-0005-0000-0000-000012030000}"/>
    <cellStyle name="20% - Accent3 2 4 2 4" xfId="1606" xr:uid="{00000000-0005-0000-0000-000013030000}"/>
    <cellStyle name="20% - Accent3 2 4 2 5" xfId="2884" xr:uid="{00000000-0005-0000-0000-000014030000}"/>
    <cellStyle name="20% - Accent3 2 4 2 6" xfId="4171" xr:uid="{00000000-0005-0000-0000-000015030000}"/>
    <cellStyle name="20% - Accent3 2 4 3" xfId="527" xr:uid="{00000000-0005-0000-0000-000016030000}"/>
    <cellStyle name="20% - Accent3 2 4 3 2" xfId="1819" xr:uid="{00000000-0005-0000-0000-000017030000}"/>
    <cellStyle name="20% - Accent3 2 4 3 3" xfId="3097" xr:uid="{00000000-0005-0000-0000-000018030000}"/>
    <cellStyle name="20% - Accent3 2 4 3 4" xfId="4384" xr:uid="{00000000-0005-0000-0000-000019030000}"/>
    <cellStyle name="20% - Accent3 2 4 4" xfId="953" xr:uid="{00000000-0005-0000-0000-00001A030000}"/>
    <cellStyle name="20% - Accent3 2 4 4 2" xfId="2245" xr:uid="{00000000-0005-0000-0000-00001B030000}"/>
    <cellStyle name="20% - Accent3 2 4 4 3" xfId="3523" xr:uid="{00000000-0005-0000-0000-00001C030000}"/>
    <cellStyle name="20% - Accent3 2 4 4 4" xfId="4810" xr:uid="{00000000-0005-0000-0000-00001D030000}"/>
    <cellStyle name="20% - Accent3 2 4 5" xfId="1393" xr:uid="{00000000-0005-0000-0000-00001E030000}"/>
    <cellStyle name="20% - Accent3 2 4 6" xfId="2671" xr:uid="{00000000-0005-0000-0000-00001F030000}"/>
    <cellStyle name="20% - Accent3 2 4 7" xfId="3958" xr:uid="{00000000-0005-0000-0000-000020030000}"/>
    <cellStyle name="20% - Accent3 2 5" xfId="108" xr:uid="{00000000-0005-0000-0000-000021030000}"/>
    <cellStyle name="20% - Accent3 2 5 2" xfId="315" xr:uid="{00000000-0005-0000-0000-000022030000}"/>
    <cellStyle name="20% - Accent3 2 5 2 2" xfId="741" xr:uid="{00000000-0005-0000-0000-000023030000}"/>
    <cellStyle name="20% - Accent3 2 5 2 2 2" xfId="2033" xr:uid="{00000000-0005-0000-0000-000024030000}"/>
    <cellStyle name="20% - Accent3 2 5 2 2 3" xfId="3311" xr:uid="{00000000-0005-0000-0000-000025030000}"/>
    <cellStyle name="20% - Accent3 2 5 2 2 4" xfId="4598" xr:uid="{00000000-0005-0000-0000-000026030000}"/>
    <cellStyle name="20% - Accent3 2 5 2 3" xfId="1167" xr:uid="{00000000-0005-0000-0000-000027030000}"/>
    <cellStyle name="20% - Accent3 2 5 2 3 2" xfId="2459" xr:uid="{00000000-0005-0000-0000-000028030000}"/>
    <cellStyle name="20% - Accent3 2 5 2 3 3" xfId="3737" xr:uid="{00000000-0005-0000-0000-000029030000}"/>
    <cellStyle name="20% - Accent3 2 5 2 3 4" xfId="5024" xr:uid="{00000000-0005-0000-0000-00002A030000}"/>
    <cellStyle name="20% - Accent3 2 5 2 4" xfId="1607" xr:uid="{00000000-0005-0000-0000-00002B030000}"/>
    <cellStyle name="20% - Accent3 2 5 2 5" xfId="2885" xr:uid="{00000000-0005-0000-0000-00002C030000}"/>
    <cellStyle name="20% - Accent3 2 5 2 6" xfId="4172" xr:uid="{00000000-0005-0000-0000-00002D030000}"/>
    <cellStyle name="20% - Accent3 2 5 3" xfId="528" xr:uid="{00000000-0005-0000-0000-00002E030000}"/>
    <cellStyle name="20% - Accent3 2 5 3 2" xfId="1820" xr:uid="{00000000-0005-0000-0000-00002F030000}"/>
    <cellStyle name="20% - Accent3 2 5 3 3" xfId="3098" xr:uid="{00000000-0005-0000-0000-000030030000}"/>
    <cellStyle name="20% - Accent3 2 5 3 4" xfId="4385" xr:uid="{00000000-0005-0000-0000-000031030000}"/>
    <cellStyle name="20% - Accent3 2 5 4" xfId="954" xr:uid="{00000000-0005-0000-0000-000032030000}"/>
    <cellStyle name="20% - Accent3 2 5 4 2" xfId="2246" xr:uid="{00000000-0005-0000-0000-000033030000}"/>
    <cellStyle name="20% - Accent3 2 5 4 3" xfId="3524" xr:uid="{00000000-0005-0000-0000-000034030000}"/>
    <cellStyle name="20% - Accent3 2 5 4 4" xfId="4811" xr:uid="{00000000-0005-0000-0000-000035030000}"/>
    <cellStyle name="20% - Accent3 2 5 5" xfId="1394" xr:uid="{00000000-0005-0000-0000-000036030000}"/>
    <cellStyle name="20% - Accent3 2 5 6" xfId="2672" xr:uid="{00000000-0005-0000-0000-000037030000}"/>
    <cellStyle name="20% - Accent3 2 5 7" xfId="3959" xr:uid="{00000000-0005-0000-0000-000038030000}"/>
    <cellStyle name="20% - Accent3 2 6" xfId="274" xr:uid="{00000000-0005-0000-0000-000039030000}"/>
    <cellStyle name="20% - Accent3 2 6 2" xfId="487" xr:uid="{00000000-0005-0000-0000-00003A030000}"/>
    <cellStyle name="20% - Accent3 2 6 2 2" xfId="912" xr:uid="{00000000-0005-0000-0000-00003B030000}"/>
    <cellStyle name="20% - Accent3 2 6 2 2 2" xfId="2204" xr:uid="{00000000-0005-0000-0000-00003C030000}"/>
    <cellStyle name="20% - Accent3 2 6 2 2 3" xfId="3482" xr:uid="{00000000-0005-0000-0000-00003D030000}"/>
    <cellStyle name="20% - Accent3 2 6 2 2 4" xfId="4769" xr:uid="{00000000-0005-0000-0000-00003E030000}"/>
    <cellStyle name="20% - Accent3 2 6 2 3" xfId="1338" xr:uid="{00000000-0005-0000-0000-00003F030000}"/>
    <cellStyle name="20% - Accent3 2 6 2 3 2" xfId="2630" xr:uid="{00000000-0005-0000-0000-000040030000}"/>
    <cellStyle name="20% - Accent3 2 6 2 3 3" xfId="3908" xr:uid="{00000000-0005-0000-0000-000041030000}"/>
    <cellStyle name="20% - Accent3 2 6 2 3 4" xfId="5195" xr:uid="{00000000-0005-0000-0000-000042030000}"/>
    <cellStyle name="20% - Accent3 2 6 2 4" xfId="1778" xr:uid="{00000000-0005-0000-0000-000043030000}"/>
    <cellStyle name="20% - Accent3 2 6 2 5" xfId="3056" xr:uid="{00000000-0005-0000-0000-000044030000}"/>
    <cellStyle name="20% - Accent3 2 6 2 6" xfId="4343" xr:uid="{00000000-0005-0000-0000-000045030000}"/>
    <cellStyle name="20% - Accent3 2 6 3" xfId="699" xr:uid="{00000000-0005-0000-0000-000046030000}"/>
    <cellStyle name="20% - Accent3 2 6 3 2" xfId="1991" xr:uid="{00000000-0005-0000-0000-000047030000}"/>
    <cellStyle name="20% - Accent3 2 6 3 3" xfId="3269" xr:uid="{00000000-0005-0000-0000-000048030000}"/>
    <cellStyle name="20% - Accent3 2 6 3 4" xfId="4556" xr:uid="{00000000-0005-0000-0000-000049030000}"/>
    <cellStyle name="20% - Accent3 2 6 4" xfId="1125" xr:uid="{00000000-0005-0000-0000-00004A030000}"/>
    <cellStyle name="20% - Accent3 2 6 4 2" xfId="2417" xr:uid="{00000000-0005-0000-0000-00004B030000}"/>
    <cellStyle name="20% - Accent3 2 6 4 3" xfId="3695" xr:uid="{00000000-0005-0000-0000-00004C030000}"/>
    <cellStyle name="20% - Accent3 2 6 4 4" xfId="4982" xr:uid="{00000000-0005-0000-0000-00004D030000}"/>
    <cellStyle name="20% - Accent3 2 6 5" xfId="1565" xr:uid="{00000000-0005-0000-0000-00004E030000}"/>
    <cellStyle name="20% - Accent3 2 6 6" xfId="2843" xr:uid="{00000000-0005-0000-0000-00004F030000}"/>
    <cellStyle name="20% - Accent3 2 6 7" xfId="4130" xr:uid="{00000000-0005-0000-0000-000050030000}"/>
    <cellStyle name="20% - Accent3 2 7" xfId="310" xr:uid="{00000000-0005-0000-0000-000051030000}"/>
    <cellStyle name="20% - Accent3 2 7 2" xfId="736" xr:uid="{00000000-0005-0000-0000-000052030000}"/>
    <cellStyle name="20% - Accent3 2 7 2 2" xfId="2028" xr:uid="{00000000-0005-0000-0000-000053030000}"/>
    <cellStyle name="20% - Accent3 2 7 2 3" xfId="3306" xr:uid="{00000000-0005-0000-0000-000054030000}"/>
    <cellStyle name="20% - Accent3 2 7 2 4" xfId="4593" xr:uid="{00000000-0005-0000-0000-000055030000}"/>
    <cellStyle name="20% - Accent3 2 7 3" xfId="1162" xr:uid="{00000000-0005-0000-0000-000056030000}"/>
    <cellStyle name="20% - Accent3 2 7 3 2" xfId="2454" xr:uid="{00000000-0005-0000-0000-000057030000}"/>
    <cellStyle name="20% - Accent3 2 7 3 3" xfId="3732" xr:uid="{00000000-0005-0000-0000-000058030000}"/>
    <cellStyle name="20% - Accent3 2 7 3 4" xfId="5019" xr:uid="{00000000-0005-0000-0000-000059030000}"/>
    <cellStyle name="20% - Accent3 2 7 4" xfId="1602" xr:uid="{00000000-0005-0000-0000-00005A030000}"/>
    <cellStyle name="20% - Accent3 2 7 5" xfId="2880" xr:uid="{00000000-0005-0000-0000-00005B030000}"/>
    <cellStyle name="20% - Accent3 2 7 6" xfId="4167" xr:uid="{00000000-0005-0000-0000-00005C030000}"/>
    <cellStyle name="20% - Accent3 2 8" xfId="523" xr:uid="{00000000-0005-0000-0000-00005D030000}"/>
    <cellStyle name="20% - Accent3 2 8 2" xfId="1815" xr:uid="{00000000-0005-0000-0000-00005E030000}"/>
    <cellStyle name="20% - Accent3 2 8 3" xfId="3093" xr:uid="{00000000-0005-0000-0000-00005F030000}"/>
    <cellStyle name="20% - Accent3 2 8 4" xfId="4380" xr:uid="{00000000-0005-0000-0000-000060030000}"/>
    <cellStyle name="20% - Accent3 2 9" xfId="949" xr:uid="{00000000-0005-0000-0000-000061030000}"/>
    <cellStyle name="20% - Accent3 2 9 2" xfId="2241" xr:uid="{00000000-0005-0000-0000-000062030000}"/>
    <cellStyle name="20% - Accent3 2 9 3" xfId="3519" xr:uid="{00000000-0005-0000-0000-000063030000}"/>
    <cellStyle name="20% - Accent3 2 9 4" xfId="4806" xr:uid="{00000000-0005-0000-0000-000064030000}"/>
    <cellStyle name="20% - Accent3 3" xfId="109" xr:uid="{00000000-0005-0000-0000-000065030000}"/>
    <cellStyle name="20% - Accent3 3 2" xfId="110" xr:uid="{00000000-0005-0000-0000-000066030000}"/>
    <cellStyle name="20% - Accent3 3 2 2" xfId="317" xr:uid="{00000000-0005-0000-0000-000067030000}"/>
    <cellStyle name="20% - Accent3 3 2 2 2" xfId="743" xr:uid="{00000000-0005-0000-0000-000068030000}"/>
    <cellStyle name="20% - Accent3 3 2 2 2 2" xfId="2035" xr:uid="{00000000-0005-0000-0000-000069030000}"/>
    <cellStyle name="20% - Accent3 3 2 2 2 3" xfId="3313" xr:uid="{00000000-0005-0000-0000-00006A030000}"/>
    <cellStyle name="20% - Accent3 3 2 2 2 4" xfId="4600" xr:uid="{00000000-0005-0000-0000-00006B030000}"/>
    <cellStyle name="20% - Accent3 3 2 2 3" xfId="1169" xr:uid="{00000000-0005-0000-0000-00006C030000}"/>
    <cellStyle name="20% - Accent3 3 2 2 3 2" xfId="2461" xr:uid="{00000000-0005-0000-0000-00006D030000}"/>
    <cellStyle name="20% - Accent3 3 2 2 3 3" xfId="3739" xr:uid="{00000000-0005-0000-0000-00006E030000}"/>
    <cellStyle name="20% - Accent3 3 2 2 3 4" xfId="5026" xr:uid="{00000000-0005-0000-0000-00006F030000}"/>
    <cellStyle name="20% - Accent3 3 2 2 4" xfId="1609" xr:uid="{00000000-0005-0000-0000-000070030000}"/>
    <cellStyle name="20% - Accent3 3 2 2 5" xfId="2887" xr:uid="{00000000-0005-0000-0000-000071030000}"/>
    <cellStyle name="20% - Accent3 3 2 2 6" xfId="4174" xr:uid="{00000000-0005-0000-0000-000072030000}"/>
    <cellStyle name="20% - Accent3 3 2 3" xfId="530" xr:uid="{00000000-0005-0000-0000-000073030000}"/>
    <cellStyle name="20% - Accent3 3 2 3 2" xfId="1822" xr:uid="{00000000-0005-0000-0000-000074030000}"/>
    <cellStyle name="20% - Accent3 3 2 3 3" xfId="3100" xr:uid="{00000000-0005-0000-0000-000075030000}"/>
    <cellStyle name="20% - Accent3 3 2 3 4" xfId="4387" xr:uid="{00000000-0005-0000-0000-000076030000}"/>
    <cellStyle name="20% - Accent3 3 2 4" xfId="956" xr:uid="{00000000-0005-0000-0000-000077030000}"/>
    <cellStyle name="20% - Accent3 3 2 4 2" xfId="2248" xr:uid="{00000000-0005-0000-0000-000078030000}"/>
    <cellStyle name="20% - Accent3 3 2 4 3" xfId="3526" xr:uid="{00000000-0005-0000-0000-000079030000}"/>
    <cellStyle name="20% - Accent3 3 2 4 4" xfId="4813" xr:uid="{00000000-0005-0000-0000-00007A030000}"/>
    <cellStyle name="20% - Accent3 3 2 5" xfId="1396" xr:uid="{00000000-0005-0000-0000-00007B030000}"/>
    <cellStyle name="20% - Accent3 3 2 6" xfId="2674" xr:uid="{00000000-0005-0000-0000-00007C030000}"/>
    <cellStyle name="20% - Accent3 3 2 7" xfId="3961" xr:uid="{00000000-0005-0000-0000-00007D030000}"/>
    <cellStyle name="20% - Accent3 3 2 8" xfId="5229" xr:uid="{00000000-0005-0000-0000-00007E030000}"/>
    <cellStyle name="20% - Accent3 3 3" xfId="316" xr:uid="{00000000-0005-0000-0000-00007F030000}"/>
    <cellStyle name="20% - Accent3 3 3 2" xfId="742" xr:uid="{00000000-0005-0000-0000-000080030000}"/>
    <cellStyle name="20% - Accent3 3 3 2 2" xfId="2034" xr:uid="{00000000-0005-0000-0000-000081030000}"/>
    <cellStyle name="20% - Accent3 3 3 2 3" xfId="3312" xr:uid="{00000000-0005-0000-0000-000082030000}"/>
    <cellStyle name="20% - Accent3 3 3 2 4" xfId="4599" xr:uid="{00000000-0005-0000-0000-000083030000}"/>
    <cellStyle name="20% - Accent3 3 3 3" xfId="1168" xr:uid="{00000000-0005-0000-0000-000084030000}"/>
    <cellStyle name="20% - Accent3 3 3 3 2" xfId="2460" xr:uid="{00000000-0005-0000-0000-000085030000}"/>
    <cellStyle name="20% - Accent3 3 3 3 3" xfId="3738" xr:uid="{00000000-0005-0000-0000-000086030000}"/>
    <cellStyle name="20% - Accent3 3 3 3 4" xfId="5025" xr:uid="{00000000-0005-0000-0000-000087030000}"/>
    <cellStyle name="20% - Accent3 3 3 4" xfId="1608" xr:uid="{00000000-0005-0000-0000-000088030000}"/>
    <cellStyle name="20% - Accent3 3 3 5" xfId="2886" xr:uid="{00000000-0005-0000-0000-000089030000}"/>
    <cellStyle name="20% - Accent3 3 3 6" xfId="4173" xr:uid="{00000000-0005-0000-0000-00008A030000}"/>
    <cellStyle name="20% - Accent3 3 4" xfId="529" xr:uid="{00000000-0005-0000-0000-00008B030000}"/>
    <cellStyle name="20% - Accent3 3 4 2" xfId="1821" xr:uid="{00000000-0005-0000-0000-00008C030000}"/>
    <cellStyle name="20% - Accent3 3 4 3" xfId="3099" xr:uid="{00000000-0005-0000-0000-00008D030000}"/>
    <cellStyle name="20% - Accent3 3 4 4" xfId="4386" xr:uid="{00000000-0005-0000-0000-00008E030000}"/>
    <cellStyle name="20% - Accent3 3 5" xfId="955" xr:uid="{00000000-0005-0000-0000-00008F030000}"/>
    <cellStyle name="20% - Accent3 3 5 2" xfId="2247" xr:uid="{00000000-0005-0000-0000-000090030000}"/>
    <cellStyle name="20% - Accent3 3 5 3" xfId="3525" xr:uid="{00000000-0005-0000-0000-000091030000}"/>
    <cellStyle name="20% - Accent3 3 5 4" xfId="4812" xr:uid="{00000000-0005-0000-0000-000092030000}"/>
    <cellStyle name="20% - Accent3 3 6" xfId="1395" xr:uid="{00000000-0005-0000-0000-000093030000}"/>
    <cellStyle name="20% - Accent3 3 7" xfId="2673" xr:uid="{00000000-0005-0000-0000-000094030000}"/>
    <cellStyle name="20% - Accent3 3 8" xfId="3960" xr:uid="{00000000-0005-0000-0000-000095030000}"/>
    <cellStyle name="20% - Accent3 3 9" xfId="5228" xr:uid="{00000000-0005-0000-0000-000096030000}"/>
    <cellStyle name="20% - Accent3 4" xfId="111" xr:uid="{00000000-0005-0000-0000-000097030000}"/>
    <cellStyle name="20% - Accent3 4 2" xfId="318" xr:uid="{00000000-0005-0000-0000-000098030000}"/>
    <cellStyle name="20% - Accent3 4 2 2" xfId="744" xr:uid="{00000000-0005-0000-0000-000099030000}"/>
    <cellStyle name="20% - Accent3 4 2 2 2" xfId="2036" xr:uid="{00000000-0005-0000-0000-00009A030000}"/>
    <cellStyle name="20% - Accent3 4 2 2 3" xfId="3314" xr:uid="{00000000-0005-0000-0000-00009B030000}"/>
    <cellStyle name="20% - Accent3 4 2 2 4" xfId="4601" xr:uid="{00000000-0005-0000-0000-00009C030000}"/>
    <cellStyle name="20% - Accent3 4 2 3" xfId="1170" xr:uid="{00000000-0005-0000-0000-00009D030000}"/>
    <cellStyle name="20% - Accent3 4 2 3 2" xfId="2462" xr:uid="{00000000-0005-0000-0000-00009E030000}"/>
    <cellStyle name="20% - Accent3 4 2 3 3" xfId="3740" xr:uid="{00000000-0005-0000-0000-00009F030000}"/>
    <cellStyle name="20% - Accent3 4 2 3 4" xfId="5027" xr:uid="{00000000-0005-0000-0000-0000A0030000}"/>
    <cellStyle name="20% - Accent3 4 2 4" xfId="1610" xr:uid="{00000000-0005-0000-0000-0000A1030000}"/>
    <cellStyle name="20% - Accent3 4 2 5" xfId="2888" xr:uid="{00000000-0005-0000-0000-0000A2030000}"/>
    <cellStyle name="20% - Accent3 4 2 6" xfId="4175" xr:uid="{00000000-0005-0000-0000-0000A3030000}"/>
    <cellStyle name="20% - Accent3 4 3" xfId="531" xr:uid="{00000000-0005-0000-0000-0000A4030000}"/>
    <cellStyle name="20% - Accent3 4 3 2" xfId="1823" xr:uid="{00000000-0005-0000-0000-0000A5030000}"/>
    <cellStyle name="20% - Accent3 4 3 3" xfId="3101" xr:uid="{00000000-0005-0000-0000-0000A6030000}"/>
    <cellStyle name="20% - Accent3 4 3 4" xfId="4388" xr:uid="{00000000-0005-0000-0000-0000A7030000}"/>
    <cellStyle name="20% - Accent3 4 4" xfId="957" xr:uid="{00000000-0005-0000-0000-0000A8030000}"/>
    <cellStyle name="20% - Accent3 4 4 2" xfId="2249" xr:uid="{00000000-0005-0000-0000-0000A9030000}"/>
    <cellStyle name="20% - Accent3 4 4 3" xfId="3527" xr:uid="{00000000-0005-0000-0000-0000AA030000}"/>
    <cellStyle name="20% - Accent3 4 4 4" xfId="4814" xr:uid="{00000000-0005-0000-0000-0000AB030000}"/>
    <cellStyle name="20% - Accent3 4 5" xfId="1397" xr:uid="{00000000-0005-0000-0000-0000AC030000}"/>
    <cellStyle name="20% - Accent3 4 6" xfId="2675" xr:uid="{00000000-0005-0000-0000-0000AD030000}"/>
    <cellStyle name="20% - Accent3 4 7" xfId="3962" xr:uid="{00000000-0005-0000-0000-0000AE030000}"/>
    <cellStyle name="20% - Accent3 4 8" xfId="5230" xr:uid="{00000000-0005-0000-0000-0000AF030000}"/>
    <cellStyle name="20% - Accent3 5" xfId="112" xr:uid="{00000000-0005-0000-0000-0000B0030000}"/>
    <cellStyle name="20% - Accent3 5 2" xfId="319" xr:uid="{00000000-0005-0000-0000-0000B1030000}"/>
    <cellStyle name="20% - Accent3 5 2 2" xfId="745" xr:uid="{00000000-0005-0000-0000-0000B2030000}"/>
    <cellStyle name="20% - Accent3 5 2 2 2" xfId="2037" xr:uid="{00000000-0005-0000-0000-0000B3030000}"/>
    <cellStyle name="20% - Accent3 5 2 2 3" xfId="3315" xr:uid="{00000000-0005-0000-0000-0000B4030000}"/>
    <cellStyle name="20% - Accent3 5 2 2 4" xfId="4602" xr:uid="{00000000-0005-0000-0000-0000B5030000}"/>
    <cellStyle name="20% - Accent3 5 2 3" xfId="1171" xr:uid="{00000000-0005-0000-0000-0000B6030000}"/>
    <cellStyle name="20% - Accent3 5 2 3 2" xfId="2463" xr:uid="{00000000-0005-0000-0000-0000B7030000}"/>
    <cellStyle name="20% - Accent3 5 2 3 3" xfId="3741" xr:uid="{00000000-0005-0000-0000-0000B8030000}"/>
    <cellStyle name="20% - Accent3 5 2 3 4" xfId="5028" xr:uid="{00000000-0005-0000-0000-0000B9030000}"/>
    <cellStyle name="20% - Accent3 5 2 4" xfId="1611" xr:uid="{00000000-0005-0000-0000-0000BA030000}"/>
    <cellStyle name="20% - Accent3 5 2 5" xfId="2889" xr:uid="{00000000-0005-0000-0000-0000BB030000}"/>
    <cellStyle name="20% - Accent3 5 2 6" xfId="4176" xr:uid="{00000000-0005-0000-0000-0000BC030000}"/>
    <cellStyle name="20% - Accent3 5 3" xfId="532" xr:uid="{00000000-0005-0000-0000-0000BD030000}"/>
    <cellStyle name="20% - Accent3 5 3 2" xfId="1824" xr:uid="{00000000-0005-0000-0000-0000BE030000}"/>
    <cellStyle name="20% - Accent3 5 3 3" xfId="3102" xr:uid="{00000000-0005-0000-0000-0000BF030000}"/>
    <cellStyle name="20% - Accent3 5 3 4" xfId="4389" xr:uid="{00000000-0005-0000-0000-0000C0030000}"/>
    <cellStyle name="20% - Accent3 5 4" xfId="958" xr:uid="{00000000-0005-0000-0000-0000C1030000}"/>
    <cellStyle name="20% - Accent3 5 4 2" xfId="2250" xr:uid="{00000000-0005-0000-0000-0000C2030000}"/>
    <cellStyle name="20% - Accent3 5 4 3" xfId="3528" xr:uid="{00000000-0005-0000-0000-0000C3030000}"/>
    <cellStyle name="20% - Accent3 5 4 4" xfId="4815" xr:uid="{00000000-0005-0000-0000-0000C4030000}"/>
    <cellStyle name="20% - Accent3 5 5" xfId="1398" xr:uid="{00000000-0005-0000-0000-0000C5030000}"/>
    <cellStyle name="20% - Accent3 5 6" xfId="2676" xr:uid="{00000000-0005-0000-0000-0000C6030000}"/>
    <cellStyle name="20% - Accent3 5 7" xfId="3963" xr:uid="{00000000-0005-0000-0000-0000C7030000}"/>
    <cellStyle name="20% - Accent3 6" xfId="113" xr:uid="{00000000-0005-0000-0000-0000C8030000}"/>
    <cellStyle name="20% - Accent3 6 2" xfId="320" xr:uid="{00000000-0005-0000-0000-0000C9030000}"/>
    <cellStyle name="20% - Accent3 6 2 2" xfId="746" xr:uid="{00000000-0005-0000-0000-0000CA030000}"/>
    <cellStyle name="20% - Accent3 6 2 2 2" xfId="2038" xr:uid="{00000000-0005-0000-0000-0000CB030000}"/>
    <cellStyle name="20% - Accent3 6 2 2 3" xfId="3316" xr:uid="{00000000-0005-0000-0000-0000CC030000}"/>
    <cellStyle name="20% - Accent3 6 2 2 4" xfId="4603" xr:uid="{00000000-0005-0000-0000-0000CD030000}"/>
    <cellStyle name="20% - Accent3 6 2 3" xfId="1172" xr:uid="{00000000-0005-0000-0000-0000CE030000}"/>
    <cellStyle name="20% - Accent3 6 2 3 2" xfId="2464" xr:uid="{00000000-0005-0000-0000-0000CF030000}"/>
    <cellStyle name="20% - Accent3 6 2 3 3" xfId="3742" xr:uid="{00000000-0005-0000-0000-0000D0030000}"/>
    <cellStyle name="20% - Accent3 6 2 3 4" xfId="5029" xr:uid="{00000000-0005-0000-0000-0000D1030000}"/>
    <cellStyle name="20% - Accent3 6 2 4" xfId="1612" xr:uid="{00000000-0005-0000-0000-0000D2030000}"/>
    <cellStyle name="20% - Accent3 6 2 5" xfId="2890" xr:uid="{00000000-0005-0000-0000-0000D3030000}"/>
    <cellStyle name="20% - Accent3 6 2 6" xfId="4177" xr:uid="{00000000-0005-0000-0000-0000D4030000}"/>
    <cellStyle name="20% - Accent3 6 3" xfId="533" xr:uid="{00000000-0005-0000-0000-0000D5030000}"/>
    <cellStyle name="20% - Accent3 6 3 2" xfId="1825" xr:uid="{00000000-0005-0000-0000-0000D6030000}"/>
    <cellStyle name="20% - Accent3 6 3 3" xfId="3103" xr:uid="{00000000-0005-0000-0000-0000D7030000}"/>
    <cellStyle name="20% - Accent3 6 3 4" xfId="4390" xr:uid="{00000000-0005-0000-0000-0000D8030000}"/>
    <cellStyle name="20% - Accent3 6 4" xfId="959" xr:uid="{00000000-0005-0000-0000-0000D9030000}"/>
    <cellStyle name="20% - Accent3 6 4 2" xfId="2251" xr:uid="{00000000-0005-0000-0000-0000DA030000}"/>
    <cellStyle name="20% - Accent3 6 4 3" xfId="3529" xr:uid="{00000000-0005-0000-0000-0000DB030000}"/>
    <cellStyle name="20% - Accent3 6 4 4" xfId="4816" xr:uid="{00000000-0005-0000-0000-0000DC030000}"/>
    <cellStyle name="20% - Accent3 6 5" xfId="1399" xr:uid="{00000000-0005-0000-0000-0000DD030000}"/>
    <cellStyle name="20% - Accent3 6 6" xfId="2677" xr:uid="{00000000-0005-0000-0000-0000DE030000}"/>
    <cellStyle name="20% - Accent3 6 7" xfId="3964" xr:uid="{00000000-0005-0000-0000-0000DF030000}"/>
    <cellStyle name="20% - Accent3 7" xfId="257" xr:uid="{00000000-0005-0000-0000-0000E0030000}"/>
    <cellStyle name="20% - Accent3 7 2" xfId="470" xr:uid="{00000000-0005-0000-0000-0000E1030000}"/>
    <cellStyle name="20% - Accent3 7 2 2" xfId="895" xr:uid="{00000000-0005-0000-0000-0000E2030000}"/>
    <cellStyle name="20% - Accent3 7 2 2 2" xfId="2187" xr:uid="{00000000-0005-0000-0000-0000E3030000}"/>
    <cellStyle name="20% - Accent3 7 2 2 3" xfId="3465" xr:uid="{00000000-0005-0000-0000-0000E4030000}"/>
    <cellStyle name="20% - Accent3 7 2 2 4" xfId="4752" xr:uid="{00000000-0005-0000-0000-0000E5030000}"/>
    <cellStyle name="20% - Accent3 7 2 3" xfId="1321" xr:uid="{00000000-0005-0000-0000-0000E6030000}"/>
    <cellStyle name="20% - Accent3 7 2 3 2" xfId="2613" xr:uid="{00000000-0005-0000-0000-0000E7030000}"/>
    <cellStyle name="20% - Accent3 7 2 3 3" xfId="3891" xr:uid="{00000000-0005-0000-0000-0000E8030000}"/>
    <cellStyle name="20% - Accent3 7 2 3 4" xfId="5178" xr:uid="{00000000-0005-0000-0000-0000E9030000}"/>
    <cellStyle name="20% - Accent3 7 2 4" xfId="1761" xr:uid="{00000000-0005-0000-0000-0000EA030000}"/>
    <cellStyle name="20% - Accent3 7 2 5" xfId="3039" xr:uid="{00000000-0005-0000-0000-0000EB030000}"/>
    <cellStyle name="20% - Accent3 7 2 6" xfId="4326" xr:uid="{00000000-0005-0000-0000-0000EC030000}"/>
    <cellStyle name="20% - Accent3 7 3" xfId="682" xr:uid="{00000000-0005-0000-0000-0000ED030000}"/>
    <cellStyle name="20% - Accent3 7 3 2" xfId="1974" xr:uid="{00000000-0005-0000-0000-0000EE030000}"/>
    <cellStyle name="20% - Accent3 7 3 3" xfId="3252" xr:uid="{00000000-0005-0000-0000-0000EF030000}"/>
    <cellStyle name="20% - Accent3 7 3 4" xfId="4539" xr:uid="{00000000-0005-0000-0000-0000F0030000}"/>
    <cellStyle name="20% - Accent3 7 4" xfId="1108" xr:uid="{00000000-0005-0000-0000-0000F1030000}"/>
    <cellStyle name="20% - Accent3 7 4 2" xfId="2400" xr:uid="{00000000-0005-0000-0000-0000F2030000}"/>
    <cellStyle name="20% - Accent3 7 4 3" xfId="3678" xr:uid="{00000000-0005-0000-0000-0000F3030000}"/>
    <cellStyle name="20% - Accent3 7 4 4" xfId="4965" xr:uid="{00000000-0005-0000-0000-0000F4030000}"/>
    <cellStyle name="20% - Accent3 7 5" xfId="1548" xr:uid="{00000000-0005-0000-0000-0000F5030000}"/>
    <cellStyle name="20% - Accent3 7 6" xfId="2826" xr:uid="{00000000-0005-0000-0000-0000F6030000}"/>
    <cellStyle name="20% - Accent3 7 7" xfId="4113" xr:uid="{00000000-0005-0000-0000-0000F7030000}"/>
    <cellStyle name="20% - Accent3 8" xfId="309" xr:uid="{00000000-0005-0000-0000-0000F8030000}"/>
    <cellStyle name="20% - Accent3 8 2" xfId="735" xr:uid="{00000000-0005-0000-0000-0000F9030000}"/>
    <cellStyle name="20% - Accent3 8 2 2" xfId="2027" xr:uid="{00000000-0005-0000-0000-0000FA030000}"/>
    <cellStyle name="20% - Accent3 8 2 3" xfId="3305" xr:uid="{00000000-0005-0000-0000-0000FB030000}"/>
    <cellStyle name="20% - Accent3 8 2 4" xfId="4592" xr:uid="{00000000-0005-0000-0000-0000FC030000}"/>
    <cellStyle name="20% - Accent3 8 3" xfId="1161" xr:uid="{00000000-0005-0000-0000-0000FD030000}"/>
    <cellStyle name="20% - Accent3 8 3 2" xfId="2453" xr:uid="{00000000-0005-0000-0000-0000FE030000}"/>
    <cellStyle name="20% - Accent3 8 3 3" xfId="3731" xr:uid="{00000000-0005-0000-0000-0000FF030000}"/>
    <cellStyle name="20% - Accent3 8 3 4" xfId="5018" xr:uid="{00000000-0005-0000-0000-000000040000}"/>
    <cellStyle name="20% - Accent3 8 4" xfId="1601" xr:uid="{00000000-0005-0000-0000-000001040000}"/>
    <cellStyle name="20% - Accent3 8 5" xfId="2879" xr:uid="{00000000-0005-0000-0000-000002040000}"/>
    <cellStyle name="20% - Accent3 8 6" xfId="4166" xr:uid="{00000000-0005-0000-0000-000003040000}"/>
    <cellStyle name="20% - Accent3 9" xfId="522" xr:uid="{00000000-0005-0000-0000-000004040000}"/>
    <cellStyle name="20% - Accent3 9 2" xfId="1814" xr:uid="{00000000-0005-0000-0000-000005040000}"/>
    <cellStyle name="20% - Accent3 9 3" xfId="3092" xr:uid="{00000000-0005-0000-0000-000006040000}"/>
    <cellStyle name="20% - Accent3 9 4" xfId="4379" xr:uid="{00000000-0005-0000-0000-000007040000}"/>
    <cellStyle name="20% - Accent4" xfId="71" builtinId="42" customBuiltin="1"/>
    <cellStyle name="20% - Accent4 10" xfId="960" xr:uid="{00000000-0005-0000-0000-000009040000}"/>
    <cellStyle name="20% - Accent4 10 2" xfId="2252" xr:uid="{00000000-0005-0000-0000-00000A040000}"/>
    <cellStyle name="20% - Accent4 10 3" xfId="3530" xr:uid="{00000000-0005-0000-0000-00000B040000}"/>
    <cellStyle name="20% - Accent4 10 4" xfId="4817" xr:uid="{00000000-0005-0000-0000-00000C040000}"/>
    <cellStyle name="20% - Accent4 11" xfId="1400" xr:uid="{00000000-0005-0000-0000-00000D040000}"/>
    <cellStyle name="20% - Accent4 12" xfId="2678" xr:uid="{00000000-0005-0000-0000-00000E040000}"/>
    <cellStyle name="20% - Accent4 13" xfId="3965" xr:uid="{00000000-0005-0000-0000-00000F040000}"/>
    <cellStyle name="20% - Accent4 14" xfId="5231" xr:uid="{00000000-0005-0000-0000-000010040000}"/>
    <cellStyle name="20% - Accent4 2" xfId="13" xr:uid="{00000000-0005-0000-0000-000011040000}"/>
    <cellStyle name="20% - Accent4 2 10" xfId="1401" xr:uid="{00000000-0005-0000-0000-000012040000}"/>
    <cellStyle name="20% - Accent4 2 11" xfId="2679" xr:uid="{00000000-0005-0000-0000-000013040000}"/>
    <cellStyle name="20% - Accent4 2 12" xfId="3966" xr:uid="{00000000-0005-0000-0000-000014040000}"/>
    <cellStyle name="20% - Accent4 2 13" xfId="5232" xr:uid="{00000000-0005-0000-0000-000015040000}"/>
    <cellStyle name="20% - Accent4 2 2" xfId="114" xr:uid="{00000000-0005-0000-0000-000016040000}"/>
    <cellStyle name="20% - Accent4 2 2 2" xfId="115" xr:uid="{00000000-0005-0000-0000-000017040000}"/>
    <cellStyle name="20% - Accent4 2 2 2 2" xfId="324" xr:uid="{00000000-0005-0000-0000-000018040000}"/>
    <cellStyle name="20% - Accent4 2 2 2 2 2" xfId="750" xr:uid="{00000000-0005-0000-0000-000019040000}"/>
    <cellStyle name="20% - Accent4 2 2 2 2 2 2" xfId="2042" xr:uid="{00000000-0005-0000-0000-00001A040000}"/>
    <cellStyle name="20% - Accent4 2 2 2 2 2 3" xfId="3320" xr:uid="{00000000-0005-0000-0000-00001B040000}"/>
    <cellStyle name="20% - Accent4 2 2 2 2 2 4" xfId="4607" xr:uid="{00000000-0005-0000-0000-00001C040000}"/>
    <cellStyle name="20% - Accent4 2 2 2 2 3" xfId="1176" xr:uid="{00000000-0005-0000-0000-00001D040000}"/>
    <cellStyle name="20% - Accent4 2 2 2 2 3 2" xfId="2468" xr:uid="{00000000-0005-0000-0000-00001E040000}"/>
    <cellStyle name="20% - Accent4 2 2 2 2 3 3" xfId="3746" xr:uid="{00000000-0005-0000-0000-00001F040000}"/>
    <cellStyle name="20% - Accent4 2 2 2 2 3 4" xfId="5033" xr:uid="{00000000-0005-0000-0000-000020040000}"/>
    <cellStyle name="20% - Accent4 2 2 2 2 4" xfId="1616" xr:uid="{00000000-0005-0000-0000-000021040000}"/>
    <cellStyle name="20% - Accent4 2 2 2 2 5" xfId="2894" xr:uid="{00000000-0005-0000-0000-000022040000}"/>
    <cellStyle name="20% - Accent4 2 2 2 2 6" xfId="4181" xr:uid="{00000000-0005-0000-0000-000023040000}"/>
    <cellStyle name="20% - Accent4 2 2 2 3" xfId="537" xr:uid="{00000000-0005-0000-0000-000024040000}"/>
    <cellStyle name="20% - Accent4 2 2 2 3 2" xfId="1829" xr:uid="{00000000-0005-0000-0000-000025040000}"/>
    <cellStyle name="20% - Accent4 2 2 2 3 3" xfId="3107" xr:uid="{00000000-0005-0000-0000-000026040000}"/>
    <cellStyle name="20% - Accent4 2 2 2 3 4" xfId="4394" xr:uid="{00000000-0005-0000-0000-000027040000}"/>
    <cellStyle name="20% - Accent4 2 2 2 4" xfId="963" xr:uid="{00000000-0005-0000-0000-000028040000}"/>
    <cellStyle name="20% - Accent4 2 2 2 4 2" xfId="2255" xr:uid="{00000000-0005-0000-0000-000029040000}"/>
    <cellStyle name="20% - Accent4 2 2 2 4 3" xfId="3533" xr:uid="{00000000-0005-0000-0000-00002A040000}"/>
    <cellStyle name="20% - Accent4 2 2 2 4 4" xfId="4820" xr:uid="{00000000-0005-0000-0000-00002B040000}"/>
    <cellStyle name="20% - Accent4 2 2 2 5" xfId="1403" xr:uid="{00000000-0005-0000-0000-00002C040000}"/>
    <cellStyle name="20% - Accent4 2 2 2 6" xfId="2681" xr:uid="{00000000-0005-0000-0000-00002D040000}"/>
    <cellStyle name="20% - Accent4 2 2 2 7" xfId="3968" xr:uid="{00000000-0005-0000-0000-00002E040000}"/>
    <cellStyle name="20% - Accent4 2 2 2 8" xfId="5234" xr:uid="{00000000-0005-0000-0000-00002F040000}"/>
    <cellStyle name="20% - Accent4 2 2 3" xfId="323" xr:uid="{00000000-0005-0000-0000-000030040000}"/>
    <cellStyle name="20% - Accent4 2 2 3 2" xfId="749" xr:uid="{00000000-0005-0000-0000-000031040000}"/>
    <cellStyle name="20% - Accent4 2 2 3 2 2" xfId="2041" xr:uid="{00000000-0005-0000-0000-000032040000}"/>
    <cellStyle name="20% - Accent4 2 2 3 2 3" xfId="3319" xr:uid="{00000000-0005-0000-0000-000033040000}"/>
    <cellStyle name="20% - Accent4 2 2 3 2 4" xfId="4606" xr:uid="{00000000-0005-0000-0000-000034040000}"/>
    <cellStyle name="20% - Accent4 2 2 3 3" xfId="1175" xr:uid="{00000000-0005-0000-0000-000035040000}"/>
    <cellStyle name="20% - Accent4 2 2 3 3 2" xfId="2467" xr:uid="{00000000-0005-0000-0000-000036040000}"/>
    <cellStyle name="20% - Accent4 2 2 3 3 3" xfId="3745" xr:uid="{00000000-0005-0000-0000-000037040000}"/>
    <cellStyle name="20% - Accent4 2 2 3 3 4" xfId="5032" xr:uid="{00000000-0005-0000-0000-000038040000}"/>
    <cellStyle name="20% - Accent4 2 2 3 4" xfId="1615" xr:uid="{00000000-0005-0000-0000-000039040000}"/>
    <cellStyle name="20% - Accent4 2 2 3 5" xfId="2893" xr:uid="{00000000-0005-0000-0000-00003A040000}"/>
    <cellStyle name="20% - Accent4 2 2 3 6" xfId="4180" xr:uid="{00000000-0005-0000-0000-00003B040000}"/>
    <cellStyle name="20% - Accent4 2 2 4" xfId="536" xr:uid="{00000000-0005-0000-0000-00003C040000}"/>
    <cellStyle name="20% - Accent4 2 2 4 2" xfId="1828" xr:uid="{00000000-0005-0000-0000-00003D040000}"/>
    <cellStyle name="20% - Accent4 2 2 4 3" xfId="3106" xr:uid="{00000000-0005-0000-0000-00003E040000}"/>
    <cellStyle name="20% - Accent4 2 2 4 4" xfId="4393" xr:uid="{00000000-0005-0000-0000-00003F040000}"/>
    <cellStyle name="20% - Accent4 2 2 5" xfId="962" xr:uid="{00000000-0005-0000-0000-000040040000}"/>
    <cellStyle name="20% - Accent4 2 2 5 2" xfId="2254" xr:uid="{00000000-0005-0000-0000-000041040000}"/>
    <cellStyle name="20% - Accent4 2 2 5 3" xfId="3532" xr:uid="{00000000-0005-0000-0000-000042040000}"/>
    <cellStyle name="20% - Accent4 2 2 5 4" xfId="4819" xr:uid="{00000000-0005-0000-0000-000043040000}"/>
    <cellStyle name="20% - Accent4 2 2 6" xfId="1402" xr:uid="{00000000-0005-0000-0000-000044040000}"/>
    <cellStyle name="20% - Accent4 2 2 7" xfId="2680" xr:uid="{00000000-0005-0000-0000-000045040000}"/>
    <cellStyle name="20% - Accent4 2 2 8" xfId="3967" xr:uid="{00000000-0005-0000-0000-000046040000}"/>
    <cellStyle name="20% - Accent4 2 2 9" xfId="5233" xr:uid="{00000000-0005-0000-0000-000047040000}"/>
    <cellStyle name="20% - Accent4 2 3" xfId="116" xr:uid="{00000000-0005-0000-0000-000048040000}"/>
    <cellStyle name="20% - Accent4 2 3 2" xfId="325" xr:uid="{00000000-0005-0000-0000-000049040000}"/>
    <cellStyle name="20% - Accent4 2 3 2 2" xfId="751" xr:uid="{00000000-0005-0000-0000-00004A040000}"/>
    <cellStyle name="20% - Accent4 2 3 2 2 2" xfId="2043" xr:uid="{00000000-0005-0000-0000-00004B040000}"/>
    <cellStyle name="20% - Accent4 2 3 2 2 3" xfId="3321" xr:uid="{00000000-0005-0000-0000-00004C040000}"/>
    <cellStyle name="20% - Accent4 2 3 2 2 4" xfId="4608" xr:uid="{00000000-0005-0000-0000-00004D040000}"/>
    <cellStyle name="20% - Accent4 2 3 2 3" xfId="1177" xr:uid="{00000000-0005-0000-0000-00004E040000}"/>
    <cellStyle name="20% - Accent4 2 3 2 3 2" xfId="2469" xr:uid="{00000000-0005-0000-0000-00004F040000}"/>
    <cellStyle name="20% - Accent4 2 3 2 3 3" xfId="3747" xr:uid="{00000000-0005-0000-0000-000050040000}"/>
    <cellStyle name="20% - Accent4 2 3 2 3 4" xfId="5034" xr:uid="{00000000-0005-0000-0000-000051040000}"/>
    <cellStyle name="20% - Accent4 2 3 2 4" xfId="1617" xr:uid="{00000000-0005-0000-0000-000052040000}"/>
    <cellStyle name="20% - Accent4 2 3 2 5" xfId="2895" xr:uid="{00000000-0005-0000-0000-000053040000}"/>
    <cellStyle name="20% - Accent4 2 3 2 6" xfId="4182" xr:uid="{00000000-0005-0000-0000-000054040000}"/>
    <cellStyle name="20% - Accent4 2 3 3" xfId="538" xr:uid="{00000000-0005-0000-0000-000055040000}"/>
    <cellStyle name="20% - Accent4 2 3 3 2" xfId="1830" xr:uid="{00000000-0005-0000-0000-000056040000}"/>
    <cellStyle name="20% - Accent4 2 3 3 3" xfId="3108" xr:uid="{00000000-0005-0000-0000-000057040000}"/>
    <cellStyle name="20% - Accent4 2 3 3 4" xfId="4395" xr:uid="{00000000-0005-0000-0000-000058040000}"/>
    <cellStyle name="20% - Accent4 2 3 4" xfId="964" xr:uid="{00000000-0005-0000-0000-000059040000}"/>
    <cellStyle name="20% - Accent4 2 3 4 2" xfId="2256" xr:uid="{00000000-0005-0000-0000-00005A040000}"/>
    <cellStyle name="20% - Accent4 2 3 4 3" xfId="3534" xr:uid="{00000000-0005-0000-0000-00005B040000}"/>
    <cellStyle name="20% - Accent4 2 3 4 4" xfId="4821" xr:uid="{00000000-0005-0000-0000-00005C040000}"/>
    <cellStyle name="20% - Accent4 2 3 5" xfId="1404" xr:uid="{00000000-0005-0000-0000-00005D040000}"/>
    <cellStyle name="20% - Accent4 2 3 6" xfId="2682" xr:uid="{00000000-0005-0000-0000-00005E040000}"/>
    <cellStyle name="20% - Accent4 2 3 7" xfId="3969" xr:uid="{00000000-0005-0000-0000-00005F040000}"/>
    <cellStyle name="20% - Accent4 2 3 8" xfId="5235" xr:uid="{00000000-0005-0000-0000-000060040000}"/>
    <cellStyle name="20% - Accent4 2 4" xfId="117" xr:uid="{00000000-0005-0000-0000-000061040000}"/>
    <cellStyle name="20% - Accent4 2 4 2" xfId="326" xr:uid="{00000000-0005-0000-0000-000062040000}"/>
    <cellStyle name="20% - Accent4 2 4 2 2" xfId="752" xr:uid="{00000000-0005-0000-0000-000063040000}"/>
    <cellStyle name="20% - Accent4 2 4 2 2 2" xfId="2044" xr:uid="{00000000-0005-0000-0000-000064040000}"/>
    <cellStyle name="20% - Accent4 2 4 2 2 3" xfId="3322" xr:uid="{00000000-0005-0000-0000-000065040000}"/>
    <cellStyle name="20% - Accent4 2 4 2 2 4" xfId="4609" xr:uid="{00000000-0005-0000-0000-000066040000}"/>
    <cellStyle name="20% - Accent4 2 4 2 3" xfId="1178" xr:uid="{00000000-0005-0000-0000-000067040000}"/>
    <cellStyle name="20% - Accent4 2 4 2 3 2" xfId="2470" xr:uid="{00000000-0005-0000-0000-000068040000}"/>
    <cellStyle name="20% - Accent4 2 4 2 3 3" xfId="3748" xr:uid="{00000000-0005-0000-0000-000069040000}"/>
    <cellStyle name="20% - Accent4 2 4 2 3 4" xfId="5035" xr:uid="{00000000-0005-0000-0000-00006A040000}"/>
    <cellStyle name="20% - Accent4 2 4 2 4" xfId="1618" xr:uid="{00000000-0005-0000-0000-00006B040000}"/>
    <cellStyle name="20% - Accent4 2 4 2 5" xfId="2896" xr:uid="{00000000-0005-0000-0000-00006C040000}"/>
    <cellStyle name="20% - Accent4 2 4 2 6" xfId="4183" xr:uid="{00000000-0005-0000-0000-00006D040000}"/>
    <cellStyle name="20% - Accent4 2 4 3" xfId="539" xr:uid="{00000000-0005-0000-0000-00006E040000}"/>
    <cellStyle name="20% - Accent4 2 4 3 2" xfId="1831" xr:uid="{00000000-0005-0000-0000-00006F040000}"/>
    <cellStyle name="20% - Accent4 2 4 3 3" xfId="3109" xr:uid="{00000000-0005-0000-0000-000070040000}"/>
    <cellStyle name="20% - Accent4 2 4 3 4" xfId="4396" xr:uid="{00000000-0005-0000-0000-000071040000}"/>
    <cellStyle name="20% - Accent4 2 4 4" xfId="965" xr:uid="{00000000-0005-0000-0000-000072040000}"/>
    <cellStyle name="20% - Accent4 2 4 4 2" xfId="2257" xr:uid="{00000000-0005-0000-0000-000073040000}"/>
    <cellStyle name="20% - Accent4 2 4 4 3" xfId="3535" xr:uid="{00000000-0005-0000-0000-000074040000}"/>
    <cellStyle name="20% - Accent4 2 4 4 4" xfId="4822" xr:uid="{00000000-0005-0000-0000-000075040000}"/>
    <cellStyle name="20% - Accent4 2 4 5" xfId="1405" xr:uid="{00000000-0005-0000-0000-000076040000}"/>
    <cellStyle name="20% - Accent4 2 4 6" xfId="2683" xr:uid="{00000000-0005-0000-0000-000077040000}"/>
    <cellStyle name="20% - Accent4 2 4 7" xfId="3970" xr:uid="{00000000-0005-0000-0000-000078040000}"/>
    <cellStyle name="20% - Accent4 2 5" xfId="118" xr:uid="{00000000-0005-0000-0000-000079040000}"/>
    <cellStyle name="20% - Accent4 2 5 2" xfId="327" xr:uid="{00000000-0005-0000-0000-00007A040000}"/>
    <cellStyle name="20% - Accent4 2 5 2 2" xfId="753" xr:uid="{00000000-0005-0000-0000-00007B040000}"/>
    <cellStyle name="20% - Accent4 2 5 2 2 2" xfId="2045" xr:uid="{00000000-0005-0000-0000-00007C040000}"/>
    <cellStyle name="20% - Accent4 2 5 2 2 3" xfId="3323" xr:uid="{00000000-0005-0000-0000-00007D040000}"/>
    <cellStyle name="20% - Accent4 2 5 2 2 4" xfId="4610" xr:uid="{00000000-0005-0000-0000-00007E040000}"/>
    <cellStyle name="20% - Accent4 2 5 2 3" xfId="1179" xr:uid="{00000000-0005-0000-0000-00007F040000}"/>
    <cellStyle name="20% - Accent4 2 5 2 3 2" xfId="2471" xr:uid="{00000000-0005-0000-0000-000080040000}"/>
    <cellStyle name="20% - Accent4 2 5 2 3 3" xfId="3749" xr:uid="{00000000-0005-0000-0000-000081040000}"/>
    <cellStyle name="20% - Accent4 2 5 2 3 4" xfId="5036" xr:uid="{00000000-0005-0000-0000-000082040000}"/>
    <cellStyle name="20% - Accent4 2 5 2 4" xfId="1619" xr:uid="{00000000-0005-0000-0000-000083040000}"/>
    <cellStyle name="20% - Accent4 2 5 2 5" xfId="2897" xr:uid="{00000000-0005-0000-0000-000084040000}"/>
    <cellStyle name="20% - Accent4 2 5 2 6" xfId="4184" xr:uid="{00000000-0005-0000-0000-000085040000}"/>
    <cellStyle name="20% - Accent4 2 5 3" xfId="540" xr:uid="{00000000-0005-0000-0000-000086040000}"/>
    <cellStyle name="20% - Accent4 2 5 3 2" xfId="1832" xr:uid="{00000000-0005-0000-0000-000087040000}"/>
    <cellStyle name="20% - Accent4 2 5 3 3" xfId="3110" xr:uid="{00000000-0005-0000-0000-000088040000}"/>
    <cellStyle name="20% - Accent4 2 5 3 4" xfId="4397" xr:uid="{00000000-0005-0000-0000-000089040000}"/>
    <cellStyle name="20% - Accent4 2 5 4" xfId="966" xr:uid="{00000000-0005-0000-0000-00008A040000}"/>
    <cellStyle name="20% - Accent4 2 5 4 2" xfId="2258" xr:uid="{00000000-0005-0000-0000-00008B040000}"/>
    <cellStyle name="20% - Accent4 2 5 4 3" xfId="3536" xr:uid="{00000000-0005-0000-0000-00008C040000}"/>
    <cellStyle name="20% - Accent4 2 5 4 4" xfId="4823" xr:uid="{00000000-0005-0000-0000-00008D040000}"/>
    <cellStyle name="20% - Accent4 2 5 5" xfId="1406" xr:uid="{00000000-0005-0000-0000-00008E040000}"/>
    <cellStyle name="20% - Accent4 2 5 6" xfId="2684" xr:uid="{00000000-0005-0000-0000-00008F040000}"/>
    <cellStyle name="20% - Accent4 2 5 7" xfId="3971" xr:uid="{00000000-0005-0000-0000-000090040000}"/>
    <cellStyle name="20% - Accent4 2 6" xfId="276" xr:uid="{00000000-0005-0000-0000-000091040000}"/>
    <cellStyle name="20% - Accent4 2 6 2" xfId="489" xr:uid="{00000000-0005-0000-0000-000092040000}"/>
    <cellStyle name="20% - Accent4 2 6 2 2" xfId="914" xr:uid="{00000000-0005-0000-0000-000093040000}"/>
    <cellStyle name="20% - Accent4 2 6 2 2 2" xfId="2206" xr:uid="{00000000-0005-0000-0000-000094040000}"/>
    <cellStyle name="20% - Accent4 2 6 2 2 3" xfId="3484" xr:uid="{00000000-0005-0000-0000-000095040000}"/>
    <cellStyle name="20% - Accent4 2 6 2 2 4" xfId="4771" xr:uid="{00000000-0005-0000-0000-000096040000}"/>
    <cellStyle name="20% - Accent4 2 6 2 3" xfId="1340" xr:uid="{00000000-0005-0000-0000-000097040000}"/>
    <cellStyle name="20% - Accent4 2 6 2 3 2" xfId="2632" xr:uid="{00000000-0005-0000-0000-000098040000}"/>
    <cellStyle name="20% - Accent4 2 6 2 3 3" xfId="3910" xr:uid="{00000000-0005-0000-0000-000099040000}"/>
    <cellStyle name="20% - Accent4 2 6 2 3 4" xfId="5197" xr:uid="{00000000-0005-0000-0000-00009A040000}"/>
    <cellStyle name="20% - Accent4 2 6 2 4" xfId="1780" xr:uid="{00000000-0005-0000-0000-00009B040000}"/>
    <cellStyle name="20% - Accent4 2 6 2 5" xfId="3058" xr:uid="{00000000-0005-0000-0000-00009C040000}"/>
    <cellStyle name="20% - Accent4 2 6 2 6" xfId="4345" xr:uid="{00000000-0005-0000-0000-00009D040000}"/>
    <cellStyle name="20% - Accent4 2 6 3" xfId="701" xr:uid="{00000000-0005-0000-0000-00009E040000}"/>
    <cellStyle name="20% - Accent4 2 6 3 2" xfId="1993" xr:uid="{00000000-0005-0000-0000-00009F040000}"/>
    <cellStyle name="20% - Accent4 2 6 3 3" xfId="3271" xr:uid="{00000000-0005-0000-0000-0000A0040000}"/>
    <cellStyle name="20% - Accent4 2 6 3 4" xfId="4558" xr:uid="{00000000-0005-0000-0000-0000A1040000}"/>
    <cellStyle name="20% - Accent4 2 6 4" xfId="1127" xr:uid="{00000000-0005-0000-0000-0000A2040000}"/>
    <cellStyle name="20% - Accent4 2 6 4 2" xfId="2419" xr:uid="{00000000-0005-0000-0000-0000A3040000}"/>
    <cellStyle name="20% - Accent4 2 6 4 3" xfId="3697" xr:uid="{00000000-0005-0000-0000-0000A4040000}"/>
    <cellStyle name="20% - Accent4 2 6 4 4" xfId="4984" xr:uid="{00000000-0005-0000-0000-0000A5040000}"/>
    <cellStyle name="20% - Accent4 2 6 5" xfId="1567" xr:uid="{00000000-0005-0000-0000-0000A6040000}"/>
    <cellStyle name="20% - Accent4 2 6 6" xfId="2845" xr:uid="{00000000-0005-0000-0000-0000A7040000}"/>
    <cellStyle name="20% - Accent4 2 6 7" xfId="4132" xr:uid="{00000000-0005-0000-0000-0000A8040000}"/>
    <cellStyle name="20% - Accent4 2 7" xfId="322" xr:uid="{00000000-0005-0000-0000-0000A9040000}"/>
    <cellStyle name="20% - Accent4 2 7 2" xfId="748" xr:uid="{00000000-0005-0000-0000-0000AA040000}"/>
    <cellStyle name="20% - Accent4 2 7 2 2" xfId="2040" xr:uid="{00000000-0005-0000-0000-0000AB040000}"/>
    <cellStyle name="20% - Accent4 2 7 2 3" xfId="3318" xr:uid="{00000000-0005-0000-0000-0000AC040000}"/>
    <cellStyle name="20% - Accent4 2 7 2 4" xfId="4605" xr:uid="{00000000-0005-0000-0000-0000AD040000}"/>
    <cellStyle name="20% - Accent4 2 7 3" xfId="1174" xr:uid="{00000000-0005-0000-0000-0000AE040000}"/>
    <cellStyle name="20% - Accent4 2 7 3 2" xfId="2466" xr:uid="{00000000-0005-0000-0000-0000AF040000}"/>
    <cellStyle name="20% - Accent4 2 7 3 3" xfId="3744" xr:uid="{00000000-0005-0000-0000-0000B0040000}"/>
    <cellStyle name="20% - Accent4 2 7 3 4" xfId="5031" xr:uid="{00000000-0005-0000-0000-0000B1040000}"/>
    <cellStyle name="20% - Accent4 2 7 4" xfId="1614" xr:uid="{00000000-0005-0000-0000-0000B2040000}"/>
    <cellStyle name="20% - Accent4 2 7 5" xfId="2892" xr:uid="{00000000-0005-0000-0000-0000B3040000}"/>
    <cellStyle name="20% - Accent4 2 7 6" xfId="4179" xr:uid="{00000000-0005-0000-0000-0000B4040000}"/>
    <cellStyle name="20% - Accent4 2 8" xfId="535" xr:uid="{00000000-0005-0000-0000-0000B5040000}"/>
    <cellStyle name="20% - Accent4 2 8 2" xfId="1827" xr:uid="{00000000-0005-0000-0000-0000B6040000}"/>
    <cellStyle name="20% - Accent4 2 8 3" xfId="3105" xr:uid="{00000000-0005-0000-0000-0000B7040000}"/>
    <cellStyle name="20% - Accent4 2 8 4" xfId="4392" xr:uid="{00000000-0005-0000-0000-0000B8040000}"/>
    <cellStyle name="20% - Accent4 2 9" xfId="961" xr:uid="{00000000-0005-0000-0000-0000B9040000}"/>
    <cellStyle name="20% - Accent4 2 9 2" xfId="2253" xr:uid="{00000000-0005-0000-0000-0000BA040000}"/>
    <cellStyle name="20% - Accent4 2 9 3" xfId="3531" xr:uid="{00000000-0005-0000-0000-0000BB040000}"/>
    <cellStyle name="20% - Accent4 2 9 4" xfId="4818" xr:uid="{00000000-0005-0000-0000-0000BC040000}"/>
    <cellStyle name="20% - Accent4 3" xfId="119" xr:uid="{00000000-0005-0000-0000-0000BD040000}"/>
    <cellStyle name="20% - Accent4 3 2" xfId="120" xr:uid="{00000000-0005-0000-0000-0000BE040000}"/>
    <cellStyle name="20% - Accent4 3 2 2" xfId="329" xr:uid="{00000000-0005-0000-0000-0000BF040000}"/>
    <cellStyle name="20% - Accent4 3 2 2 2" xfId="755" xr:uid="{00000000-0005-0000-0000-0000C0040000}"/>
    <cellStyle name="20% - Accent4 3 2 2 2 2" xfId="2047" xr:uid="{00000000-0005-0000-0000-0000C1040000}"/>
    <cellStyle name="20% - Accent4 3 2 2 2 3" xfId="3325" xr:uid="{00000000-0005-0000-0000-0000C2040000}"/>
    <cellStyle name="20% - Accent4 3 2 2 2 4" xfId="4612" xr:uid="{00000000-0005-0000-0000-0000C3040000}"/>
    <cellStyle name="20% - Accent4 3 2 2 3" xfId="1181" xr:uid="{00000000-0005-0000-0000-0000C4040000}"/>
    <cellStyle name="20% - Accent4 3 2 2 3 2" xfId="2473" xr:uid="{00000000-0005-0000-0000-0000C5040000}"/>
    <cellStyle name="20% - Accent4 3 2 2 3 3" xfId="3751" xr:uid="{00000000-0005-0000-0000-0000C6040000}"/>
    <cellStyle name="20% - Accent4 3 2 2 3 4" xfId="5038" xr:uid="{00000000-0005-0000-0000-0000C7040000}"/>
    <cellStyle name="20% - Accent4 3 2 2 4" xfId="1621" xr:uid="{00000000-0005-0000-0000-0000C8040000}"/>
    <cellStyle name="20% - Accent4 3 2 2 5" xfId="2899" xr:uid="{00000000-0005-0000-0000-0000C9040000}"/>
    <cellStyle name="20% - Accent4 3 2 2 6" xfId="4186" xr:uid="{00000000-0005-0000-0000-0000CA040000}"/>
    <cellStyle name="20% - Accent4 3 2 3" xfId="542" xr:uid="{00000000-0005-0000-0000-0000CB040000}"/>
    <cellStyle name="20% - Accent4 3 2 3 2" xfId="1834" xr:uid="{00000000-0005-0000-0000-0000CC040000}"/>
    <cellStyle name="20% - Accent4 3 2 3 3" xfId="3112" xr:uid="{00000000-0005-0000-0000-0000CD040000}"/>
    <cellStyle name="20% - Accent4 3 2 3 4" xfId="4399" xr:uid="{00000000-0005-0000-0000-0000CE040000}"/>
    <cellStyle name="20% - Accent4 3 2 4" xfId="968" xr:uid="{00000000-0005-0000-0000-0000CF040000}"/>
    <cellStyle name="20% - Accent4 3 2 4 2" xfId="2260" xr:uid="{00000000-0005-0000-0000-0000D0040000}"/>
    <cellStyle name="20% - Accent4 3 2 4 3" xfId="3538" xr:uid="{00000000-0005-0000-0000-0000D1040000}"/>
    <cellStyle name="20% - Accent4 3 2 4 4" xfId="4825" xr:uid="{00000000-0005-0000-0000-0000D2040000}"/>
    <cellStyle name="20% - Accent4 3 2 5" xfId="1408" xr:uid="{00000000-0005-0000-0000-0000D3040000}"/>
    <cellStyle name="20% - Accent4 3 2 6" xfId="2686" xr:uid="{00000000-0005-0000-0000-0000D4040000}"/>
    <cellStyle name="20% - Accent4 3 2 7" xfId="3973" xr:uid="{00000000-0005-0000-0000-0000D5040000}"/>
    <cellStyle name="20% - Accent4 3 2 8" xfId="5237" xr:uid="{00000000-0005-0000-0000-0000D6040000}"/>
    <cellStyle name="20% - Accent4 3 3" xfId="328" xr:uid="{00000000-0005-0000-0000-0000D7040000}"/>
    <cellStyle name="20% - Accent4 3 3 2" xfId="754" xr:uid="{00000000-0005-0000-0000-0000D8040000}"/>
    <cellStyle name="20% - Accent4 3 3 2 2" xfId="2046" xr:uid="{00000000-0005-0000-0000-0000D9040000}"/>
    <cellStyle name="20% - Accent4 3 3 2 3" xfId="3324" xr:uid="{00000000-0005-0000-0000-0000DA040000}"/>
    <cellStyle name="20% - Accent4 3 3 2 4" xfId="4611" xr:uid="{00000000-0005-0000-0000-0000DB040000}"/>
    <cellStyle name="20% - Accent4 3 3 3" xfId="1180" xr:uid="{00000000-0005-0000-0000-0000DC040000}"/>
    <cellStyle name="20% - Accent4 3 3 3 2" xfId="2472" xr:uid="{00000000-0005-0000-0000-0000DD040000}"/>
    <cellStyle name="20% - Accent4 3 3 3 3" xfId="3750" xr:uid="{00000000-0005-0000-0000-0000DE040000}"/>
    <cellStyle name="20% - Accent4 3 3 3 4" xfId="5037" xr:uid="{00000000-0005-0000-0000-0000DF040000}"/>
    <cellStyle name="20% - Accent4 3 3 4" xfId="1620" xr:uid="{00000000-0005-0000-0000-0000E0040000}"/>
    <cellStyle name="20% - Accent4 3 3 5" xfId="2898" xr:uid="{00000000-0005-0000-0000-0000E1040000}"/>
    <cellStyle name="20% - Accent4 3 3 6" xfId="4185" xr:uid="{00000000-0005-0000-0000-0000E2040000}"/>
    <cellStyle name="20% - Accent4 3 4" xfId="541" xr:uid="{00000000-0005-0000-0000-0000E3040000}"/>
    <cellStyle name="20% - Accent4 3 4 2" xfId="1833" xr:uid="{00000000-0005-0000-0000-0000E4040000}"/>
    <cellStyle name="20% - Accent4 3 4 3" xfId="3111" xr:uid="{00000000-0005-0000-0000-0000E5040000}"/>
    <cellStyle name="20% - Accent4 3 4 4" xfId="4398" xr:uid="{00000000-0005-0000-0000-0000E6040000}"/>
    <cellStyle name="20% - Accent4 3 5" xfId="967" xr:uid="{00000000-0005-0000-0000-0000E7040000}"/>
    <cellStyle name="20% - Accent4 3 5 2" xfId="2259" xr:uid="{00000000-0005-0000-0000-0000E8040000}"/>
    <cellStyle name="20% - Accent4 3 5 3" xfId="3537" xr:uid="{00000000-0005-0000-0000-0000E9040000}"/>
    <cellStyle name="20% - Accent4 3 5 4" xfId="4824" xr:uid="{00000000-0005-0000-0000-0000EA040000}"/>
    <cellStyle name="20% - Accent4 3 6" xfId="1407" xr:uid="{00000000-0005-0000-0000-0000EB040000}"/>
    <cellStyle name="20% - Accent4 3 7" xfId="2685" xr:uid="{00000000-0005-0000-0000-0000EC040000}"/>
    <cellStyle name="20% - Accent4 3 8" xfId="3972" xr:uid="{00000000-0005-0000-0000-0000ED040000}"/>
    <cellStyle name="20% - Accent4 3 9" xfId="5236" xr:uid="{00000000-0005-0000-0000-0000EE040000}"/>
    <cellStyle name="20% - Accent4 4" xfId="121" xr:uid="{00000000-0005-0000-0000-0000EF040000}"/>
    <cellStyle name="20% - Accent4 4 2" xfId="330" xr:uid="{00000000-0005-0000-0000-0000F0040000}"/>
    <cellStyle name="20% - Accent4 4 2 2" xfId="756" xr:uid="{00000000-0005-0000-0000-0000F1040000}"/>
    <cellStyle name="20% - Accent4 4 2 2 2" xfId="2048" xr:uid="{00000000-0005-0000-0000-0000F2040000}"/>
    <cellStyle name="20% - Accent4 4 2 2 3" xfId="3326" xr:uid="{00000000-0005-0000-0000-0000F3040000}"/>
    <cellStyle name="20% - Accent4 4 2 2 4" xfId="4613" xr:uid="{00000000-0005-0000-0000-0000F4040000}"/>
    <cellStyle name="20% - Accent4 4 2 3" xfId="1182" xr:uid="{00000000-0005-0000-0000-0000F5040000}"/>
    <cellStyle name="20% - Accent4 4 2 3 2" xfId="2474" xr:uid="{00000000-0005-0000-0000-0000F6040000}"/>
    <cellStyle name="20% - Accent4 4 2 3 3" xfId="3752" xr:uid="{00000000-0005-0000-0000-0000F7040000}"/>
    <cellStyle name="20% - Accent4 4 2 3 4" xfId="5039" xr:uid="{00000000-0005-0000-0000-0000F8040000}"/>
    <cellStyle name="20% - Accent4 4 2 4" xfId="1622" xr:uid="{00000000-0005-0000-0000-0000F9040000}"/>
    <cellStyle name="20% - Accent4 4 2 5" xfId="2900" xr:uid="{00000000-0005-0000-0000-0000FA040000}"/>
    <cellStyle name="20% - Accent4 4 2 6" xfId="4187" xr:uid="{00000000-0005-0000-0000-0000FB040000}"/>
    <cellStyle name="20% - Accent4 4 3" xfId="543" xr:uid="{00000000-0005-0000-0000-0000FC040000}"/>
    <cellStyle name="20% - Accent4 4 3 2" xfId="1835" xr:uid="{00000000-0005-0000-0000-0000FD040000}"/>
    <cellStyle name="20% - Accent4 4 3 3" xfId="3113" xr:uid="{00000000-0005-0000-0000-0000FE040000}"/>
    <cellStyle name="20% - Accent4 4 3 4" xfId="4400" xr:uid="{00000000-0005-0000-0000-0000FF040000}"/>
    <cellStyle name="20% - Accent4 4 4" xfId="969" xr:uid="{00000000-0005-0000-0000-000000050000}"/>
    <cellStyle name="20% - Accent4 4 4 2" xfId="2261" xr:uid="{00000000-0005-0000-0000-000001050000}"/>
    <cellStyle name="20% - Accent4 4 4 3" xfId="3539" xr:uid="{00000000-0005-0000-0000-000002050000}"/>
    <cellStyle name="20% - Accent4 4 4 4" xfId="4826" xr:uid="{00000000-0005-0000-0000-000003050000}"/>
    <cellStyle name="20% - Accent4 4 5" xfId="1409" xr:uid="{00000000-0005-0000-0000-000004050000}"/>
    <cellStyle name="20% - Accent4 4 6" xfId="2687" xr:uid="{00000000-0005-0000-0000-000005050000}"/>
    <cellStyle name="20% - Accent4 4 7" xfId="3974" xr:uid="{00000000-0005-0000-0000-000006050000}"/>
    <cellStyle name="20% - Accent4 4 8" xfId="5238" xr:uid="{00000000-0005-0000-0000-000007050000}"/>
    <cellStyle name="20% - Accent4 5" xfId="122" xr:uid="{00000000-0005-0000-0000-000008050000}"/>
    <cellStyle name="20% - Accent4 5 2" xfId="331" xr:uid="{00000000-0005-0000-0000-000009050000}"/>
    <cellStyle name="20% - Accent4 5 2 2" xfId="757" xr:uid="{00000000-0005-0000-0000-00000A050000}"/>
    <cellStyle name="20% - Accent4 5 2 2 2" xfId="2049" xr:uid="{00000000-0005-0000-0000-00000B050000}"/>
    <cellStyle name="20% - Accent4 5 2 2 3" xfId="3327" xr:uid="{00000000-0005-0000-0000-00000C050000}"/>
    <cellStyle name="20% - Accent4 5 2 2 4" xfId="4614" xr:uid="{00000000-0005-0000-0000-00000D050000}"/>
    <cellStyle name="20% - Accent4 5 2 3" xfId="1183" xr:uid="{00000000-0005-0000-0000-00000E050000}"/>
    <cellStyle name="20% - Accent4 5 2 3 2" xfId="2475" xr:uid="{00000000-0005-0000-0000-00000F050000}"/>
    <cellStyle name="20% - Accent4 5 2 3 3" xfId="3753" xr:uid="{00000000-0005-0000-0000-000010050000}"/>
    <cellStyle name="20% - Accent4 5 2 3 4" xfId="5040" xr:uid="{00000000-0005-0000-0000-000011050000}"/>
    <cellStyle name="20% - Accent4 5 2 4" xfId="1623" xr:uid="{00000000-0005-0000-0000-000012050000}"/>
    <cellStyle name="20% - Accent4 5 2 5" xfId="2901" xr:uid="{00000000-0005-0000-0000-000013050000}"/>
    <cellStyle name="20% - Accent4 5 2 6" xfId="4188" xr:uid="{00000000-0005-0000-0000-000014050000}"/>
    <cellStyle name="20% - Accent4 5 3" xfId="544" xr:uid="{00000000-0005-0000-0000-000015050000}"/>
    <cellStyle name="20% - Accent4 5 3 2" xfId="1836" xr:uid="{00000000-0005-0000-0000-000016050000}"/>
    <cellStyle name="20% - Accent4 5 3 3" xfId="3114" xr:uid="{00000000-0005-0000-0000-000017050000}"/>
    <cellStyle name="20% - Accent4 5 3 4" xfId="4401" xr:uid="{00000000-0005-0000-0000-000018050000}"/>
    <cellStyle name="20% - Accent4 5 4" xfId="970" xr:uid="{00000000-0005-0000-0000-000019050000}"/>
    <cellStyle name="20% - Accent4 5 4 2" xfId="2262" xr:uid="{00000000-0005-0000-0000-00001A050000}"/>
    <cellStyle name="20% - Accent4 5 4 3" xfId="3540" xr:uid="{00000000-0005-0000-0000-00001B050000}"/>
    <cellStyle name="20% - Accent4 5 4 4" xfId="4827" xr:uid="{00000000-0005-0000-0000-00001C050000}"/>
    <cellStyle name="20% - Accent4 5 5" xfId="1410" xr:uid="{00000000-0005-0000-0000-00001D050000}"/>
    <cellStyle name="20% - Accent4 5 6" xfId="2688" xr:uid="{00000000-0005-0000-0000-00001E050000}"/>
    <cellStyle name="20% - Accent4 5 7" xfId="3975" xr:uid="{00000000-0005-0000-0000-00001F050000}"/>
    <cellStyle name="20% - Accent4 6" xfId="123" xr:uid="{00000000-0005-0000-0000-000020050000}"/>
    <cellStyle name="20% - Accent4 6 2" xfId="332" xr:uid="{00000000-0005-0000-0000-000021050000}"/>
    <cellStyle name="20% - Accent4 6 2 2" xfId="758" xr:uid="{00000000-0005-0000-0000-000022050000}"/>
    <cellStyle name="20% - Accent4 6 2 2 2" xfId="2050" xr:uid="{00000000-0005-0000-0000-000023050000}"/>
    <cellStyle name="20% - Accent4 6 2 2 3" xfId="3328" xr:uid="{00000000-0005-0000-0000-000024050000}"/>
    <cellStyle name="20% - Accent4 6 2 2 4" xfId="4615" xr:uid="{00000000-0005-0000-0000-000025050000}"/>
    <cellStyle name="20% - Accent4 6 2 3" xfId="1184" xr:uid="{00000000-0005-0000-0000-000026050000}"/>
    <cellStyle name="20% - Accent4 6 2 3 2" xfId="2476" xr:uid="{00000000-0005-0000-0000-000027050000}"/>
    <cellStyle name="20% - Accent4 6 2 3 3" xfId="3754" xr:uid="{00000000-0005-0000-0000-000028050000}"/>
    <cellStyle name="20% - Accent4 6 2 3 4" xfId="5041" xr:uid="{00000000-0005-0000-0000-000029050000}"/>
    <cellStyle name="20% - Accent4 6 2 4" xfId="1624" xr:uid="{00000000-0005-0000-0000-00002A050000}"/>
    <cellStyle name="20% - Accent4 6 2 5" xfId="2902" xr:uid="{00000000-0005-0000-0000-00002B050000}"/>
    <cellStyle name="20% - Accent4 6 2 6" xfId="4189" xr:uid="{00000000-0005-0000-0000-00002C050000}"/>
    <cellStyle name="20% - Accent4 6 3" xfId="545" xr:uid="{00000000-0005-0000-0000-00002D050000}"/>
    <cellStyle name="20% - Accent4 6 3 2" xfId="1837" xr:uid="{00000000-0005-0000-0000-00002E050000}"/>
    <cellStyle name="20% - Accent4 6 3 3" xfId="3115" xr:uid="{00000000-0005-0000-0000-00002F050000}"/>
    <cellStyle name="20% - Accent4 6 3 4" xfId="4402" xr:uid="{00000000-0005-0000-0000-000030050000}"/>
    <cellStyle name="20% - Accent4 6 4" xfId="971" xr:uid="{00000000-0005-0000-0000-000031050000}"/>
    <cellStyle name="20% - Accent4 6 4 2" xfId="2263" xr:uid="{00000000-0005-0000-0000-000032050000}"/>
    <cellStyle name="20% - Accent4 6 4 3" xfId="3541" xr:uid="{00000000-0005-0000-0000-000033050000}"/>
    <cellStyle name="20% - Accent4 6 4 4" xfId="4828" xr:uid="{00000000-0005-0000-0000-000034050000}"/>
    <cellStyle name="20% - Accent4 6 5" xfId="1411" xr:uid="{00000000-0005-0000-0000-000035050000}"/>
    <cellStyle name="20% - Accent4 6 6" xfId="2689" xr:uid="{00000000-0005-0000-0000-000036050000}"/>
    <cellStyle name="20% - Accent4 6 7" xfId="3976" xr:uid="{00000000-0005-0000-0000-000037050000}"/>
    <cellStyle name="20% - Accent4 7" xfId="258" xr:uid="{00000000-0005-0000-0000-000038050000}"/>
    <cellStyle name="20% - Accent4 7 2" xfId="471" xr:uid="{00000000-0005-0000-0000-000039050000}"/>
    <cellStyle name="20% - Accent4 7 2 2" xfId="896" xr:uid="{00000000-0005-0000-0000-00003A050000}"/>
    <cellStyle name="20% - Accent4 7 2 2 2" xfId="2188" xr:uid="{00000000-0005-0000-0000-00003B050000}"/>
    <cellStyle name="20% - Accent4 7 2 2 3" xfId="3466" xr:uid="{00000000-0005-0000-0000-00003C050000}"/>
    <cellStyle name="20% - Accent4 7 2 2 4" xfId="4753" xr:uid="{00000000-0005-0000-0000-00003D050000}"/>
    <cellStyle name="20% - Accent4 7 2 3" xfId="1322" xr:uid="{00000000-0005-0000-0000-00003E050000}"/>
    <cellStyle name="20% - Accent4 7 2 3 2" xfId="2614" xr:uid="{00000000-0005-0000-0000-00003F050000}"/>
    <cellStyle name="20% - Accent4 7 2 3 3" xfId="3892" xr:uid="{00000000-0005-0000-0000-000040050000}"/>
    <cellStyle name="20% - Accent4 7 2 3 4" xfId="5179" xr:uid="{00000000-0005-0000-0000-000041050000}"/>
    <cellStyle name="20% - Accent4 7 2 4" xfId="1762" xr:uid="{00000000-0005-0000-0000-000042050000}"/>
    <cellStyle name="20% - Accent4 7 2 5" xfId="3040" xr:uid="{00000000-0005-0000-0000-000043050000}"/>
    <cellStyle name="20% - Accent4 7 2 6" xfId="4327" xr:uid="{00000000-0005-0000-0000-000044050000}"/>
    <cellStyle name="20% - Accent4 7 3" xfId="683" xr:uid="{00000000-0005-0000-0000-000045050000}"/>
    <cellStyle name="20% - Accent4 7 3 2" xfId="1975" xr:uid="{00000000-0005-0000-0000-000046050000}"/>
    <cellStyle name="20% - Accent4 7 3 3" xfId="3253" xr:uid="{00000000-0005-0000-0000-000047050000}"/>
    <cellStyle name="20% - Accent4 7 3 4" xfId="4540" xr:uid="{00000000-0005-0000-0000-000048050000}"/>
    <cellStyle name="20% - Accent4 7 4" xfId="1109" xr:uid="{00000000-0005-0000-0000-000049050000}"/>
    <cellStyle name="20% - Accent4 7 4 2" xfId="2401" xr:uid="{00000000-0005-0000-0000-00004A050000}"/>
    <cellStyle name="20% - Accent4 7 4 3" xfId="3679" xr:uid="{00000000-0005-0000-0000-00004B050000}"/>
    <cellStyle name="20% - Accent4 7 4 4" xfId="4966" xr:uid="{00000000-0005-0000-0000-00004C050000}"/>
    <cellStyle name="20% - Accent4 7 5" xfId="1549" xr:uid="{00000000-0005-0000-0000-00004D050000}"/>
    <cellStyle name="20% - Accent4 7 6" xfId="2827" xr:uid="{00000000-0005-0000-0000-00004E050000}"/>
    <cellStyle name="20% - Accent4 7 7" xfId="4114" xr:uid="{00000000-0005-0000-0000-00004F050000}"/>
    <cellStyle name="20% - Accent4 8" xfId="321" xr:uid="{00000000-0005-0000-0000-000050050000}"/>
    <cellStyle name="20% - Accent4 8 2" xfId="747" xr:uid="{00000000-0005-0000-0000-000051050000}"/>
    <cellStyle name="20% - Accent4 8 2 2" xfId="2039" xr:uid="{00000000-0005-0000-0000-000052050000}"/>
    <cellStyle name="20% - Accent4 8 2 3" xfId="3317" xr:uid="{00000000-0005-0000-0000-000053050000}"/>
    <cellStyle name="20% - Accent4 8 2 4" xfId="4604" xr:uid="{00000000-0005-0000-0000-000054050000}"/>
    <cellStyle name="20% - Accent4 8 3" xfId="1173" xr:uid="{00000000-0005-0000-0000-000055050000}"/>
    <cellStyle name="20% - Accent4 8 3 2" xfId="2465" xr:uid="{00000000-0005-0000-0000-000056050000}"/>
    <cellStyle name="20% - Accent4 8 3 3" xfId="3743" xr:uid="{00000000-0005-0000-0000-000057050000}"/>
    <cellStyle name="20% - Accent4 8 3 4" xfId="5030" xr:uid="{00000000-0005-0000-0000-000058050000}"/>
    <cellStyle name="20% - Accent4 8 4" xfId="1613" xr:uid="{00000000-0005-0000-0000-000059050000}"/>
    <cellStyle name="20% - Accent4 8 5" xfId="2891" xr:uid="{00000000-0005-0000-0000-00005A050000}"/>
    <cellStyle name="20% - Accent4 8 6" xfId="4178" xr:uid="{00000000-0005-0000-0000-00005B050000}"/>
    <cellStyle name="20% - Accent4 9" xfId="534" xr:uid="{00000000-0005-0000-0000-00005C050000}"/>
    <cellStyle name="20% - Accent4 9 2" xfId="1826" xr:uid="{00000000-0005-0000-0000-00005D050000}"/>
    <cellStyle name="20% - Accent4 9 3" xfId="3104" xr:uid="{00000000-0005-0000-0000-00005E050000}"/>
    <cellStyle name="20% - Accent4 9 4" xfId="4391" xr:uid="{00000000-0005-0000-0000-00005F050000}"/>
    <cellStyle name="20% - Accent5" xfId="74" builtinId="46" customBuiltin="1"/>
    <cellStyle name="20% - Accent5 10" xfId="972" xr:uid="{00000000-0005-0000-0000-000061050000}"/>
    <cellStyle name="20% - Accent5 10 2" xfId="2264" xr:uid="{00000000-0005-0000-0000-000062050000}"/>
    <cellStyle name="20% - Accent5 10 3" xfId="3542" xr:uid="{00000000-0005-0000-0000-000063050000}"/>
    <cellStyle name="20% - Accent5 10 4" xfId="4829" xr:uid="{00000000-0005-0000-0000-000064050000}"/>
    <cellStyle name="20% - Accent5 11" xfId="1412" xr:uid="{00000000-0005-0000-0000-000065050000}"/>
    <cellStyle name="20% - Accent5 12" xfId="2690" xr:uid="{00000000-0005-0000-0000-000066050000}"/>
    <cellStyle name="20% - Accent5 13" xfId="3977" xr:uid="{00000000-0005-0000-0000-000067050000}"/>
    <cellStyle name="20% - Accent5 14" xfId="5239" xr:uid="{00000000-0005-0000-0000-000068050000}"/>
    <cellStyle name="20% - Accent5 2" xfId="14" xr:uid="{00000000-0005-0000-0000-000069050000}"/>
    <cellStyle name="20% - Accent5 2 10" xfId="1413" xr:uid="{00000000-0005-0000-0000-00006A050000}"/>
    <cellStyle name="20% - Accent5 2 11" xfId="2691" xr:uid="{00000000-0005-0000-0000-00006B050000}"/>
    <cellStyle name="20% - Accent5 2 12" xfId="3978" xr:uid="{00000000-0005-0000-0000-00006C050000}"/>
    <cellStyle name="20% - Accent5 2 13" xfId="5240" xr:uid="{00000000-0005-0000-0000-00006D050000}"/>
    <cellStyle name="20% - Accent5 2 2" xfId="124" xr:uid="{00000000-0005-0000-0000-00006E050000}"/>
    <cellStyle name="20% - Accent5 2 2 2" xfId="125" xr:uid="{00000000-0005-0000-0000-00006F050000}"/>
    <cellStyle name="20% - Accent5 2 2 2 2" xfId="336" xr:uid="{00000000-0005-0000-0000-000070050000}"/>
    <cellStyle name="20% - Accent5 2 2 2 2 2" xfId="762" xr:uid="{00000000-0005-0000-0000-000071050000}"/>
    <cellStyle name="20% - Accent5 2 2 2 2 2 2" xfId="2054" xr:uid="{00000000-0005-0000-0000-000072050000}"/>
    <cellStyle name="20% - Accent5 2 2 2 2 2 3" xfId="3332" xr:uid="{00000000-0005-0000-0000-000073050000}"/>
    <cellStyle name="20% - Accent5 2 2 2 2 2 4" xfId="4619" xr:uid="{00000000-0005-0000-0000-000074050000}"/>
    <cellStyle name="20% - Accent5 2 2 2 2 3" xfId="1188" xr:uid="{00000000-0005-0000-0000-000075050000}"/>
    <cellStyle name="20% - Accent5 2 2 2 2 3 2" xfId="2480" xr:uid="{00000000-0005-0000-0000-000076050000}"/>
    <cellStyle name="20% - Accent5 2 2 2 2 3 3" xfId="3758" xr:uid="{00000000-0005-0000-0000-000077050000}"/>
    <cellStyle name="20% - Accent5 2 2 2 2 3 4" xfId="5045" xr:uid="{00000000-0005-0000-0000-000078050000}"/>
    <cellStyle name="20% - Accent5 2 2 2 2 4" xfId="1628" xr:uid="{00000000-0005-0000-0000-000079050000}"/>
    <cellStyle name="20% - Accent5 2 2 2 2 5" xfId="2906" xr:uid="{00000000-0005-0000-0000-00007A050000}"/>
    <cellStyle name="20% - Accent5 2 2 2 2 6" xfId="4193" xr:uid="{00000000-0005-0000-0000-00007B050000}"/>
    <cellStyle name="20% - Accent5 2 2 2 3" xfId="549" xr:uid="{00000000-0005-0000-0000-00007C050000}"/>
    <cellStyle name="20% - Accent5 2 2 2 3 2" xfId="1841" xr:uid="{00000000-0005-0000-0000-00007D050000}"/>
    <cellStyle name="20% - Accent5 2 2 2 3 3" xfId="3119" xr:uid="{00000000-0005-0000-0000-00007E050000}"/>
    <cellStyle name="20% - Accent5 2 2 2 3 4" xfId="4406" xr:uid="{00000000-0005-0000-0000-00007F050000}"/>
    <cellStyle name="20% - Accent5 2 2 2 4" xfId="975" xr:uid="{00000000-0005-0000-0000-000080050000}"/>
    <cellStyle name="20% - Accent5 2 2 2 4 2" xfId="2267" xr:uid="{00000000-0005-0000-0000-000081050000}"/>
    <cellStyle name="20% - Accent5 2 2 2 4 3" xfId="3545" xr:uid="{00000000-0005-0000-0000-000082050000}"/>
    <cellStyle name="20% - Accent5 2 2 2 4 4" xfId="4832" xr:uid="{00000000-0005-0000-0000-000083050000}"/>
    <cellStyle name="20% - Accent5 2 2 2 5" xfId="1415" xr:uid="{00000000-0005-0000-0000-000084050000}"/>
    <cellStyle name="20% - Accent5 2 2 2 6" xfId="2693" xr:uid="{00000000-0005-0000-0000-000085050000}"/>
    <cellStyle name="20% - Accent5 2 2 2 7" xfId="3980" xr:uid="{00000000-0005-0000-0000-000086050000}"/>
    <cellStyle name="20% - Accent5 2 2 2 8" xfId="5242" xr:uid="{00000000-0005-0000-0000-000087050000}"/>
    <cellStyle name="20% - Accent5 2 2 3" xfId="335" xr:uid="{00000000-0005-0000-0000-000088050000}"/>
    <cellStyle name="20% - Accent5 2 2 3 2" xfId="761" xr:uid="{00000000-0005-0000-0000-000089050000}"/>
    <cellStyle name="20% - Accent5 2 2 3 2 2" xfId="2053" xr:uid="{00000000-0005-0000-0000-00008A050000}"/>
    <cellStyle name="20% - Accent5 2 2 3 2 3" xfId="3331" xr:uid="{00000000-0005-0000-0000-00008B050000}"/>
    <cellStyle name="20% - Accent5 2 2 3 2 4" xfId="4618" xr:uid="{00000000-0005-0000-0000-00008C050000}"/>
    <cellStyle name="20% - Accent5 2 2 3 3" xfId="1187" xr:uid="{00000000-0005-0000-0000-00008D050000}"/>
    <cellStyle name="20% - Accent5 2 2 3 3 2" xfId="2479" xr:uid="{00000000-0005-0000-0000-00008E050000}"/>
    <cellStyle name="20% - Accent5 2 2 3 3 3" xfId="3757" xr:uid="{00000000-0005-0000-0000-00008F050000}"/>
    <cellStyle name="20% - Accent5 2 2 3 3 4" xfId="5044" xr:uid="{00000000-0005-0000-0000-000090050000}"/>
    <cellStyle name="20% - Accent5 2 2 3 4" xfId="1627" xr:uid="{00000000-0005-0000-0000-000091050000}"/>
    <cellStyle name="20% - Accent5 2 2 3 5" xfId="2905" xr:uid="{00000000-0005-0000-0000-000092050000}"/>
    <cellStyle name="20% - Accent5 2 2 3 6" xfId="4192" xr:uid="{00000000-0005-0000-0000-000093050000}"/>
    <cellStyle name="20% - Accent5 2 2 4" xfId="548" xr:uid="{00000000-0005-0000-0000-000094050000}"/>
    <cellStyle name="20% - Accent5 2 2 4 2" xfId="1840" xr:uid="{00000000-0005-0000-0000-000095050000}"/>
    <cellStyle name="20% - Accent5 2 2 4 3" xfId="3118" xr:uid="{00000000-0005-0000-0000-000096050000}"/>
    <cellStyle name="20% - Accent5 2 2 4 4" xfId="4405" xr:uid="{00000000-0005-0000-0000-000097050000}"/>
    <cellStyle name="20% - Accent5 2 2 5" xfId="974" xr:uid="{00000000-0005-0000-0000-000098050000}"/>
    <cellStyle name="20% - Accent5 2 2 5 2" xfId="2266" xr:uid="{00000000-0005-0000-0000-000099050000}"/>
    <cellStyle name="20% - Accent5 2 2 5 3" xfId="3544" xr:uid="{00000000-0005-0000-0000-00009A050000}"/>
    <cellStyle name="20% - Accent5 2 2 5 4" xfId="4831" xr:uid="{00000000-0005-0000-0000-00009B050000}"/>
    <cellStyle name="20% - Accent5 2 2 6" xfId="1414" xr:uid="{00000000-0005-0000-0000-00009C050000}"/>
    <cellStyle name="20% - Accent5 2 2 7" xfId="2692" xr:uid="{00000000-0005-0000-0000-00009D050000}"/>
    <cellStyle name="20% - Accent5 2 2 8" xfId="3979" xr:uid="{00000000-0005-0000-0000-00009E050000}"/>
    <cellStyle name="20% - Accent5 2 2 9" xfId="5241" xr:uid="{00000000-0005-0000-0000-00009F050000}"/>
    <cellStyle name="20% - Accent5 2 3" xfId="126" xr:uid="{00000000-0005-0000-0000-0000A0050000}"/>
    <cellStyle name="20% - Accent5 2 3 2" xfId="337" xr:uid="{00000000-0005-0000-0000-0000A1050000}"/>
    <cellStyle name="20% - Accent5 2 3 2 2" xfId="763" xr:uid="{00000000-0005-0000-0000-0000A2050000}"/>
    <cellStyle name="20% - Accent5 2 3 2 2 2" xfId="2055" xr:uid="{00000000-0005-0000-0000-0000A3050000}"/>
    <cellStyle name="20% - Accent5 2 3 2 2 3" xfId="3333" xr:uid="{00000000-0005-0000-0000-0000A4050000}"/>
    <cellStyle name="20% - Accent5 2 3 2 2 4" xfId="4620" xr:uid="{00000000-0005-0000-0000-0000A5050000}"/>
    <cellStyle name="20% - Accent5 2 3 2 3" xfId="1189" xr:uid="{00000000-0005-0000-0000-0000A6050000}"/>
    <cellStyle name="20% - Accent5 2 3 2 3 2" xfId="2481" xr:uid="{00000000-0005-0000-0000-0000A7050000}"/>
    <cellStyle name="20% - Accent5 2 3 2 3 3" xfId="3759" xr:uid="{00000000-0005-0000-0000-0000A8050000}"/>
    <cellStyle name="20% - Accent5 2 3 2 3 4" xfId="5046" xr:uid="{00000000-0005-0000-0000-0000A9050000}"/>
    <cellStyle name="20% - Accent5 2 3 2 4" xfId="1629" xr:uid="{00000000-0005-0000-0000-0000AA050000}"/>
    <cellStyle name="20% - Accent5 2 3 2 5" xfId="2907" xr:uid="{00000000-0005-0000-0000-0000AB050000}"/>
    <cellStyle name="20% - Accent5 2 3 2 6" xfId="4194" xr:uid="{00000000-0005-0000-0000-0000AC050000}"/>
    <cellStyle name="20% - Accent5 2 3 3" xfId="550" xr:uid="{00000000-0005-0000-0000-0000AD050000}"/>
    <cellStyle name="20% - Accent5 2 3 3 2" xfId="1842" xr:uid="{00000000-0005-0000-0000-0000AE050000}"/>
    <cellStyle name="20% - Accent5 2 3 3 3" xfId="3120" xr:uid="{00000000-0005-0000-0000-0000AF050000}"/>
    <cellStyle name="20% - Accent5 2 3 3 4" xfId="4407" xr:uid="{00000000-0005-0000-0000-0000B0050000}"/>
    <cellStyle name="20% - Accent5 2 3 4" xfId="976" xr:uid="{00000000-0005-0000-0000-0000B1050000}"/>
    <cellStyle name="20% - Accent5 2 3 4 2" xfId="2268" xr:uid="{00000000-0005-0000-0000-0000B2050000}"/>
    <cellStyle name="20% - Accent5 2 3 4 3" xfId="3546" xr:uid="{00000000-0005-0000-0000-0000B3050000}"/>
    <cellStyle name="20% - Accent5 2 3 4 4" xfId="4833" xr:uid="{00000000-0005-0000-0000-0000B4050000}"/>
    <cellStyle name="20% - Accent5 2 3 5" xfId="1416" xr:uid="{00000000-0005-0000-0000-0000B5050000}"/>
    <cellStyle name="20% - Accent5 2 3 6" xfId="2694" xr:uid="{00000000-0005-0000-0000-0000B6050000}"/>
    <cellStyle name="20% - Accent5 2 3 7" xfId="3981" xr:uid="{00000000-0005-0000-0000-0000B7050000}"/>
    <cellStyle name="20% - Accent5 2 3 8" xfId="5243" xr:uid="{00000000-0005-0000-0000-0000B8050000}"/>
    <cellStyle name="20% - Accent5 2 4" xfId="127" xr:uid="{00000000-0005-0000-0000-0000B9050000}"/>
    <cellStyle name="20% - Accent5 2 4 2" xfId="338" xr:uid="{00000000-0005-0000-0000-0000BA050000}"/>
    <cellStyle name="20% - Accent5 2 4 2 2" xfId="764" xr:uid="{00000000-0005-0000-0000-0000BB050000}"/>
    <cellStyle name="20% - Accent5 2 4 2 2 2" xfId="2056" xr:uid="{00000000-0005-0000-0000-0000BC050000}"/>
    <cellStyle name="20% - Accent5 2 4 2 2 3" xfId="3334" xr:uid="{00000000-0005-0000-0000-0000BD050000}"/>
    <cellStyle name="20% - Accent5 2 4 2 2 4" xfId="4621" xr:uid="{00000000-0005-0000-0000-0000BE050000}"/>
    <cellStyle name="20% - Accent5 2 4 2 3" xfId="1190" xr:uid="{00000000-0005-0000-0000-0000BF050000}"/>
    <cellStyle name="20% - Accent5 2 4 2 3 2" xfId="2482" xr:uid="{00000000-0005-0000-0000-0000C0050000}"/>
    <cellStyle name="20% - Accent5 2 4 2 3 3" xfId="3760" xr:uid="{00000000-0005-0000-0000-0000C1050000}"/>
    <cellStyle name="20% - Accent5 2 4 2 3 4" xfId="5047" xr:uid="{00000000-0005-0000-0000-0000C2050000}"/>
    <cellStyle name="20% - Accent5 2 4 2 4" xfId="1630" xr:uid="{00000000-0005-0000-0000-0000C3050000}"/>
    <cellStyle name="20% - Accent5 2 4 2 5" xfId="2908" xr:uid="{00000000-0005-0000-0000-0000C4050000}"/>
    <cellStyle name="20% - Accent5 2 4 2 6" xfId="4195" xr:uid="{00000000-0005-0000-0000-0000C5050000}"/>
    <cellStyle name="20% - Accent5 2 4 3" xfId="551" xr:uid="{00000000-0005-0000-0000-0000C6050000}"/>
    <cellStyle name="20% - Accent5 2 4 3 2" xfId="1843" xr:uid="{00000000-0005-0000-0000-0000C7050000}"/>
    <cellStyle name="20% - Accent5 2 4 3 3" xfId="3121" xr:uid="{00000000-0005-0000-0000-0000C8050000}"/>
    <cellStyle name="20% - Accent5 2 4 3 4" xfId="4408" xr:uid="{00000000-0005-0000-0000-0000C9050000}"/>
    <cellStyle name="20% - Accent5 2 4 4" xfId="977" xr:uid="{00000000-0005-0000-0000-0000CA050000}"/>
    <cellStyle name="20% - Accent5 2 4 4 2" xfId="2269" xr:uid="{00000000-0005-0000-0000-0000CB050000}"/>
    <cellStyle name="20% - Accent5 2 4 4 3" xfId="3547" xr:uid="{00000000-0005-0000-0000-0000CC050000}"/>
    <cellStyle name="20% - Accent5 2 4 4 4" xfId="4834" xr:uid="{00000000-0005-0000-0000-0000CD050000}"/>
    <cellStyle name="20% - Accent5 2 4 5" xfId="1417" xr:uid="{00000000-0005-0000-0000-0000CE050000}"/>
    <cellStyle name="20% - Accent5 2 4 6" xfId="2695" xr:uid="{00000000-0005-0000-0000-0000CF050000}"/>
    <cellStyle name="20% - Accent5 2 4 7" xfId="3982" xr:uid="{00000000-0005-0000-0000-0000D0050000}"/>
    <cellStyle name="20% - Accent5 2 5" xfId="128" xr:uid="{00000000-0005-0000-0000-0000D1050000}"/>
    <cellStyle name="20% - Accent5 2 5 2" xfId="339" xr:uid="{00000000-0005-0000-0000-0000D2050000}"/>
    <cellStyle name="20% - Accent5 2 5 2 2" xfId="765" xr:uid="{00000000-0005-0000-0000-0000D3050000}"/>
    <cellStyle name="20% - Accent5 2 5 2 2 2" xfId="2057" xr:uid="{00000000-0005-0000-0000-0000D4050000}"/>
    <cellStyle name="20% - Accent5 2 5 2 2 3" xfId="3335" xr:uid="{00000000-0005-0000-0000-0000D5050000}"/>
    <cellStyle name="20% - Accent5 2 5 2 2 4" xfId="4622" xr:uid="{00000000-0005-0000-0000-0000D6050000}"/>
    <cellStyle name="20% - Accent5 2 5 2 3" xfId="1191" xr:uid="{00000000-0005-0000-0000-0000D7050000}"/>
    <cellStyle name="20% - Accent5 2 5 2 3 2" xfId="2483" xr:uid="{00000000-0005-0000-0000-0000D8050000}"/>
    <cellStyle name="20% - Accent5 2 5 2 3 3" xfId="3761" xr:uid="{00000000-0005-0000-0000-0000D9050000}"/>
    <cellStyle name="20% - Accent5 2 5 2 3 4" xfId="5048" xr:uid="{00000000-0005-0000-0000-0000DA050000}"/>
    <cellStyle name="20% - Accent5 2 5 2 4" xfId="1631" xr:uid="{00000000-0005-0000-0000-0000DB050000}"/>
    <cellStyle name="20% - Accent5 2 5 2 5" xfId="2909" xr:uid="{00000000-0005-0000-0000-0000DC050000}"/>
    <cellStyle name="20% - Accent5 2 5 2 6" xfId="4196" xr:uid="{00000000-0005-0000-0000-0000DD050000}"/>
    <cellStyle name="20% - Accent5 2 5 3" xfId="552" xr:uid="{00000000-0005-0000-0000-0000DE050000}"/>
    <cellStyle name="20% - Accent5 2 5 3 2" xfId="1844" xr:uid="{00000000-0005-0000-0000-0000DF050000}"/>
    <cellStyle name="20% - Accent5 2 5 3 3" xfId="3122" xr:uid="{00000000-0005-0000-0000-0000E0050000}"/>
    <cellStyle name="20% - Accent5 2 5 3 4" xfId="4409" xr:uid="{00000000-0005-0000-0000-0000E1050000}"/>
    <cellStyle name="20% - Accent5 2 5 4" xfId="978" xr:uid="{00000000-0005-0000-0000-0000E2050000}"/>
    <cellStyle name="20% - Accent5 2 5 4 2" xfId="2270" xr:uid="{00000000-0005-0000-0000-0000E3050000}"/>
    <cellStyle name="20% - Accent5 2 5 4 3" xfId="3548" xr:uid="{00000000-0005-0000-0000-0000E4050000}"/>
    <cellStyle name="20% - Accent5 2 5 4 4" xfId="4835" xr:uid="{00000000-0005-0000-0000-0000E5050000}"/>
    <cellStyle name="20% - Accent5 2 5 5" xfId="1418" xr:uid="{00000000-0005-0000-0000-0000E6050000}"/>
    <cellStyle name="20% - Accent5 2 5 6" xfId="2696" xr:uid="{00000000-0005-0000-0000-0000E7050000}"/>
    <cellStyle name="20% - Accent5 2 5 7" xfId="3983" xr:uid="{00000000-0005-0000-0000-0000E8050000}"/>
    <cellStyle name="20% - Accent5 2 6" xfId="278" xr:uid="{00000000-0005-0000-0000-0000E9050000}"/>
    <cellStyle name="20% - Accent5 2 6 2" xfId="491" xr:uid="{00000000-0005-0000-0000-0000EA050000}"/>
    <cellStyle name="20% - Accent5 2 6 2 2" xfId="916" xr:uid="{00000000-0005-0000-0000-0000EB050000}"/>
    <cellStyle name="20% - Accent5 2 6 2 2 2" xfId="2208" xr:uid="{00000000-0005-0000-0000-0000EC050000}"/>
    <cellStyle name="20% - Accent5 2 6 2 2 3" xfId="3486" xr:uid="{00000000-0005-0000-0000-0000ED050000}"/>
    <cellStyle name="20% - Accent5 2 6 2 2 4" xfId="4773" xr:uid="{00000000-0005-0000-0000-0000EE050000}"/>
    <cellStyle name="20% - Accent5 2 6 2 3" xfId="1342" xr:uid="{00000000-0005-0000-0000-0000EF050000}"/>
    <cellStyle name="20% - Accent5 2 6 2 3 2" xfId="2634" xr:uid="{00000000-0005-0000-0000-0000F0050000}"/>
    <cellStyle name="20% - Accent5 2 6 2 3 3" xfId="3912" xr:uid="{00000000-0005-0000-0000-0000F1050000}"/>
    <cellStyle name="20% - Accent5 2 6 2 3 4" xfId="5199" xr:uid="{00000000-0005-0000-0000-0000F2050000}"/>
    <cellStyle name="20% - Accent5 2 6 2 4" xfId="1782" xr:uid="{00000000-0005-0000-0000-0000F3050000}"/>
    <cellStyle name="20% - Accent5 2 6 2 5" xfId="3060" xr:uid="{00000000-0005-0000-0000-0000F4050000}"/>
    <cellStyle name="20% - Accent5 2 6 2 6" xfId="4347" xr:uid="{00000000-0005-0000-0000-0000F5050000}"/>
    <cellStyle name="20% - Accent5 2 6 3" xfId="703" xr:uid="{00000000-0005-0000-0000-0000F6050000}"/>
    <cellStyle name="20% - Accent5 2 6 3 2" xfId="1995" xr:uid="{00000000-0005-0000-0000-0000F7050000}"/>
    <cellStyle name="20% - Accent5 2 6 3 3" xfId="3273" xr:uid="{00000000-0005-0000-0000-0000F8050000}"/>
    <cellStyle name="20% - Accent5 2 6 3 4" xfId="4560" xr:uid="{00000000-0005-0000-0000-0000F9050000}"/>
    <cellStyle name="20% - Accent5 2 6 4" xfId="1129" xr:uid="{00000000-0005-0000-0000-0000FA050000}"/>
    <cellStyle name="20% - Accent5 2 6 4 2" xfId="2421" xr:uid="{00000000-0005-0000-0000-0000FB050000}"/>
    <cellStyle name="20% - Accent5 2 6 4 3" xfId="3699" xr:uid="{00000000-0005-0000-0000-0000FC050000}"/>
    <cellStyle name="20% - Accent5 2 6 4 4" xfId="4986" xr:uid="{00000000-0005-0000-0000-0000FD050000}"/>
    <cellStyle name="20% - Accent5 2 6 5" xfId="1569" xr:uid="{00000000-0005-0000-0000-0000FE050000}"/>
    <cellStyle name="20% - Accent5 2 6 6" xfId="2847" xr:uid="{00000000-0005-0000-0000-0000FF050000}"/>
    <cellStyle name="20% - Accent5 2 6 7" xfId="4134" xr:uid="{00000000-0005-0000-0000-000000060000}"/>
    <cellStyle name="20% - Accent5 2 7" xfId="334" xr:uid="{00000000-0005-0000-0000-000001060000}"/>
    <cellStyle name="20% - Accent5 2 7 2" xfId="760" xr:uid="{00000000-0005-0000-0000-000002060000}"/>
    <cellStyle name="20% - Accent5 2 7 2 2" xfId="2052" xr:uid="{00000000-0005-0000-0000-000003060000}"/>
    <cellStyle name="20% - Accent5 2 7 2 3" xfId="3330" xr:uid="{00000000-0005-0000-0000-000004060000}"/>
    <cellStyle name="20% - Accent5 2 7 2 4" xfId="4617" xr:uid="{00000000-0005-0000-0000-000005060000}"/>
    <cellStyle name="20% - Accent5 2 7 3" xfId="1186" xr:uid="{00000000-0005-0000-0000-000006060000}"/>
    <cellStyle name="20% - Accent5 2 7 3 2" xfId="2478" xr:uid="{00000000-0005-0000-0000-000007060000}"/>
    <cellStyle name="20% - Accent5 2 7 3 3" xfId="3756" xr:uid="{00000000-0005-0000-0000-000008060000}"/>
    <cellStyle name="20% - Accent5 2 7 3 4" xfId="5043" xr:uid="{00000000-0005-0000-0000-000009060000}"/>
    <cellStyle name="20% - Accent5 2 7 4" xfId="1626" xr:uid="{00000000-0005-0000-0000-00000A060000}"/>
    <cellStyle name="20% - Accent5 2 7 5" xfId="2904" xr:uid="{00000000-0005-0000-0000-00000B060000}"/>
    <cellStyle name="20% - Accent5 2 7 6" xfId="4191" xr:uid="{00000000-0005-0000-0000-00000C060000}"/>
    <cellStyle name="20% - Accent5 2 8" xfId="547" xr:uid="{00000000-0005-0000-0000-00000D060000}"/>
    <cellStyle name="20% - Accent5 2 8 2" xfId="1839" xr:uid="{00000000-0005-0000-0000-00000E060000}"/>
    <cellStyle name="20% - Accent5 2 8 3" xfId="3117" xr:uid="{00000000-0005-0000-0000-00000F060000}"/>
    <cellStyle name="20% - Accent5 2 8 4" xfId="4404" xr:uid="{00000000-0005-0000-0000-000010060000}"/>
    <cellStyle name="20% - Accent5 2 9" xfId="973" xr:uid="{00000000-0005-0000-0000-000011060000}"/>
    <cellStyle name="20% - Accent5 2 9 2" xfId="2265" xr:uid="{00000000-0005-0000-0000-000012060000}"/>
    <cellStyle name="20% - Accent5 2 9 3" xfId="3543" xr:uid="{00000000-0005-0000-0000-000013060000}"/>
    <cellStyle name="20% - Accent5 2 9 4" xfId="4830" xr:uid="{00000000-0005-0000-0000-000014060000}"/>
    <cellStyle name="20% - Accent5 3" xfId="129" xr:uid="{00000000-0005-0000-0000-000015060000}"/>
    <cellStyle name="20% - Accent5 3 2" xfId="130" xr:uid="{00000000-0005-0000-0000-000016060000}"/>
    <cellStyle name="20% - Accent5 3 2 2" xfId="341" xr:uid="{00000000-0005-0000-0000-000017060000}"/>
    <cellStyle name="20% - Accent5 3 2 2 2" xfId="767" xr:uid="{00000000-0005-0000-0000-000018060000}"/>
    <cellStyle name="20% - Accent5 3 2 2 2 2" xfId="2059" xr:uid="{00000000-0005-0000-0000-000019060000}"/>
    <cellStyle name="20% - Accent5 3 2 2 2 3" xfId="3337" xr:uid="{00000000-0005-0000-0000-00001A060000}"/>
    <cellStyle name="20% - Accent5 3 2 2 2 4" xfId="4624" xr:uid="{00000000-0005-0000-0000-00001B060000}"/>
    <cellStyle name="20% - Accent5 3 2 2 3" xfId="1193" xr:uid="{00000000-0005-0000-0000-00001C060000}"/>
    <cellStyle name="20% - Accent5 3 2 2 3 2" xfId="2485" xr:uid="{00000000-0005-0000-0000-00001D060000}"/>
    <cellStyle name="20% - Accent5 3 2 2 3 3" xfId="3763" xr:uid="{00000000-0005-0000-0000-00001E060000}"/>
    <cellStyle name="20% - Accent5 3 2 2 3 4" xfId="5050" xr:uid="{00000000-0005-0000-0000-00001F060000}"/>
    <cellStyle name="20% - Accent5 3 2 2 4" xfId="1633" xr:uid="{00000000-0005-0000-0000-000020060000}"/>
    <cellStyle name="20% - Accent5 3 2 2 5" xfId="2911" xr:uid="{00000000-0005-0000-0000-000021060000}"/>
    <cellStyle name="20% - Accent5 3 2 2 6" xfId="4198" xr:uid="{00000000-0005-0000-0000-000022060000}"/>
    <cellStyle name="20% - Accent5 3 2 3" xfId="554" xr:uid="{00000000-0005-0000-0000-000023060000}"/>
    <cellStyle name="20% - Accent5 3 2 3 2" xfId="1846" xr:uid="{00000000-0005-0000-0000-000024060000}"/>
    <cellStyle name="20% - Accent5 3 2 3 3" xfId="3124" xr:uid="{00000000-0005-0000-0000-000025060000}"/>
    <cellStyle name="20% - Accent5 3 2 3 4" xfId="4411" xr:uid="{00000000-0005-0000-0000-000026060000}"/>
    <cellStyle name="20% - Accent5 3 2 4" xfId="980" xr:uid="{00000000-0005-0000-0000-000027060000}"/>
    <cellStyle name="20% - Accent5 3 2 4 2" xfId="2272" xr:uid="{00000000-0005-0000-0000-000028060000}"/>
    <cellStyle name="20% - Accent5 3 2 4 3" xfId="3550" xr:uid="{00000000-0005-0000-0000-000029060000}"/>
    <cellStyle name="20% - Accent5 3 2 4 4" xfId="4837" xr:uid="{00000000-0005-0000-0000-00002A060000}"/>
    <cellStyle name="20% - Accent5 3 2 5" xfId="1420" xr:uid="{00000000-0005-0000-0000-00002B060000}"/>
    <cellStyle name="20% - Accent5 3 2 6" xfId="2698" xr:uid="{00000000-0005-0000-0000-00002C060000}"/>
    <cellStyle name="20% - Accent5 3 2 7" xfId="3985" xr:uid="{00000000-0005-0000-0000-00002D060000}"/>
    <cellStyle name="20% - Accent5 3 2 8" xfId="5245" xr:uid="{00000000-0005-0000-0000-00002E060000}"/>
    <cellStyle name="20% - Accent5 3 3" xfId="340" xr:uid="{00000000-0005-0000-0000-00002F060000}"/>
    <cellStyle name="20% - Accent5 3 3 2" xfId="766" xr:uid="{00000000-0005-0000-0000-000030060000}"/>
    <cellStyle name="20% - Accent5 3 3 2 2" xfId="2058" xr:uid="{00000000-0005-0000-0000-000031060000}"/>
    <cellStyle name="20% - Accent5 3 3 2 3" xfId="3336" xr:uid="{00000000-0005-0000-0000-000032060000}"/>
    <cellStyle name="20% - Accent5 3 3 2 4" xfId="4623" xr:uid="{00000000-0005-0000-0000-000033060000}"/>
    <cellStyle name="20% - Accent5 3 3 3" xfId="1192" xr:uid="{00000000-0005-0000-0000-000034060000}"/>
    <cellStyle name="20% - Accent5 3 3 3 2" xfId="2484" xr:uid="{00000000-0005-0000-0000-000035060000}"/>
    <cellStyle name="20% - Accent5 3 3 3 3" xfId="3762" xr:uid="{00000000-0005-0000-0000-000036060000}"/>
    <cellStyle name="20% - Accent5 3 3 3 4" xfId="5049" xr:uid="{00000000-0005-0000-0000-000037060000}"/>
    <cellStyle name="20% - Accent5 3 3 4" xfId="1632" xr:uid="{00000000-0005-0000-0000-000038060000}"/>
    <cellStyle name="20% - Accent5 3 3 5" xfId="2910" xr:uid="{00000000-0005-0000-0000-000039060000}"/>
    <cellStyle name="20% - Accent5 3 3 6" xfId="4197" xr:uid="{00000000-0005-0000-0000-00003A060000}"/>
    <cellStyle name="20% - Accent5 3 4" xfId="553" xr:uid="{00000000-0005-0000-0000-00003B060000}"/>
    <cellStyle name="20% - Accent5 3 4 2" xfId="1845" xr:uid="{00000000-0005-0000-0000-00003C060000}"/>
    <cellStyle name="20% - Accent5 3 4 3" xfId="3123" xr:uid="{00000000-0005-0000-0000-00003D060000}"/>
    <cellStyle name="20% - Accent5 3 4 4" xfId="4410" xr:uid="{00000000-0005-0000-0000-00003E060000}"/>
    <cellStyle name="20% - Accent5 3 5" xfId="979" xr:uid="{00000000-0005-0000-0000-00003F060000}"/>
    <cellStyle name="20% - Accent5 3 5 2" xfId="2271" xr:uid="{00000000-0005-0000-0000-000040060000}"/>
    <cellStyle name="20% - Accent5 3 5 3" xfId="3549" xr:uid="{00000000-0005-0000-0000-000041060000}"/>
    <cellStyle name="20% - Accent5 3 5 4" xfId="4836" xr:uid="{00000000-0005-0000-0000-000042060000}"/>
    <cellStyle name="20% - Accent5 3 6" xfId="1419" xr:uid="{00000000-0005-0000-0000-000043060000}"/>
    <cellStyle name="20% - Accent5 3 7" xfId="2697" xr:uid="{00000000-0005-0000-0000-000044060000}"/>
    <cellStyle name="20% - Accent5 3 8" xfId="3984" xr:uid="{00000000-0005-0000-0000-000045060000}"/>
    <cellStyle name="20% - Accent5 3 9" xfId="5244" xr:uid="{00000000-0005-0000-0000-000046060000}"/>
    <cellStyle name="20% - Accent5 4" xfId="131" xr:uid="{00000000-0005-0000-0000-000047060000}"/>
    <cellStyle name="20% - Accent5 4 2" xfId="342" xr:uid="{00000000-0005-0000-0000-000048060000}"/>
    <cellStyle name="20% - Accent5 4 2 2" xfId="768" xr:uid="{00000000-0005-0000-0000-000049060000}"/>
    <cellStyle name="20% - Accent5 4 2 2 2" xfId="2060" xr:uid="{00000000-0005-0000-0000-00004A060000}"/>
    <cellStyle name="20% - Accent5 4 2 2 3" xfId="3338" xr:uid="{00000000-0005-0000-0000-00004B060000}"/>
    <cellStyle name="20% - Accent5 4 2 2 4" xfId="4625" xr:uid="{00000000-0005-0000-0000-00004C060000}"/>
    <cellStyle name="20% - Accent5 4 2 3" xfId="1194" xr:uid="{00000000-0005-0000-0000-00004D060000}"/>
    <cellStyle name="20% - Accent5 4 2 3 2" xfId="2486" xr:uid="{00000000-0005-0000-0000-00004E060000}"/>
    <cellStyle name="20% - Accent5 4 2 3 3" xfId="3764" xr:uid="{00000000-0005-0000-0000-00004F060000}"/>
    <cellStyle name="20% - Accent5 4 2 3 4" xfId="5051" xr:uid="{00000000-0005-0000-0000-000050060000}"/>
    <cellStyle name="20% - Accent5 4 2 4" xfId="1634" xr:uid="{00000000-0005-0000-0000-000051060000}"/>
    <cellStyle name="20% - Accent5 4 2 5" xfId="2912" xr:uid="{00000000-0005-0000-0000-000052060000}"/>
    <cellStyle name="20% - Accent5 4 2 6" xfId="4199" xr:uid="{00000000-0005-0000-0000-000053060000}"/>
    <cellStyle name="20% - Accent5 4 3" xfId="555" xr:uid="{00000000-0005-0000-0000-000054060000}"/>
    <cellStyle name="20% - Accent5 4 3 2" xfId="1847" xr:uid="{00000000-0005-0000-0000-000055060000}"/>
    <cellStyle name="20% - Accent5 4 3 3" xfId="3125" xr:uid="{00000000-0005-0000-0000-000056060000}"/>
    <cellStyle name="20% - Accent5 4 3 4" xfId="4412" xr:uid="{00000000-0005-0000-0000-000057060000}"/>
    <cellStyle name="20% - Accent5 4 4" xfId="981" xr:uid="{00000000-0005-0000-0000-000058060000}"/>
    <cellStyle name="20% - Accent5 4 4 2" xfId="2273" xr:uid="{00000000-0005-0000-0000-000059060000}"/>
    <cellStyle name="20% - Accent5 4 4 3" xfId="3551" xr:uid="{00000000-0005-0000-0000-00005A060000}"/>
    <cellStyle name="20% - Accent5 4 4 4" xfId="4838" xr:uid="{00000000-0005-0000-0000-00005B060000}"/>
    <cellStyle name="20% - Accent5 4 5" xfId="1421" xr:uid="{00000000-0005-0000-0000-00005C060000}"/>
    <cellStyle name="20% - Accent5 4 6" xfId="2699" xr:uid="{00000000-0005-0000-0000-00005D060000}"/>
    <cellStyle name="20% - Accent5 4 7" xfId="3986" xr:uid="{00000000-0005-0000-0000-00005E060000}"/>
    <cellStyle name="20% - Accent5 4 8" xfId="5246" xr:uid="{00000000-0005-0000-0000-00005F060000}"/>
    <cellStyle name="20% - Accent5 5" xfId="132" xr:uid="{00000000-0005-0000-0000-000060060000}"/>
    <cellStyle name="20% - Accent5 5 2" xfId="343" xr:uid="{00000000-0005-0000-0000-000061060000}"/>
    <cellStyle name="20% - Accent5 5 2 2" xfId="769" xr:uid="{00000000-0005-0000-0000-000062060000}"/>
    <cellStyle name="20% - Accent5 5 2 2 2" xfId="2061" xr:uid="{00000000-0005-0000-0000-000063060000}"/>
    <cellStyle name="20% - Accent5 5 2 2 3" xfId="3339" xr:uid="{00000000-0005-0000-0000-000064060000}"/>
    <cellStyle name="20% - Accent5 5 2 2 4" xfId="4626" xr:uid="{00000000-0005-0000-0000-000065060000}"/>
    <cellStyle name="20% - Accent5 5 2 3" xfId="1195" xr:uid="{00000000-0005-0000-0000-000066060000}"/>
    <cellStyle name="20% - Accent5 5 2 3 2" xfId="2487" xr:uid="{00000000-0005-0000-0000-000067060000}"/>
    <cellStyle name="20% - Accent5 5 2 3 3" xfId="3765" xr:uid="{00000000-0005-0000-0000-000068060000}"/>
    <cellStyle name="20% - Accent5 5 2 3 4" xfId="5052" xr:uid="{00000000-0005-0000-0000-000069060000}"/>
    <cellStyle name="20% - Accent5 5 2 4" xfId="1635" xr:uid="{00000000-0005-0000-0000-00006A060000}"/>
    <cellStyle name="20% - Accent5 5 2 5" xfId="2913" xr:uid="{00000000-0005-0000-0000-00006B060000}"/>
    <cellStyle name="20% - Accent5 5 2 6" xfId="4200" xr:uid="{00000000-0005-0000-0000-00006C060000}"/>
    <cellStyle name="20% - Accent5 5 3" xfId="556" xr:uid="{00000000-0005-0000-0000-00006D060000}"/>
    <cellStyle name="20% - Accent5 5 3 2" xfId="1848" xr:uid="{00000000-0005-0000-0000-00006E060000}"/>
    <cellStyle name="20% - Accent5 5 3 3" xfId="3126" xr:uid="{00000000-0005-0000-0000-00006F060000}"/>
    <cellStyle name="20% - Accent5 5 3 4" xfId="4413" xr:uid="{00000000-0005-0000-0000-000070060000}"/>
    <cellStyle name="20% - Accent5 5 4" xfId="982" xr:uid="{00000000-0005-0000-0000-000071060000}"/>
    <cellStyle name="20% - Accent5 5 4 2" xfId="2274" xr:uid="{00000000-0005-0000-0000-000072060000}"/>
    <cellStyle name="20% - Accent5 5 4 3" xfId="3552" xr:uid="{00000000-0005-0000-0000-000073060000}"/>
    <cellStyle name="20% - Accent5 5 4 4" xfId="4839" xr:uid="{00000000-0005-0000-0000-000074060000}"/>
    <cellStyle name="20% - Accent5 5 5" xfId="1422" xr:uid="{00000000-0005-0000-0000-000075060000}"/>
    <cellStyle name="20% - Accent5 5 6" xfId="2700" xr:uid="{00000000-0005-0000-0000-000076060000}"/>
    <cellStyle name="20% - Accent5 5 7" xfId="3987" xr:uid="{00000000-0005-0000-0000-000077060000}"/>
    <cellStyle name="20% - Accent5 6" xfId="133" xr:uid="{00000000-0005-0000-0000-000078060000}"/>
    <cellStyle name="20% - Accent5 6 2" xfId="344" xr:uid="{00000000-0005-0000-0000-000079060000}"/>
    <cellStyle name="20% - Accent5 6 2 2" xfId="770" xr:uid="{00000000-0005-0000-0000-00007A060000}"/>
    <cellStyle name="20% - Accent5 6 2 2 2" xfId="2062" xr:uid="{00000000-0005-0000-0000-00007B060000}"/>
    <cellStyle name="20% - Accent5 6 2 2 3" xfId="3340" xr:uid="{00000000-0005-0000-0000-00007C060000}"/>
    <cellStyle name="20% - Accent5 6 2 2 4" xfId="4627" xr:uid="{00000000-0005-0000-0000-00007D060000}"/>
    <cellStyle name="20% - Accent5 6 2 3" xfId="1196" xr:uid="{00000000-0005-0000-0000-00007E060000}"/>
    <cellStyle name="20% - Accent5 6 2 3 2" xfId="2488" xr:uid="{00000000-0005-0000-0000-00007F060000}"/>
    <cellStyle name="20% - Accent5 6 2 3 3" xfId="3766" xr:uid="{00000000-0005-0000-0000-000080060000}"/>
    <cellStyle name="20% - Accent5 6 2 3 4" xfId="5053" xr:uid="{00000000-0005-0000-0000-000081060000}"/>
    <cellStyle name="20% - Accent5 6 2 4" xfId="1636" xr:uid="{00000000-0005-0000-0000-000082060000}"/>
    <cellStyle name="20% - Accent5 6 2 5" xfId="2914" xr:uid="{00000000-0005-0000-0000-000083060000}"/>
    <cellStyle name="20% - Accent5 6 2 6" xfId="4201" xr:uid="{00000000-0005-0000-0000-000084060000}"/>
    <cellStyle name="20% - Accent5 6 3" xfId="557" xr:uid="{00000000-0005-0000-0000-000085060000}"/>
    <cellStyle name="20% - Accent5 6 3 2" xfId="1849" xr:uid="{00000000-0005-0000-0000-000086060000}"/>
    <cellStyle name="20% - Accent5 6 3 3" xfId="3127" xr:uid="{00000000-0005-0000-0000-000087060000}"/>
    <cellStyle name="20% - Accent5 6 3 4" xfId="4414" xr:uid="{00000000-0005-0000-0000-000088060000}"/>
    <cellStyle name="20% - Accent5 6 4" xfId="983" xr:uid="{00000000-0005-0000-0000-000089060000}"/>
    <cellStyle name="20% - Accent5 6 4 2" xfId="2275" xr:uid="{00000000-0005-0000-0000-00008A060000}"/>
    <cellStyle name="20% - Accent5 6 4 3" xfId="3553" xr:uid="{00000000-0005-0000-0000-00008B060000}"/>
    <cellStyle name="20% - Accent5 6 4 4" xfId="4840" xr:uid="{00000000-0005-0000-0000-00008C060000}"/>
    <cellStyle name="20% - Accent5 6 5" xfId="1423" xr:uid="{00000000-0005-0000-0000-00008D060000}"/>
    <cellStyle name="20% - Accent5 6 6" xfId="2701" xr:uid="{00000000-0005-0000-0000-00008E060000}"/>
    <cellStyle name="20% - Accent5 6 7" xfId="3988" xr:uid="{00000000-0005-0000-0000-00008F060000}"/>
    <cellStyle name="20% - Accent5 7" xfId="259" xr:uid="{00000000-0005-0000-0000-000090060000}"/>
    <cellStyle name="20% - Accent5 7 2" xfId="472" xr:uid="{00000000-0005-0000-0000-000091060000}"/>
    <cellStyle name="20% - Accent5 7 2 2" xfId="897" xr:uid="{00000000-0005-0000-0000-000092060000}"/>
    <cellStyle name="20% - Accent5 7 2 2 2" xfId="2189" xr:uid="{00000000-0005-0000-0000-000093060000}"/>
    <cellStyle name="20% - Accent5 7 2 2 3" xfId="3467" xr:uid="{00000000-0005-0000-0000-000094060000}"/>
    <cellStyle name="20% - Accent5 7 2 2 4" xfId="4754" xr:uid="{00000000-0005-0000-0000-000095060000}"/>
    <cellStyle name="20% - Accent5 7 2 3" xfId="1323" xr:uid="{00000000-0005-0000-0000-000096060000}"/>
    <cellStyle name="20% - Accent5 7 2 3 2" xfId="2615" xr:uid="{00000000-0005-0000-0000-000097060000}"/>
    <cellStyle name="20% - Accent5 7 2 3 3" xfId="3893" xr:uid="{00000000-0005-0000-0000-000098060000}"/>
    <cellStyle name="20% - Accent5 7 2 3 4" xfId="5180" xr:uid="{00000000-0005-0000-0000-000099060000}"/>
    <cellStyle name="20% - Accent5 7 2 4" xfId="1763" xr:uid="{00000000-0005-0000-0000-00009A060000}"/>
    <cellStyle name="20% - Accent5 7 2 5" xfId="3041" xr:uid="{00000000-0005-0000-0000-00009B060000}"/>
    <cellStyle name="20% - Accent5 7 2 6" xfId="4328" xr:uid="{00000000-0005-0000-0000-00009C060000}"/>
    <cellStyle name="20% - Accent5 7 3" xfId="684" xr:uid="{00000000-0005-0000-0000-00009D060000}"/>
    <cellStyle name="20% - Accent5 7 3 2" xfId="1976" xr:uid="{00000000-0005-0000-0000-00009E060000}"/>
    <cellStyle name="20% - Accent5 7 3 3" xfId="3254" xr:uid="{00000000-0005-0000-0000-00009F060000}"/>
    <cellStyle name="20% - Accent5 7 3 4" xfId="4541" xr:uid="{00000000-0005-0000-0000-0000A0060000}"/>
    <cellStyle name="20% - Accent5 7 4" xfId="1110" xr:uid="{00000000-0005-0000-0000-0000A1060000}"/>
    <cellStyle name="20% - Accent5 7 4 2" xfId="2402" xr:uid="{00000000-0005-0000-0000-0000A2060000}"/>
    <cellStyle name="20% - Accent5 7 4 3" xfId="3680" xr:uid="{00000000-0005-0000-0000-0000A3060000}"/>
    <cellStyle name="20% - Accent5 7 4 4" xfId="4967" xr:uid="{00000000-0005-0000-0000-0000A4060000}"/>
    <cellStyle name="20% - Accent5 7 5" xfId="1550" xr:uid="{00000000-0005-0000-0000-0000A5060000}"/>
    <cellStyle name="20% - Accent5 7 6" xfId="2828" xr:uid="{00000000-0005-0000-0000-0000A6060000}"/>
    <cellStyle name="20% - Accent5 7 7" xfId="4115" xr:uid="{00000000-0005-0000-0000-0000A7060000}"/>
    <cellStyle name="20% - Accent5 8" xfId="333" xr:uid="{00000000-0005-0000-0000-0000A8060000}"/>
    <cellStyle name="20% - Accent5 8 2" xfId="759" xr:uid="{00000000-0005-0000-0000-0000A9060000}"/>
    <cellStyle name="20% - Accent5 8 2 2" xfId="2051" xr:uid="{00000000-0005-0000-0000-0000AA060000}"/>
    <cellStyle name="20% - Accent5 8 2 3" xfId="3329" xr:uid="{00000000-0005-0000-0000-0000AB060000}"/>
    <cellStyle name="20% - Accent5 8 2 4" xfId="4616" xr:uid="{00000000-0005-0000-0000-0000AC060000}"/>
    <cellStyle name="20% - Accent5 8 3" xfId="1185" xr:uid="{00000000-0005-0000-0000-0000AD060000}"/>
    <cellStyle name="20% - Accent5 8 3 2" xfId="2477" xr:uid="{00000000-0005-0000-0000-0000AE060000}"/>
    <cellStyle name="20% - Accent5 8 3 3" xfId="3755" xr:uid="{00000000-0005-0000-0000-0000AF060000}"/>
    <cellStyle name="20% - Accent5 8 3 4" xfId="5042" xr:uid="{00000000-0005-0000-0000-0000B0060000}"/>
    <cellStyle name="20% - Accent5 8 4" xfId="1625" xr:uid="{00000000-0005-0000-0000-0000B1060000}"/>
    <cellStyle name="20% - Accent5 8 5" xfId="2903" xr:uid="{00000000-0005-0000-0000-0000B2060000}"/>
    <cellStyle name="20% - Accent5 8 6" xfId="4190" xr:uid="{00000000-0005-0000-0000-0000B3060000}"/>
    <cellStyle name="20% - Accent5 9" xfId="546" xr:uid="{00000000-0005-0000-0000-0000B4060000}"/>
    <cellStyle name="20% - Accent5 9 2" xfId="1838" xr:uid="{00000000-0005-0000-0000-0000B5060000}"/>
    <cellStyle name="20% - Accent5 9 3" xfId="3116" xr:uid="{00000000-0005-0000-0000-0000B6060000}"/>
    <cellStyle name="20% - Accent5 9 4" xfId="4403" xr:uid="{00000000-0005-0000-0000-0000B7060000}"/>
    <cellStyle name="20% - Accent6" xfId="78" builtinId="50" customBuiltin="1"/>
    <cellStyle name="20% - Accent6 10" xfId="984" xr:uid="{00000000-0005-0000-0000-0000B9060000}"/>
    <cellStyle name="20% - Accent6 10 2" xfId="2276" xr:uid="{00000000-0005-0000-0000-0000BA060000}"/>
    <cellStyle name="20% - Accent6 10 3" xfId="3554" xr:uid="{00000000-0005-0000-0000-0000BB060000}"/>
    <cellStyle name="20% - Accent6 10 4" xfId="4841" xr:uid="{00000000-0005-0000-0000-0000BC060000}"/>
    <cellStyle name="20% - Accent6 11" xfId="1424" xr:uid="{00000000-0005-0000-0000-0000BD060000}"/>
    <cellStyle name="20% - Accent6 12" xfId="2702" xr:uid="{00000000-0005-0000-0000-0000BE060000}"/>
    <cellStyle name="20% - Accent6 13" xfId="3989" xr:uid="{00000000-0005-0000-0000-0000BF060000}"/>
    <cellStyle name="20% - Accent6 14" xfId="5247" xr:uid="{00000000-0005-0000-0000-0000C0060000}"/>
    <cellStyle name="20% - Accent6 2" xfId="15" xr:uid="{00000000-0005-0000-0000-0000C1060000}"/>
    <cellStyle name="20% - Accent6 2 10" xfId="1425" xr:uid="{00000000-0005-0000-0000-0000C2060000}"/>
    <cellStyle name="20% - Accent6 2 11" xfId="2703" xr:uid="{00000000-0005-0000-0000-0000C3060000}"/>
    <cellStyle name="20% - Accent6 2 12" xfId="3990" xr:uid="{00000000-0005-0000-0000-0000C4060000}"/>
    <cellStyle name="20% - Accent6 2 13" xfId="5248" xr:uid="{00000000-0005-0000-0000-0000C5060000}"/>
    <cellStyle name="20% - Accent6 2 2" xfId="134" xr:uid="{00000000-0005-0000-0000-0000C6060000}"/>
    <cellStyle name="20% - Accent6 2 2 2" xfId="135" xr:uid="{00000000-0005-0000-0000-0000C7060000}"/>
    <cellStyle name="20% - Accent6 2 2 2 2" xfId="348" xr:uid="{00000000-0005-0000-0000-0000C8060000}"/>
    <cellStyle name="20% - Accent6 2 2 2 2 2" xfId="774" xr:uid="{00000000-0005-0000-0000-0000C9060000}"/>
    <cellStyle name="20% - Accent6 2 2 2 2 2 2" xfId="2066" xr:uid="{00000000-0005-0000-0000-0000CA060000}"/>
    <cellStyle name="20% - Accent6 2 2 2 2 2 3" xfId="3344" xr:uid="{00000000-0005-0000-0000-0000CB060000}"/>
    <cellStyle name="20% - Accent6 2 2 2 2 2 4" xfId="4631" xr:uid="{00000000-0005-0000-0000-0000CC060000}"/>
    <cellStyle name="20% - Accent6 2 2 2 2 3" xfId="1200" xr:uid="{00000000-0005-0000-0000-0000CD060000}"/>
    <cellStyle name="20% - Accent6 2 2 2 2 3 2" xfId="2492" xr:uid="{00000000-0005-0000-0000-0000CE060000}"/>
    <cellStyle name="20% - Accent6 2 2 2 2 3 3" xfId="3770" xr:uid="{00000000-0005-0000-0000-0000CF060000}"/>
    <cellStyle name="20% - Accent6 2 2 2 2 3 4" xfId="5057" xr:uid="{00000000-0005-0000-0000-0000D0060000}"/>
    <cellStyle name="20% - Accent6 2 2 2 2 4" xfId="1640" xr:uid="{00000000-0005-0000-0000-0000D1060000}"/>
    <cellStyle name="20% - Accent6 2 2 2 2 5" xfId="2918" xr:uid="{00000000-0005-0000-0000-0000D2060000}"/>
    <cellStyle name="20% - Accent6 2 2 2 2 6" xfId="4205" xr:uid="{00000000-0005-0000-0000-0000D3060000}"/>
    <cellStyle name="20% - Accent6 2 2 2 3" xfId="561" xr:uid="{00000000-0005-0000-0000-0000D4060000}"/>
    <cellStyle name="20% - Accent6 2 2 2 3 2" xfId="1853" xr:uid="{00000000-0005-0000-0000-0000D5060000}"/>
    <cellStyle name="20% - Accent6 2 2 2 3 3" xfId="3131" xr:uid="{00000000-0005-0000-0000-0000D6060000}"/>
    <cellStyle name="20% - Accent6 2 2 2 3 4" xfId="4418" xr:uid="{00000000-0005-0000-0000-0000D7060000}"/>
    <cellStyle name="20% - Accent6 2 2 2 4" xfId="987" xr:uid="{00000000-0005-0000-0000-0000D8060000}"/>
    <cellStyle name="20% - Accent6 2 2 2 4 2" xfId="2279" xr:uid="{00000000-0005-0000-0000-0000D9060000}"/>
    <cellStyle name="20% - Accent6 2 2 2 4 3" xfId="3557" xr:uid="{00000000-0005-0000-0000-0000DA060000}"/>
    <cellStyle name="20% - Accent6 2 2 2 4 4" xfId="4844" xr:uid="{00000000-0005-0000-0000-0000DB060000}"/>
    <cellStyle name="20% - Accent6 2 2 2 5" xfId="1427" xr:uid="{00000000-0005-0000-0000-0000DC060000}"/>
    <cellStyle name="20% - Accent6 2 2 2 6" xfId="2705" xr:uid="{00000000-0005-0000-0000-0000DD060000}"/>
    <cellStyle name="20% - Accent6 2 2 2 7" xfId="3992" xr:uid="{00000000-0005-0000-0000-0000DE060000}"/>
    <cellStyle name="20% - Accent6 2 2 2 8" xfId="5250" xr:uid="{00000000-0005-0000-0000-0000DF060000}"/>
    <cellStyle name="20% - Accent6 2 2 3" xfId="347" xr:uid="{00000000-0005-0000-0000-0000E0060000}"/>
    <cellStyle name="20% - Accent6 2 2 3 2" xfId="773" xr:uid="{00000000-0005-0000-0000-0000E1060000}"/>
    <cellStyle name="20% - Accent6 2 2 3 2 2" xfId="2065" xr:uid="{00000000-0005-0000-0000-0000E2060000}"/>
    <cellStyle name="20% - Accent6 2 2 3 2 3" xfId="3343" xr:uid="{00000000-0005-0000-0000-0000E3060000}"/>
    <cellStyle name="20% - Accent6 2 2 3 2 4" xfId="4630" xr:uid="{00000000-0005-0000-0000-0000E4060000}"/>
    <cellStyle name="20% - Accent6 2 2 3 3" xfId="1199" xr:uid="{00000000-0005-0000-0000-0000E5060000}"/>
    <cellStyle name="20% - Accent6 2 2 3 3 2" xfId="2491" xr:uid="{00000000-0005-0000-0000-0000E6060000}"/>
    <cellStyle name="20% - Accent6 2 2 3 3 3" xfId="3769" xr:uid="{00000000-0005-0000-0000-0000E7060000}"/>
    <cellStyle name="20% - Accent6 2 2 3 3 4" xfId="5056" xr:uid="{00000000-0005-0000-0000-0000E8060000}"/>
    <cellStyle name="20% - Accent6 2 2 3 4" xfId="1639" xr:uid="{00000000-0005-0000-0000-0000E9060000}"/>
    <cellStyle name="20% - Accent6 2 2 3 5" xfId="2917" xr:uid="{00000000-0005-0000-0000-0000EA060000}"/>
    <cellStyle name="20% - Accent6 2 2 3 6" xfId="4204" xr:uid="{00000000-0005-0000-0000-0000EB060000}"/>
    <cellStyle name="20% - Accent6 2 2 4" xfId="560" xr:uid="{00000000-0005-0000-0000-0000EC060000}"/>
    <cellStyle name="20% - Accent6 2 2 4 2" xfId="1852" xr:uid="{00000000-0005-0000-0000-0000ED060000}"/>
    <cellStyle name="20% - Accent6 2 2 4 3" xfId="3130" xr:uid="{00000000-0005-0000-0000-0000EE060000}"/>
    <cellStyle name="20% - Accent6 2 2 4 4" xfId="4417" xr:uid="{00000000-0005-0000-0000-0000EF060000}"/>
    <cellStyle name="20% - Accent6 2 2 5" xfId="986" xr:uid="{00000000-0005-0000-0000-0000F0060000}"/>
    <cellStyle name="20% - Accent6 2 2 5 2" xfId="2278" xr:uid="{00000000-0005-0000-0000-0000F1060000}"/>
    <cellStyle name="20% - Accent6 2 2 5 3" xfId="3556" xr:uid="{00000000-0005-0000-0000-0000F2060000}"/>
    <cellStyle name="20% - Accent6 2 2 5 4" xfId="4843" xr:uid="{00000000-0005-0000-0000-0000F3060000}"/>
    <cellStyle name="20% - Accent6 2 2 6" xfId="1426" xr:uid="{00000000-0005-0000-0000-0000F4060000}"/>
    <cellStyle name="20% - Accent6 2 2 7" xfId="2704" xr:uid="{00000000-0005-0000-0000-0000F5060000}"/>
    <cellStyle name="20% - Accent6 2 2 8" xfId="3991" xr:uid="{00000000-0005-0000-0000-0000F6060000}"/>
    <cellStyle name="20% - Accent6 2 2 9" xfId="5249" xr:uid="{00000000-0005-0000-0000-0000F7060000}"/>
    <cellStyle name="20% - Accent6 2 3" xfId="136" xr:uid="{00000000-0005-0000-0000-0000F8060000}"/>
    <cellStyle name="20% - Accent6 2 3 2" xfId="349" xr:uid="{00000000-0005-0000-0000-0000F9060000}"/>
    <cellStyle name="20% - Accent6 2 3 2 2" xfId="775" xr:uid="{00000000-0005-0000-0000-0000FA060000}"/>
    <cellStyle name="20% - Accent6 2 3 2 2 2" xfId="2067" xr:uid="{00000000-0005-0000-0000-0000FB060000}"/>
    <cellStyle name="20% - Accent6 2 3 2 2 3" xfId="3345" xr:uid="{00000000-0005-0000-0000-0000FC060000}"/>
    <cellStyle name="20% - Accent6 2 3 2 2 4" xfId="4632" xr:uid="{00000000-0005-0000-0000-0000FD060000}"/>
    <cellStyle name="20% - Accent6 2 3 2 3" xfId="1201" xr:uid="{00000000-0005-0000-0000-0000FE060000}"/>
    <cellStyle name="20% - Accent6 2 3 2 3 2" xfId="2493" xr:uid="{00000000-0005-0000-0000-0000FF060000}"/>
    <cellStyle name="20% - Accent6 2 3 2 3 3" xfId="3771" xr:uid="{00000000-0005-0000-0000-000000070000}"/>
    <cellStyle name="20% - Accent6 2 3 2 3 4" xfId="5058" xr:uid="{00000000-0005-0000-0000-000001070000}"/>
    <cellStyle name="20% - Accent6 2 3 2 4" xfId="1641" xr:uid="{00000000-0005-0000-0000-000002070000}"/>
    <cellStyle name="20% - Accent6 2 3 2 5" xfId="2919" xr:uid="{00000000-0005-0000-0000-000003070000}"/>
    <cellStyle name="20% - Accent6 2 3 2 6" xfId="4206" xr:uid="{00000000-0005-0000-0000-000004070000}"/>
    <cellStyle name="20% - Accent6 2 3 3" xfId="562" xr:uid="{00000000-0005-0000-0000-000005070000}"/>
    <cellStyle name="20% - Accent6 2 3 3 2" xfId="1854" xr:uid="{00000000-0005-0000-0000-000006070000}"/>
    <cellStyle name="20% - Accent6 2 3 3 3" xfId="3132" xr:uid="{00000000-0005-0000-0000-000007070000}"/>
    <cellStyle name="20% - Accent6 2 3 3 4" xfId="4419" xr:uid="{00000000-0005-0000-0000-000008070000}"/>
    <cellStyle name="20% - Accent6 2 3 4" xfId="988" xr:uid="{00000000-0005-0000-0000-000009070000}"/>
    <cellStyle name="20% - Accent6 2 3 4 2" xfId="2280" xr:uid="{00000000-0005-0000-0000-00000A070000}"/>
    <cellStyle name="20% - Accent6 2 3 4 3" xfId="3558" xr:uid="{00000000-0005-0000-0000-00000B070000}"/>
    <cellStyle name="20% - Accent6 2 3 4 4" xfId="4845" xr:uid="{00000000-0005-0000-0000-00000C070000}"/>
    <cellStyle name="20% - Accent6 2 3 5" xfId="1428" xr:uid="{00000000-0005-0000-0000-00000D070000}"/>
    <cellStyle name="20% - Accent6 2 3 6" xfId="2706" xr:uid="{00000000-0005-0000-0000-00000E070000}"/>
    <cellStyle name="20% - Accent6 2 3 7" xfId="3993" xr:uid="{00000000-0005-0000-0000-00000F070000}"/>
    <cellStyle name="20% - Accent6 2 3 8" xfId="5251" xr:uid="{00000000-0005-0000-0000-000010070000}"/>
    <cellStyle name="20% - Accent6 2 4" xfId="137" xr:uid="{00000000-0005-0000-0000-000011070000}"/>
    <cellStyle name="20% - Accent6 2 4 2" xfId="350" xr:uid="{00000000-0005-0000-0000-000012070000}"/>
    <cellStyle name="20% - Accent6 2 4 2 2" xfId="776" xr:uid="{00000000-0005-0000-0000-000013070000}"/>
    <cellStyle name="20% - Accent6 2 4 2 2 2" xfId="2068" xr:uid="{00000000-0005-0000-0000-000014070000}"/>
    <cellStyle name="20% - Accent6 2 4 2 2 3" xfId="3346" xr:uid="{00000000-0005-0000-0000-000015070000}"/>
    <cellStyle name="20% - Accent6 2 4 2 2 4" xfId="4633" xr:uid="{00000000-0005-0000-0000-000016070000}"/>
    <cellStyle name="20% - Accent6 2 4 2 3" xfId="1202" xr:uid="{00000000-0005-0000-0000-000017070000}"/>
    <cellStyle name="20% - Accent6 2 4 2 3 2" xfId="2494" xr:uid="{00000000-0005-0000-0000-000018070000}"/>
    <cellStyle name="20% - Accent6 2 4 2 3 3" xfId="3772" xr:uid="{00000000-0005-0000-0000-000019070000}"/>
    <cellStyle name="20% - Accent6 2 4 2 3 4" xfId="5059" xr:uid="{00000000-0005-0000-0000-00001A070000}"/>
    <cellStyle name="20% - Accent6 2 4 2 4" xfId="1642" xr:uid="{00000000-0005-0000-0000-00001B070000}"/>
    <cellStyle name="20% - Accent6 2 4 2 5" xfId="2920" xr:uid="{00000000-0005-0000-0000-00001C070000}"/>
    <cellStyle name="20% - Accent6 2 4 2 6" xfId="4207" xr:uid="{00000000-0005-0000-0000-00001D070000}"/>
    <cellStyle name="20% - Accent6 2 4 3" xfId="563" xr:uid="{00000000-0005-0000-0000-00001E070000}"/>
    <cellStyle name="20% - Accent6 2 4 3 2" xfId="1855" xr:uid="{00000000-0005-0000-0000-00001F070000}"/>
    <cellStyle name="20% - Accent6 2 4 3 3" xfId="3133" xr:uid="{00000000-0005-0000-0000-000020070000}"/>
    <cellStyle name="20% - Accent6 2 4 3 4" xfId="4420" xr:uid="{00000000-0005-0000-0000-000021070000}"/>
    <cellStyle name="20% - Accent6 2 4 4" xfId="989" xr:uid="{00000000-0005-0000-0000-000022070000}"/>
    <cellStyle name="20% - Accent6 2 4 4 2" xfId="2281" xr:uid="{00000000-0005-0000-0000-000023070000}"/>
    <cellStyle name="20% - Accent6 2 4 4 3" xfId="3559" xr:uid="{00000000-0005-0000-0000-000024070000}"/>
    <cellStyle name="20% - Accent6 2 4 4 4" xfId="4846" xr:uid="{00000000-0005-0000-0000-000025070000}"/>
    <cellStyle name="20% - Accent6 2 4 5" xfId="1429" xr:uid="{00000000-0005-0000-0000-000026070000}"/>
    <cellStyle name="20% - Accent6 2 4 6" xfId="2707" xr:uid="{00000000-0005-0000-0000-000027070000}"/>
    <cellStyle name="20% - Accent6 2 4 7" xfId="3994" xr:uid="{00000000-0005-0000-0000-000028070000}"/>
    <cellStyle name="20% - Accent6 2 5" xfId="138" xr:uid="{00000000-0005-0000-0000-000029070000}"/>
    <cellStyle name="20% - Accent6 2 5 2" xfId="351" xr:uid="{00000000-0005-0000-0000-00002A070000}"/>
    <cellStyle name="20% - Accent6 2 5 2 2" xfId="777" xr:uid="{00000000-0005-0000-0000-00002B070000}"/>
    <cellStyle name="20% - Accent6 2 5 2 2 2" xfId="2069" xr:uid="{00000000-0005-0000-0000-00002C070000}"/>
    <cellStyle name="20% - Accent6 2 5 2 2 3" xfId="3347" xr:uid="{00000000-0005-0000-0000-00002D070000}"/>
    <cellStyle name="20% - Accent6 2 5 2 2 4" xfId="4634" xr:uid="{00000000-0005-0000-0000-00002E070000}"/>
    <cellStyle name="20% - Accent6 2 5 2 3" xfId="1203" xr:uid="{00000000-0005-0000-0000-00002F070000}"/>
    <cellStyle name="20% - Accent6 2 5 2 3 2" xfId="2495" xr:uid="{00000000-0005-0000-0000-000030070000}"/>
    <cellStyle name="20% - Accent6 2 5 2 3 3" xfId="3773" xr:uid="{00000000-0005-0000-0000-000031070000}"/>
    <cellStyle name="20% - Accent6 2 5 2 3 4" xfId="5060" xr:uid="{00000000-0005-0000-0000-000032070000}"/>
    <cellStyle name="20% - Accent6 2 5 2 4" xfId="1643" xr:uid="{00000000-0005-0000-0000-000033070000}"/>
    <cellStyle name="20% - Accent6 2 5 2 5" xfId="2921" xr:uid="{00000000-0005-0000-0000-000034070000}"/>
    <cellStyle name="20% - Accent6 2 5 2 6" xfId="4208" xr:uid="{00000000-0005-0000-0000-000035070000}"/>
    <cellStyle name="20% - Accent6 2 5 3" xfId="564" xr:uid="{00000000-0005-0000-0000-000036070000}"/>
    <cellStyle name="20% - Accent6 2 5 3 2" xfId="1856" xr:uid="{00000000-0005-0000-0000-000037070000}"/>
    <cellStyle name="20% - Accent6 2 5 3 3" xfId="3134" xr:uid="{00000000-0005-0000-0000-000038070000}"/>
    <cellStyle name="20% - Accent6 2 5 3 4" xfId="4421" xr:uid="{00000000-0005-0000-0000-000039070000}"/>
    <cellStyle name="20% - Accent6 2 5 4" xfId="990" xr:uid="{00000000-0005-0000-0000-00003A070000}"/>
    <cellStyle name="20% - Accent6 2 5 4 2" xfId="2282" xr:uid="{00000000-0005-0000-0000-00003B070000}"/>
    <cellStyle name="20% - Accent6 2 5 4 3" xfId="3560" xr:uid="{00000000-0005-0000-0000-00003C070000}"/>
    <cellStyle name="20% - Accent6 2 5 4 4" xfId="4847" xr:uid="{00000000-0005-0000-0000-00003D070000}"/>
    <cellStyle name="20% - Accent6 2 5 5" xfId="1430" xr:uid="{00000000-0005-0000-0000-00003E070000}"/>
    <cellStyle name="20% - Accent6 2 5 6" xfId="2708" xr:uid="{00000000-0005-0000-0000-00003F070000}"/>
    <cellStyle name="20% - Accent6 2 5 7" xfId="3995" xr:uid="{00000000-0005-0000-0000-000040070000}"/>
    <cellStyle name="20% - Accent6 2 6" xfId="280" xr:uid="{00000000-0005-0000-0000-000041070000}"/>
    <cellStyle name="20% - Accent6 2 6 2" xfId="493" xr:uid="{00000000-0005-0000-0000-000042070000}"/>
    <cellStyle name="20% - Accent6 2 6 2 2" xfId="918" xr:uid="{00000000-0005-0000-0000-000043070000}"/>
    <cellStyle name="20% - Accent6 2 6 2 2 2" xfId="2210" xr:uid="{00000000-0005-0000-0000-000044070000}"/>
    <cellStyle name="20% - Accent6 2 6 2 2 3" xfId="3488" xr:uid="{00000000-0005-0000-0000-000045070000}"/>
    <cellStyle name="20% - Accent6 2 6 2 2 4" xfId="4775" xr:uid="{00000000-0005-0000-0000-000046070000}"/>
    <cellStyle name="20% - Accent6 2 6 2 3" xfId="1344" xr:uid="{00000000-0005-0000-0000-000047070000}"/>
    <cellStyle name="20% - Accent6 2 6 2 3 2" xfId="2636" xr:uid="{00000000-0005-0000-0000-000048070000}"/>
    <cellStyle name="20% - Accent6 2 6 2 3 3" xfId="3914" xr:uid="{00000000-0005-0000-0000-000049070000}"/>
    <cellStyle name="20% - Accent6 2 6 2 3 4" xfId="5201" xr:uid="{00000000-0005-0000-0000-00004A070000}"/>
    <cellStyle name="20% - Accent6 2 6 2 4" xfId="1784" xr:uid="{00000000-0005-0000-0000-00004B070000}"/>
    <cellStyle name="20% - Accent6 2 6 2 5" xfId="3062" xr:uid="{00000000-0005-0000-0000-00004C070000}"/>
    <cellStyle name="20% - Accent6 2 6 2 6" xfId="4349" xr:uid="{00000000-0005-0000-0000-00004D070000}"/>
    <cellStyle name="20% - Accent6 2 6 3" xfId="705" xr:uid="{00000000-0005-0000-0000-00004E070000}"/>
    <cellStyle name="20% - Accent6 2 6 3 2" xfId="1997" xr:uid="{00000000-0005-0000-0000-00004F070000}"/>
    <cellStyle name="20% - Accent6 2 6 3 3" xfId="3275" xr:uid="{00000000-0005-0000-0000-000050070000}"/>
    <cellStyle name="20% - Accent6 2 6 3 4" xfId="4562" xr:uid="{00000000-0005-0000-0000-000051070000}"/>
    <cellStyle name="20% - Accent6 2 6 4" xfId="1131" xr:uid="{00000000-0005-0000-0000-000052070000}"/>
    <cellStyle name="20% - Accent6 2 6 4 2" xfId="2423" xr:uid="{00000000-0005-0000-0000-000053070000}"/>
    <cellStyle name="20% - Accent6 2 6 4 3" xfId="3701" xr:uid="{00000000-0005-0000-0000-000054070000}"/>
    <cellStyle name="20% - Accent6 2 6 4 4" xfId="4988" xr:uid="{00000000-0005-0000-0000-000055070000}"/>
    <cellStyle name="20% - Accent6 2 6 5" xfId="1571" xr:uid="{00000000-0005-0000-0000-000056070000}"/>
    <cellStyle name="20% - Accent6 2 6 6" xfId="2849" xr:uid="{00000000-0005-0000-0000-000057070000}"/>
    <cellStyle name="20% - Accent6 2 6 7" xfId="4136" xr:uid="{00000000-0005-0000-0000-000058070000}"/>
    <cellStyle name="20% - Accent6 2 7" xfId="346" xr:uid="{00000000-0005-0000-0000-000059070000}"/>
    <cellStyle name="20% - Accent6 2 7 2" xfId="772" xr:uid="{00000000-0005-0000-0000-00005A070000}"/>
    <cellStyle name="20% - Accent6 2 7 2 2" xfId="2064" xr:uid="{00000000-0005-0000-0000-00005B070000}"/>
    <cellStyle name="20% - Accent6 2 7 2 3" xfId="3342" xr:uid="{00000000-0005-0000-0000-00005C070000}"/>
    <cellStyle name="20% - Accent6 2 7 2 4" xfId="4629" xr:uid="{00000000-0005-0000-0000-00005D070000}"/>
    <cellStyle name="20% - Accent6 2 7 3" xfId="1198" xr:uid="{00000000-0005-0000-0000-00005E070000}"/>
    <cellStyle name="20% - Accent6 2 7 3 2" xfId="2490" xr:uid="{00000000-0005-0000-0000-00005F070000}"/>
    <cellStyle name="20% - Accent6 2 7 3 3" xfId="3768" xr:uid="{00000000-0005-0000-0000-000060070000}"/>
    <cellStyle name="20% - Accent6 2 7 3 4" xfId="5055" xr:uid="{00000000-0005-0000-0000-000061070000}"/>
    <cellStyle name="20% - Accent6 2 7 4" xfId="1638" xr:uid="{00000000-0005-0000-0000-000062070000}"/>
    <cellStyle name="20% - Accent6 2 7 5" xfId="2916" xr:uid="{00000000-0005-0000-0000-000063070000}"/>
    <cellStyle name="20% - Accent6 2 7 6" xfId="4203" xr:uid="{00000000-0005-0000-0000-000064070000}"/>
    <cellStyle name="20% - Accent6 2 8" xfId="559" xr:uid="{00000000-0005-0000-0000-000065070000}"/>
    <cellStyle name="20% - Accent6 2 8 2" xfId="1851" xr:uid="{00000000-0005-0000-0000-000066070000}"/>
    <cellStyle name="20% - Accent6 2 8 3" xfId="3129" xr:uid="{00000000-0005-0000-0000-000067070000}"/>
    <cellStyle name="20% - Accent6 2 8 4" xfId="4416" xr:uid="{00000000-0005-0000-0000-000068070000}"/>
    <cellStyle name="20% - Accent6 2 9" xfId="985" xr:uid="{00000000-0005-0000-0000-000069070000}"/>
    <cellStyle name="20% - Accent6 2 9 2" xfId="2277" xr:uid="{00000000-0005-0000-0000-00006A070000}"/>
    <cellStyle name="20% - Accent6 2 9 3" xfId="3555" xr:uid="{00000000-0005-0000-0000-00006B070000}"/>
    <cellStyle name="20% - Accent6 2 9 4" xfId="4842" xr:uid="{00000000-0005-0000-0000-00006C070000}"/>
    <cellStyle name="20% - Accent6 3" xfId="139" xr:uid="{00000000-0005-0000-0000-00006D070000}"/>
    <cellStyle name="20% - Accent6 3 2" xfId="140" xr:uid="{00000000-0005-0000-0000-00006E070000}"/>
    <cellStyle name="20% - Accent6 3 2 2" xfId="353" xr:uid="{00000000-0005-0000-0000-00006F070000}"/>
    <cellStyle name="20% - Accent6 3 2 2 2" xfId="779" xr:uid="{00000000-0005-0000-0000-000070070000}"/>
    <cellStyle name="20% - Accent6 3 2 2 2 2" xfId="2071" xr:uid="{00000000-0005-0000-0000-000071070000}"/>
    <cellStyle name="20% - Accent6 3 2 2 2 3" xfId="3349" xr:uid="{00000000-0005-0000-0000-000072070000}"/>
    <cellStyle name="20% - Accent6 3 2 2 2 4" xfId="4636" xr:uid="{00000000-0005-0000-0000-000073070000}"/>
    <cellStyle name="20% - Accent6 3 2 2 3" xfId="1205" xr:uid="{00000000-0005-0000-0000-000074070000}"/>
    <cellStyle name="20% - Accent6 3 2 2 3 2" xfId="2497" xr:uid="{00000000-0005-0000-0000-000075070000}"/>
    <cellStyle name="20% - Accent6 3 2 2 3 3" xfId="3775" xr:uid="{00000000-0005-0000-0000-000076070000}"/>
    <cellStyle name="20% - Accent6 3 2 2 3 4" xfId="5062" xr:uid="{00000000-0005-0000-0000-000077070000}"/>
    <cellStyle name="20% - Accent6 3 2 2 4" xfId="1645" xr:uid="{00000000-0005-0000-0000-000078070000}"/>
    <cellStyle name="20% - Accent6 3 2 2 5" xfId="2923" xr:uid="{00000000-0005-0000-0000-000079070000}"/>
    <cellStyle name="20% - Accent6 3 2 2 6" xfId="4210" xr:uid="{00000000-0005-0000-0000-00007A070000}"/>
    <cellStyle name="20% - Accent6 3 2 3" xfId="566" xr:uid="{00000000-0005-0000-0000-00007B070000}"/>
    <cellStyle name="20% - Accent6 3 2 3 2" xfId="1858" xr:uid="{00000000-0005-0000-0000-00007C070000}"/>
    <cellStyle name="20% - Accent6 3 2 3 3" xfId="3136" xr:uid="{00000000-0005-0000-0000-00007D070000}"/>
    <cellStyle name="20% - Accent6 3 2 3 4" xfId="4423" xr:uid="{00000000-0005-0000-0000-00007E070000}"/>
    <cellStyle name="20% - Accent6 3 2 4" xfId="992" xr:uid="{00000000-0005-0000-0000-00007F070000}"/>
    <cellStyle name="20% - Accent6 3 2 4 2" xfId="2284" xr:uid="{00000000-0005-0000-0000-000080070000}"/>
    <cellStyle name="20% - Accent6 3 2 4 3" xfId="3562" xr:uid="{00000000-0005-0000-0000-000081070000}"/>
    <cellStyle name="20% - Accent6 3 2 4 4" xfId="4849" xr:uid="{00000000-0005-0000-0000-000082070000}"/>
    <cellStyle name="20% - Accent6 3 2 5" xfId="1432" xr:uid="{00000000-0005-0000-0000-000083070000}"/>
    <cellStyle name="20% - Accent6 3 2 6" xfId="2710" xr:uid="{00000000-0005-0000-0000-000084070000}"/>
    <cellStyle name="20% - Accent6 3 2 7" xfId="3997" xr:uid="{00000000-0005-0000-0000-000085070000}"/>
    <cellStyle name="20% - Accent6 3 2 8" xfId="5253" xr:uid="{00000000-0005-0000-0000-000086070000}"/>
    <cellStyle name="20% - Accent6 3 3" xfId="352" xr:uid="{00000000-0005-0000-0000-000087070000}"/>
    <cellStyle name="20% - Accent6 3 3 2" xfId="778" xr:uid="{00000000-0005-0000-0000-000088070000}"/>
    <cellStyle name="20% - Accent6 3 3 2 2" xfId="2070" xr:uid="{00000000-0005-0000-0000-000089070000}"/>
    <cellStyle name="20% - Accent6 3 3 2 3" xfId="3348" xr:uid="{00000000-0005-0000-0000-00008A070000}"/>
    <cellStyle name="20% - Accent6 3 3 2 4" xfId="4635" xr:uid="{00000000-0005-0000-0000-00008B070000}"/>
    <cellStyle name="20% - Accent6 3 3 3" xfId="1204" xr:uid="{00000000-0005-0000-0000-00008C070000}"/>
    <cellStyle name="20% - Accent6 3 3 3 2" xfId="2496" xr:uid="{00000000-0005-0000-0000-00008D070000}"/>
    <cellStyle name="20% - Accent6 3 3 3 3" xfId="3774" xr:uid="{00000000-0005-0000-0000-00008E070000}"/>
    <cellStyle name="20% - Accent6 3 3 3 4" xfId="5061" xr:uid="{00000000-0005-0000-0000-00008F070000}"/>
    <cellStyle name="20% - Accent6 3 3 4" xfId="1644" xr:uid="{00000000-0005-0000-0000-000090070000}"/>
    <cellStyle name="20% - Accent6 3 3 5" xfId="2922" xr:uid="{00000000-0005-0000-0000-000091070000}"/>
    <cellStyle name="20% - Accent6 3 3 6" xfId="4209" xr:uid="{00000000-0005-0000-0000-000092070000}"/>
    <cellStyle name="20% - Accent6 3 4" xfId="565" xr:uid="{00000000-0005-0000-0000-000093070000}"/>
    <cellStyle name="20% - Accent6 3 4 2" xfId="1857" xr:uid="{00000000-0005-0000-0000-000094070000}"/>
    <cellStyle name="20% - Accent6 3 4 3" xfId="3135" xr:uid="{00000000-0005-0000-0000-000095070000}"/>
    <cellStyle name="20% - Accent6 3 4 4" xfId="4422" xr:uid="{00000000-0005-0000-0000-000096070000}"/>
    <cellStyle name="20% - Accent6 3 5" xfId="991" xr:uid="{00000000-0005-0000-0000-000097070000}"/>
    <cellStyle name="20% - Accent6 3 5 2" xfId="2283" xr:uid="{00000000-0005-0000-0000-000098070000}"/>
    <cellStyle name="20% - Accent6 3 5 3" xfId="3561" xr:uid="{00000000-0005-0000-0000-000099070000}"/>
    <cellStyle name="20% - Accent6 3 5 4" xfId="4848" xr:uid="{00000000-0005-0000-0000-00009A070000}"/>
    <cellStyle name="20% - Accent6 3 6" xfId="1431" xr:uid="{00000000-0005-0000-0000-00009B070000}"/>
    <cellStyle name="20% - Accent6 3 7" xfId="2709" xr:uid="{00000000-0005-0000-0000-00009C070000}"/>
    <cellStyle name="20% - Accent6 3 8" xfId="3996" xr:uid="{00000000-0005-0000-0000-00009D070000}"/>
    <cellStyle name="20% - Accent6 3 9" xfId="5252" xr:uid="{00000000-0005-0000-0000-00009E070000}"/>
    <cellStyle name="20% - Accent6 4" xfId="141" xr:uid="{00000000-0005-0000-0000-00009F070000}"/>
    <cellStyle name="20% - Accent6 4 2" xfId="354" xr:uid="{00000000-0005-0000-0000-0000A0070000}"/>
    <cellStyle name="20% - Accent6 4 2 2" xfId="780" xr:uid="{00000000-0005-0000-0000-0000A1070000}"/>
    <cellStyle name="20% - Accent6 4 2 2 2" xfId="2072" xr:uid="{00000000-0005-0000-0000-0000A2070000}"/>
    <cellStyle name="20% - Accent6 4 2 2 3" xfId="3350" xr:uid="{00000000-0005-0000-0000-0000A3070000}"/>
    <cellStyle name="20% - Accent6 4 2 2 4" xfId="4637" xr:uid="{00000000-0005-0000-0000-0000A4070000}"/>
    <cellStyle name="20% - Accent6 4 2 3" xfId="1206" xr:uid="{00000000-0005-0000-0000-0000A5070000}"/>
    <cellStyle name="20% - Accent6 4 2 3 2" xfId="2498" xr:uid="{00000000-0005-0000-0000-0000A6070000}"/>
    <cellStyle name="20% - Accent6 4 2 3 3" xfId="3776" xr:uid="{00000000-0005-0000-0000-0000A7070000}"/>
    <cellStyle name="20% - Accent6 4 2 3 4" xfId="5063" xr:uid="{00000000-0005-0000-0000-0000A8070000}"/>
    <cellStyle name="20% - Accent6 4 2 4" xfId="1646" xr:uid="{00000000-0005-0000-0000-0000A9070000}"/>
    <cellStyle name="20% - Accent6 4 2 5" xfId="2924" xr:uid="{00000000-0005-0000-0000-0000AA070000}"/>
    <cellStyle name="20% - Accent6 4 2 6" xfId="4211" xr:uid="{00000000-0005-0000-0000-0000AB070000}"/>
    <cellStyle name="20% - Accent6 4 3" xfId="567" xr:uid="{00000000-0005-0000-0000-0000AC070000}"/>
    <cellStyle name="20% - Accent6 4 3 2" xfId="1859" xr:uid="{00000000-0005-0000-0000-0000AD070000}"/>
    <cellStyle name="20% - Accent6 4 3 3" xfId="3137" xr:uid="{00000000-0005-0000-0000-0000AE070000}"/>
    <cellStyle name="20% - Accent6 4 3 4" xfId="4424" xr:uid="{00000000-0005-0000-0000-0000AF070000}"/>
    <cellStyle name="20% - Accent6 4 4" xfId="993" xr:uid="{00000000-0005-0000-0000-0000B0070000}"/>
    <cellStyle name="20% - Accent6 4 4 2" xfId="2285" xr:uid="{00000000-0005-0000-0000-0000B1070000}"/>
    <cellStyle name="20% - Accent6 4 4 3" xfId="3563" xr:uid="{00000000-0005-0000-0000-0000B2070000}"/>
    <cellStyle name="20% - Accent6 4 4 4" xfId="4850" xr:uid="{00000000-0005-0000-0000-0000B3070000}"/>
    <cellStyle name="20% - Accent6 4 5" xfId="1433" xr:uid="{00000000-0005-0000-0000-0000B4070000}"/>
    <cellStyle name="20% - Accent6 4 6" xfId="2711" xr:uid="{00000000-0005-0000-0000-0000B5070000}"/>
    <cellStyle name="20% - Accent6 4 7" xfId="3998" xr:uid="{00000000-0005-0000-0000-0000B6070000}"/>
    <cellStyle name="20% - Accent6 4 8" xfId="5254" xr:uid="{00000000-0005-0000-0000-0000B7070000}"/>
    <cellStyle name="20% - Accent6 5" xfId="142" xr:uid="{00000000-0005-0000-0000-0000B8070000}"/>
    <cellStyle name="20% - Accent6 5 2" xfId="355" xr:uid="{00000000-0005-0000-0000-0000B9070000}"/>
    <cellStyle name="20% - Accent6 5 2 2" xfId="781" xr:uid="{00000000-0005-0000-0000-0000BA070000}"/>
    <cellStyle name="20% - Accent6 5 2 2 2" xfId="2073" xr:uid="{00000000-0005-0000-0000-0000BB070000}"/>
    <cellStyle name="20% - Accent6 5 2 2 3" xfId="3351" xr:uid="{00000000-0005-0000-0000-0000BC070000}"/>
    <cellStyle name="20% - Accent6 5 2 2 4" xfId="4638" xr:uid="{00000000-0005-0000-0000-0000BD070000}"/>
    <cellStyle name="20% - Accent6 5 2 3" xfId="1207" xr:uid="{00000000-0005-0000-0000-0000BE070000}"/>
    <cellStyle name="20% - Accent6 5 2 3 2" xfId="2499" xr:uid="{00000000-0005-0000-0000-0000BF070000}"/>
    <cellStyle name="20% - Accent6 5 2 3 3" xfId="3777" xr:uid="{00000000-0005-0000-0000-0000C0070000}"/>
    <cellStyle name="20% - Accent6 5 2 3 4" xfId="5064" xr:uid="{00000000-0005-0000-0000-0000C1070000}"/>
    <cellStyle name="20% - Accent6 5 2 4" xfId="1647" xr:uid="{00000000-0005-0000-0000-0000C2070000}"/>
    <cellStyle name="20% - Accent6 5 2 5" xfId="2925" xr:uid="{00000000-0005-0000-0000-0000C3070000}"/>
    <cellStyle name="20% - Accent6 5 2 6" xfId="4212" xr:uid="{00000000-0005-0000-0000-0000C4070000}"/>
    <cellStyle name="20% - Accent6 5 3" xfId="568" xr:uid="{00000000-0005-0000-0000-0000C5070000}"/>
    <cellStyle name="20% - Accent6 5 3 2" xfId="1860" xr:uid="{00000000-0005-0000-0000-0000C6070000}"/>
    <cellStyle name="20% - Accent6 5 3 3" xfId="3138" xr:uid="{00000000-0005-0000-0000-0000C7070000}"/>
    <cellStyle name="20% - Accent6 5 3 4" xfId="4425" xr:uid="{00000000-0005-0000-0000-0000C8070000}"/>
    <cellStyle name="20% - Accent6 5 4" xfId="994" xr:uid="{00000000-0005-0000-0000-0000C9070000}"/>
    <cellStyle name="20% - Accent6 5 4 2" xfId="2286" xr:uid="{00000000-0005-0000-0000-0000CA070000}"/>
    <cellStyle name="20% - Accent6 5 4 3" xfId="3564" xr:uid="{00000000-0005-0000-0000-0000CB070000}"/>
    <cellStyle name="20% - Accent6 5 4 4" xfId="4851" xr:uid="{00000000-0005-0000-0000-0000CC070000}"/>
    <cellStyle name="20% - Accent6 5 5" xfId="1434" xr:uid="{00000000-0005-0000-0000-0000CD070000}"/>
    <cellStyle name="20% - Accent6 5 6" xfId="2712" xr:uid="{00000000-0005-0000-0000-0000CE070000}"/>
    <cellStyle name="20% - Accent6 5 7" xfId="3999" xr:uid="{00000000-0005-0000-0000-0000CF070000}"/>
    <cellStyle name="20% - Accent6 6" xfId="143" xr:uid="{00000000-0005-0000-0000-0000D0070000}"/>
    <cellStyle name="20% - Accent6 6 2" xfId="356" xr:uid="{00000000-0005-0000-0000-0000D1070000}"/>
    <cellStyle name="20% - Accent6 6 2 2" xfId="782" xr:uid="{00000000-0005-0000-0000-0000D2070000}"/>
    <cellStyle name="20% - Accent6 6 2 2 2" xfId="2074" xr:uid="{00000000-0005-0000-0000-0000D3070000}"/>
    <cellStyle name="20% - Accent6 6 2 2 3" xfId="3352" xr:uid="{00000000-0005-0000-0000-0000D4070000}"/>
    <cellStyle name="20% - Accent6 6 2 2 4" xfId="4639" xr:uid="{00000000-0005-0000-0000-0000D5070000}"/>
    <cellStyle name="20% - Accent6 6 2 3" xfId="1208" xr:uid="{00000000-0005-0000-0000-0000D6070000}"/>
    <cellStyle name="20% - Accent6 6 2 3 2" xfId="2500" xr:uid="{00000000-0005-0000-0000-0000D7070000}"/>
    <cellStyle name="20% - Accent6 6 2 3 3" xfId="3778" xr:uid="{00000000-0005-0000-0000-0000D8070000}"/>
    <cellStyle name="20% - Accent6 6 2 3 4" xfId="5065" xr:uid="{00000000-0005-0000-0000-0000D9070000}"/>
    <cellStyle name="20% - Accent6 6 2 4" xfId="1648" xr:uid="{00000000-0005-0000-0000-0000DA070000}"/>
    <cellStyle name="20% - Accent6 6 2 5" xfId="2926" xr:uid="{00000000-0005-0000-0000-0000DB070000}"/>
    <cellStyle name="20% - Accent6 6 2 6" xfId="4213" xr:uid="{00000000-0005-0000-0000-0000DC070000}"/>
    <cellStyle name="20% - Accent6 6 3" xfId="569" xr:uid="{00000000-0005-0000-0000-0000DD070000}"/>
    <cellStyle name="20% - Accent6 6 3 2" xfId="1861" xr:uid="{00000000-0005-0000-0000-0000DE070000}"/>
    <cellStyle name="20% - Accent6 6 3 3" xfId="3139" xr:uid="{00000000-0005-0000-0000-0000DF070000}"/>
    <cellStyle name="20% - Accent6 6 3 4" xfId="4426" xr:uid="{00000000-0005-0000-0000-0000E0070000}"/>
    <cellStyle name="20% - Accent6 6 4" xfId="995" xr:uid="{00000000-0005-0000-0000-0000E1070000}"/>
    <cellStyle name="20% - Accent6 6 4 2" xfId="2287" xr:uid="{00000000-0005-0000-0000-0000E2070000}"/>
    <cellStyle name="20% - Accent6 6 4 3" xfId="3565" xr:uid="{00000000-0005-0000-0000-0000E3070000}"/>
    <cellStyle name="20% - Accent6 6 4 4" xfId="4852" xr:uid="{00000000-0005-0000-0000-0000E4070000}"/>
    <cellStyle name="20% - Accent6 6 5" xfId="1435" xr:uid="{00000000-0005-0000-0000-0000E5070000}"/>
    <cellStyle name="20% - Accent6 6 6" xfId="2713" xr:uid="{00000000-0005-0000-0000-0000E6070000}"/>
    <cellStyle name="20% - Accent6 6 7" xfId="4000" xr:uid="{00000000-0005-0000-0000-0000E7070000}"/>
    <cellStyle name="20% - Accent6 7" xfId="260" xr:uid="{00000000-0005-0000-0000-0000E8070000}"/>
    <cellStyle name="20% - Accent6 7 2" xfId="473" xr:uid="{00000000-0005-0000-0000-0000E9070000}"/>
    <cellStyle name="20% - Accent6 7 2 2" xfId="898" xr:uid="{00000000-0005-0000-0000-0000EA070000}"/>
    <cellStyle name="20% - Accent6 7 2 2 2" xfId="2190" xr:uid="{00000000-0005-0000-0000-0000EB070000}"/>
    <cellStyle name="20% - Accent6 7 2 2 3" xfId="3468" xr:uid="{00000000-0005-0000-0000-0000EC070000}"/>
    <cellStyle name="20% - Accent6 7 2 2 4" xfId="4755" xr:uid="{00000000-0005-0000-0000-0000ED070000}"/>
    <cellStyle name="20% - Accent6 7 2 3" xfId="1324" xr:uid="{00000000-0005-0000-0000-0000EE070000}"/>
    <cellStyle name="20% - Accent6 7 2 3 2" xfId="2616" xr:uid="{00000000-0005-0000-0000-0000EF070000}"/>
    <cellStyle name="20% - Accent6 7 2 3 3" xfId="3894" xr:uid="{00000000-0005-0000-0000-0000F0070000}"/>
    <cellStyle name="20% - Accent6 7 2 3 4" xfId="5181" xr:uid="{00000000-0005-0000-0000-0000F1070000}"/>
    <cellStyle name="20% - Accent6 7 2 4" xfId="1764" xr:uid="{00000000-0005-0000-0000-0000F2070000}"/>
    <cellStyle name="20% - Accent6 7 2 5" xfId="3042" xr:uid="{00000000-0005-0000-0000-0000F3070000}"/>
    <cellStyle name="20% - Accent6 7 2 6" xfId="4329" xr:uid="{00000000-0005-0000-0000-0000F4070000}"/>
    <cellStyle name="20% - Accent6 7 3" xfId="685" xr:uid="{00000000-0005-0000-0000-0000F5070000}"/>
    <cellStyle name="20% - Accent6 7 3 2" xfId="1977" xr:uid="{00000000-0005-0000-0000-0000F6070000}"/>
    <cellStyle name="20% - Accent6 7 3 3" xfId="3255" xr:uid="{00000000-0005-0000-0000-0000F7070000}"/>
    <cellStyle name="20% - Accent6 7 3 4" xfId="4542" xr:uid="{00000000-0005-0000-0000-0000F8070000}"/>
    <cellStyle name="20% - Accent6 7 4" xfId="1111" xr:uid="{00000000-0005-0000-0000-0000F9070000}"/>
    <cellStyle name="20% - Accent6 7 4 2" xfId="2403" xr:uid="{00000000-0005-0000-0000-0000FA070000}"/>
    <cellStyle name="20% - Accent6 7 4 3" xfId="3681" xr:uid="{00000000-0005-0000-0000-0000FB070000}"/>
    <cellStyle name="20% - Accent6 7 4 4" xfId="4968" xr:uid="{00000000-0005-0000-0000-0000FC070000}"/>
    <cellStyle name="20% - Accent6 7 5" xfId="1551" xr:uid="{00000000-0005-0000-0000-0000FD070000}"/>
    <cellStyle name="20% - Accent6 7 6" xfId="2829" xr:uid="{00000000-0005-0000-0000-0000FE070000}"/>
    <cellStyle name="20% - Accent6 7 7" xfId="4116" xr:uid="{00000000-0005-0000-0000-0000FF070000}"/>
    <cellStyle name="20% - Accent6 8" xfId="345" xr:uid="{00000000-0005-0000-0000-000000080000}"/>
    <cellStyle name="20% - Accent6 8 2" xfId="771" xr:uid="{00000000-0005-0000-0000-000001080000}"/>
    <cellStyle name="20% - Accent6 8 2 2" xfId="2063" xr:uid="{00000000-0005-0000-0000-000002080000}"/>
    <cellStyle name="20% - Accent6 8 2 3" xfId="3341" xr:uid="{00000000-0005-0000-0000-000003080000}"/>
    <cellStyle name="20% - Accent6 8 2 4" xfId="4628" xr:uid="{00000000-0005-0000-0000-000004080000}"/>
    <cellStyle name="20% - Accent6 8 3" xfId="1197" xr:uid="{00000000-0005-0000-0000-000005080000}"/>
    <cellStyle name="20% - Accent6 8 3 2" xfId="2489" xr:uid="{00000000-0005-0000-0000-000006080000}"/>
    <cellStyle name="20% - Accent6 8 3 3" xfId="3767" xr:uid="{00000000-0005-0000-0000-000007080000}"/>
    <cellStyle name="20% - Accent6 8 3 4" xfId="5054" xr:uid="{00000000-0005-0000-0000-000008080000}"/>
    <cellStyle name="20% - Accent6 8 4" xfId="1637" xr:uid="{00000000-0005-0000-0000-000009080000}"/>
    <cellStyle name="20% - Accent6 8 5" xfId="2915" xr:uid="{00000000-0005-0000-0000-00000A080000}"/>
    <cellStyle name="20% - Accent6 8 6" xfId="4202" xr:uid="{00000000-0005-0000-0000-00000B080000}"/>
    <cellStyle name="20% - Accent6 9" xfId="558" xr:uid="{00000000-0005-0000-0000-00000C080000}"/>
    <cellStyle name="20% - Accent6 9 2" xfId="1850" xr:uid="{00000000-0005-0000-0000-00000D080000}"/>
    <cellStyle name="20% - Accent6 9 3" xfId="3128" xr:uid="{00000000-0005-0000-0000-00000E080000}"/>
    <cellStyle name="20% - Accent6 9 4" xfId="4415" xr:uid="{00000000-0005-0000-0000-00000F080000}"/>
    <cellStyle name="40% - Accent1" xfId="60" builtinId="31" customBuiltin="1"/>
    <cellStyle name="40% - Accent1 10" xfId="996" xr:uid="{00000000-0005-0000-0000-000011080000}"/>
    <cellStyle name="40% - Accent1 10 2" xfId="2288" xr:uid="{00000000-0005-0000-0000-000012080000}"/>
    <cellStyle name="40% - Accent1 10 3" xfId="3566" xr:uid="{00000000-0005-0000-0000-000013080000}"/>
    <cellStyle name="40% - Accent1 10 4" xfId="4853" xr:uid="{00000000-0005-0000-0000-000014080000}"/>
    <cellStyle name="40% - Accent1 11" xfId="1436" xr:uid="{00000000-0005-0000-0000-000015080000}"/>
    <cellStyle name="40% - Accent1 12" xfId="2714" xr:uid="{00000000-0005-0000-0000-000016080000}"/>
    <cellStyle name="40% - Accent1 13" xfId="4001" xr:uid="{00000000-0005-0000-0000-000017080000}"/>
    <cellStyle name="40% - Accent1 14" xfId="5255" xr:uid="{00000000-0005-0000-0000-000018080000}"/>
    <cellStyle name="40% - Accent1 2" xfId="16" xr:uid="{00000000-0005-0000-0000-000019080000}"/>
    <cellStyle name="40% - Accent1 2 10" xfId="1437" xr:uid="{00000000-0005-0000-0000-00001A080000}"/>
    <cellStyle name="40% - Accent1 2 11" xfId="2715" xr:uid="{00000000-0005-0000-0000-00001B080000}"/>
    <cellStyle name="40% - Accent1 2 12" xfId="4002" xr:uid="{00000000-0005-0000-0000-00001C080000}"/>
    <cellStyle name="40% - Accent1 2 13" xfId="5256" xr:uid="{00000000-0005-0000-0000-00001D080000}"/>
    <cellStyle name="40% - Accent1 2 2" xfId="144" xr:uid="{00000000-0005-0000-0000-00001E080000}"/>
    <cellStyle name="40% - Accent1 2 2 2" xfId="145" xr:uid="{00000000-0005-0000-0000-00001F080000}"/>
    <cellStyle name="40% - Accent1 2 2 2 2" xfId="360" xr:uid="{00000000-0005-0000-0000-000020080000}"/>
    <cellStyle name="40% - Accent1 2 2 2 2 2" xfId="786" xr:uid="{00000000-0005-0000-0000-000021080000}"/>
    <cellStyle name="40% - Accent1 2 2 2 2 2 2" xfId="2078" xr:uid="{00000000-0005-0000-0000-000022080000}"/>
    <cellStyle name="40% - Accent1 2 2 2 2 2 3" xfId="3356" xr:uid="{00000000-0005-0000-0000-000023080000}"/>
    <cellStyle name="40% - Accent1 2 2 2 2 2 4" xfId="4643" xr:uid="{00000000-0005-0000-0000-000024080000}"/>
    <cellStyle name="40% - Accent1 2 2 2 2 3" xfId="1212" xr:uid="{00000000-0005-0000-0000-000025080000}"/>
    <cellStyle name="40% - Accent1 2 2 2 2 3 2" xfId="2504" xr:uid="{00000000-0005-0000-0000-000026080000}"/>
    <cellStyle name="40% - Accent1 2 2 2 2 3 3" xfId="3782" xr:uid="{00000000-0005-0000-0000-000027080000}"/>
    <cellStyle name="40% - Accent1 2 2 2 2 3 4" xfId="5069" xr:uid="{00000000-0005-0000-0000-000028080000}"/>
    <cellStyle name="40% - Accent1 2 2 2 2 4" xfId="1652" xr:uid="{00000000-0005-0000-0000-000029080000}"/>
    <cellStyle name="40% - Accent1 2 2 2 2 5" xfId="2930" xr:uid="{00000000-0005-0000-0000-00002A080000}"/>
    <cellStyle name="40% - Accent1 2 2 2 2 6" xfId="4217" xr:uid="{00000000-0005-0000-0000-00002B080000}"/>
    <cellStyle name="40% - Accent1 2 2 2 3" xfId="573" xr:uid="{00000000-0005-0000-0000-00002C080000}"/>
    <cellStyle name="40% - Accent1 2 2 2 3 2" xfId="1865" xr:uid="{00000000-0005-0000-0000-00002D080000}"/>
    <cellStyle name="40% - Accent1 2 2 2 3 3" xfId="3143" xr:uid="{00000000-0005-0000-0000-00002E080000}"/>
    <cellStyle name="40% - Accent1 2 2 2 3 4" xfId="4430" xr:uid="{00000000-0005-0000-0000-00002F080000}"/>
    <cellStyle name="40% - Accent1 2 2 2 4" xfId="999" xr:uid="{00000000-0005-0000-0000-000030080000}"/>
    <cellStyle name="40% - Accent1 2 2 2 4 2" xfId="2291" xr:uid="{00000000-0005-0000-0000-000031080000}"/>
    <cellStyle name="40% - Accent1 2 2 2 4 3" xfId="3569" xr:uid="{00000000-0005-0000-0000-000032080000}"/>
    <cellStyle name="40% - Accent1 2 2 2 4 4" xfId="4856" xr:uid="{00000000-0005-0000-0000-000033080000}"/>
    <cellStyle name="40% - Accent1 2 2 2 5" xfId="1439" xr:uid="{00000000-0005-0000-0000-000034080000}"/>
    <cellStyle name="40% - Accent1 2 2 2 6" xfId="2717" xr:uid="{00000000-0005-0000-0000-000035080000}"/>
    <cellStyle name="40% - Accent1 2 2 2 7" xfId="4004" xr:uid="{00000000-0005-0000-0000-000036080000}"/>
    <cellStyle name="40% - Accent1 2 2 2 8" xfId="5258" xr:uid="{00000000-0005-0000-0000-000037080000}"/>
    <cellStyle name="40% - Accent1 2 2 3" xfId="359" xr:uid="{00000000-0005-0000-0000-000038080000}"/>
    <cellStyle name="40% - Accent1 2 2 3 2" xfId="785" xr:uid="{00000000-0005-0000-0000-000039080000}"/>
    <cellStyle name="40% - Accent1 2 2 3 2 2" xfId="2077" xr:uid="{00000000-0005-0000-0000-00003A080000}"/>
    <cellStyle name="40% - Accent1 2 2 3 2 3" xfId="3355" xr:uid="{00000000-0005-0000-0000-00003B080000}"/>
    <cellStyle name="40% - Accent1 2 2 3 2 4" xfId="4642" xr:uid="{00000000-0005-0000-0000-00003C080000}"/>
    <cellStyle name="40% - Accent1 2 2 3 3" xfId="1211" xr:uid="{00000000-0005-0000-0000-00003D080000}"/>
    <cellStyle name="40% - Accent1 2 2 3 3 2" xfId="2503" xr:uid="{00000000-0005-0000-0000-00003E080000}"/>
    <cellStyle name="40% - Accent1 2 2 3 3 3" xfId="3781" xr:uid="{00000000-0005-0000-0000-00003F080000}"/>
    <cellStyle name="40% - Accent1 2 2 3 3 4" xfId="5068" xr:uid="{00000000-0005-0000-0000-000040080000}"/>
    <cellStyle name="40% - Accent1 2 2 3 4" xfId="1651" xr:uid="{00000000-0005-0000-0000-000041080000}"/>
    <cellStyle name="40% - Accent1 2 2 3 5" xfId="2929" xr:uid="{00000000-0005-0000-0000-000042080000}"/>
    <cellStyle name="40% - Accent1 2 2 3 6" xfId="4216" xr:uid="{00000000-0005-0000-0000-000043080000}"/>
    <cellStyle name="40% - Accent1 2 2 4" xfId="572" xr:uid="{00000000-0005-0000-0000-000044080000}"/>
    <cellStyle name="40% - Accent1 2 2 4 2" xfId="1864" xr:uid="{00000000-0005-0000-0000-000045080000}"/>
    <cellStyle name="40% - Accent1 2 2 4 3" xfId="3142" xr:uid="{00000000-0005-0000-0000-000046080000}"/>
    <cellStyle name="40% - Accent1 2 2 4 4" xfId="4429" xr:uid="{00000000-0005-0000-0000-000047080000}"/>
    <cellStyle name="40% - Accent1 2 2 5" xfId="998" xr:uid="{00000000-0005-0000-0000-000048080000}"/>
    <cellStyle name="40% - Accent1 2 2 5 2" xfId="2290" xr:uid="{00000000-0005-0000-0000-000049080000}"/>
    <cellStyle name="40% - Accent1 2 2 5 3" xfId="3568" xr:uid="{00000000-0005-0000-0000-00004A080000}"/>
    <cellStyle name="40% - Accent1 2 2 5 4" xfId="4855" xr:uid="{00000000-0005-0000-0000-00004B080000}"/>
    <cellStyle name="40% - Accent1 2 2 6" xfId="1438" xr:uid="{00000000-0005-0000-0000-00004C080000}"/>
    <cellStyle name="40% - Accent1 2 2 7" xfId="2716" xr:uid="{00000000-0005-0000-0000-00004D080000}"/>
    <cellStyle name="40% - Accent1 2 2 8" xfId="4003" xr:uid="{00000000-0005-0000-0000-00004E080000}"/>
    <cellStyle name="40% - Accent1 2 2 9" xfId="5257" xr:uid="{00000000-0005-0000-0000-00004F080000}"/>
    <cellStyle name="40% - Accent1 2 3" xfId="146" xr:uid="{00000000-0005-0000-0000-000050080000}"/>
    <cellStyle name="40% - Accent1 2 3 2" xfId="361" xr:uid="{00000000-0005-0000-0000-000051080000}"/>
    <cellStyle name="40% - Accent1 2 3 2 2" xfId="787" xr:uid="{00000000-0005-0000-0000-000052080000}"/>
    <cellStyle name="40% - Accent1 2 3 2 2 2" xfId="2079" xr:uid="{00000000-0005-0000-0000-000053080000}"/>
    <cellStyle name="40% - Accent1 2 3 2 2 3" xfId="3357" xr:uid="{00000000-0005-0000-0000-000054080000}"/>
    <cellStyle name="40% - Accent1 2 3 2 2 4" xfId="4644" xr:uid="{00000000-0005-0000-0000-000055080000}"/>
    <cellStyle name="40% - Accent1 2 3 2 3" xfId="1213" xr:uid="{00000000-0005-0000-0000-000056080000}"/>
    <cellStyle name="40% - Accent1 2 3 2 3 2" xfId="2505" xr:uid="{00000000-0005-0000-0000-000057080000}"/>
    <cellStyle name="40% - Accent1 2 3 2 3 3" xfId="3783" xr:uid="{00000000-0005-0000-0000-000058080000}"/>
    <cellStyle name="40% - Accent1 2 3 2 3 4" xfId="5070" xr:uid="{00000000-0005-0000-0000-000059080000}"/>
    <cellStyle name="40% - Accent1 2 3 2 4" xfId="1653" xr:uid="{00000000-0005-0000-0000-00005A080000}"/>
    <cellStyle name="40% - Accent1 2 3 2 5" xfId="2931" xr:uid="{00000000-0005-0000-0000-00005B080000}"/>
    <cellStyle name="40% - Accent1 2 3 2 6" xfId="4218" xr:uid="{00000000-0005-0000-0000-00005C080000}"/>
    <cellStyle name="40% - Accent1 2 3 3" xfId="574" xr:uid="{00000000-0005-0000-0000-00005D080000}"/>
    <cellStyle name="40% - Accent1 2 3 3 2" xfId="1866" xr:uid="{00000000-0005-0000-0000-00005E080000}"/>
    <cellStyle name="40% - Accent1 2 3 3 3" xfId="3144" xr:uid="{00000000-0005-0000-0000-00005F080000}"/>
    <cellStyle name="40% - Accent1 2 3 3 4" xfId="4431" xr:uid="{00000000-0005-0000-0000-000060080000}"/>
    <cellStyle name="40% - Accent1 2 3 4" xfId="1000" xr:uid="{00000000-0005-0000-0000-000061080000}"/>
    <cellStyle name="40% - Accent1 2 3 4 2" xfId="2292" xr:uid="{00000000-0005-0000-0000-000062080000}"/>
    <cellStyle name="40% - Accent1 2 3 4 3" xfId="3570" xr:uid="{00000000-0005-0000-0000-000063080000}"/>
    <cellStyle name="40% - Accent1 2 3 4 4" xfId="4857" xr:uid="{00000000-0005-0000-0000-000064080000}"/>
    <cellStyle name="40% - Accent1 2 3 5" xfId="1440" xr:uid="{00000000-0005-0000-0000-000065080000}"/>
    <cellStyle name="40% - Accent1 2 3 6" xfId="2718" xr:uid="{00000000-0005-0000-0000-000066080000}"/>
    <cellStyle name="40% - Accent1 2 3 7" xfId="4005" xr:uid="{00000000-0005-0000-0000-000067080000}"/>
    <cellStyle name="40% - Accent1 2 3 8" xfId="5259" xr:uid="{00000000-0005-0000-0000-000068080000}"/>
    <cellStyle name="40% - Accent1 2 4" xfId="147" xr:uid="{00000000-0005-0000-0000-000069080000}"/>
    <cellStyle name="40% - Accent1 2 4 2" xfId="362" xr:uid="{00000000-0005-0000-0000-00006A080000}"/>
    <cellStyle name="40% - Accent1 2 4 2 2" xfId="788" xr:uid="{00000000-0005-0000-0000-00006B080000}"/>
    <cellStyle name="40% - Accent1 2 4 2 2 2" xfId="2080" xr:uid="{00000000-0005-0000-0000-00006C080000}"/>
    <cellStyle name="40% - Accent1 2 4 2 2 3" xfId="3358" xr:uid="{00000000-0005-0000-0000-00006D080000}"/>
    <cellStyle name="40% - Accent1 2 4 2 2 4" xfId="4645" xr:uid="{00000000-0005-0000-0000-00006E080000}"/>
    <cellStyle name="40% - Accent1 2 4 2 3" xfId="1214" xr:uid="{00000000-0005-0000-0000-00006F080000}"/>
    <cellStyle name="40% - Accent1 2 4 2 3 2" xfId="2506" xr:uid="{00000000-0005-0000-0000-000070080000}"/>
    <cellStyle name="40% - Accent1 2 4 2 3 3" xfId="3784" xr:uid="{00000000-0005-0000-0000-000071080000}"/>
    <cellStyle name="40% - Accent1 2 4 2 3 4" xfId="5071" xr:uid="{00000000-0005-0000-0000-000072080000}"/>
    <cellStyle name="40% - Accent1 2 4 2 4" xfId="1654" xr:uid="{00000000-0005-0000-0000-000073080000}"/>
    <cellStyle name="40% - Accent1 2 4 2 5" xfId="2932" xr:uid="{00000000-0005-0000-0000-000074080000}"/>
    <cellStyle name="40% - Accent1 2 4 2 6" xfId="4219" xr:uid="{00000000-0005-0000-0000-000075080000}"/>
    <cellStyle name="40% - Accent1 2 4 3" xfId="575" xr:uid="{00000000-0005-0000-0000-000076080000}"/>
    <cellStyle name="40% - Accent1 2 4 3 2" xfId="1867" xr:uid="{00000000-0005-0000-0000-000077080000}"/>
    <cellStyle name="40% - Accent1 2 4 3 3" xfId="3145" xr:uid="{00000000-0005-0000-0000-000078080000}"/>
    <cellStyle name="40% - Accent1 2 4 3 4" xfId="4432" xr:uid="{00000000-0005-0000-0000-000079080000}"/>
    <cellStyle name="40% - Accent1 2 4 4" xfId="1001" xr:uid="{00000000-0005-0000-0000-00007A080000}"/>
    <cellStyle name="40% - Accent1 2 4 4 2" xfId="2293" xr:uid="{00000000-0005-0000-0000-00007B080000}"/>
    <cellStyle name="40% - Accent1 2 4 4 3" xfId="3571" xr:uid="{00000000-0005-0000-0000-00007C080000}"/>
    <cellStyle name="40% - Accent1 2 4 4 4" xfId="4858" xr:uid="{00000000-0005-0000-0000-00007D080000}"/>
    <cellStyle name="40% - Accent1 2 4 5" xfId="1441" xr:uid="{00000000-0005-0000-0000-00007E080000}"/>
    <cellStyle name="40% - Accent1 2 4 6" xfId="2719" xr:uid="{00000000-0005-0000-0000-00007F080000}"/>
    <cellStyle name="40% - Accent1 2 4 7" xfId="4006" xr:uid="{00000000-0005-0000-0000-000080080000}"/>
    <cellStyle name="40% - Accent1 2 5" xfId="148" xr:uid="{00000000-0005-0000-0000-000081080000}"/>
    <cellStyle name="40% - Accent1 2 5 2" xfId="363" xr:uid="{00000000-0005-0000-0000-000082080000}"/>
    <cellStyle name="40% - Accent1 2 5 2 2" xfId="789" xr:uid="{00000000-0005-0000-0000-000083080000}"/>
    <cellStyle name="40% - Accent1 2 5 2 2 2" xfId="2081" xr:uid="{00000000-0005-0000-0000-000084080000}"/>
    <cellStyle name="40% - Accent1 2 5 2 2 3" xfId="3359" xr:uid="{00000000-0005-0000-0000-000085080000}"/>
    <cellStyle name="40% - Accent1 2 5 2 2 4" xfId="4646" xr:uid="{00000000-0005-0000-0000-000086080000}"/>
    <cellStyle name="40% - Accent1 2 5 2 3" xfId="1215" xr:uid="{00000000-0005-0000-0000-000087080000}"/>
    <cellStyle name="40% - Accent1 2 5 2 3 2" xfId="2507" xr:uid="{00000000-0005-0000-0000-000088080000}"/>
    <cellStyle name="40% - Accent1 2 5 2 3 3" xfId="3785" xr:uid="{00000000-0005-0000-0000-000089080000}"/>
    <cellStyle name="40% - Accent1 2 5 2 3 4" xfId="5072" xr:uid="{00000000-0005-0000-0000-00008A080000}"/>
    <cellStyle name="40% - Accent1 2 5 2 4" xfId="1655" xr:uid="{00000000-0005-0000-0000-00008B080000}"/>
    <cellStyle name="40% - Accent1 2 5 2 5" xfId="2933" xr:uid="{00000000-0005-0000-0000-00008C080000}"/>
    <cellStyle name="40% - Accent1 2 5 2 6" xfId="4220" xr:uid="{00000000-0005-0000-0000-00008D080000}"/>
    <cellStyle name="40% - Accent1 2 5 3" xfId="576" xr:uid="{00000000-0005-0000-0000-00008E080000}"/>
    <cellStyle name="40% - Accent1 2 5 3 2" xfId="1868" xr:uid="{00000000-0005-0000-0000-00008F080000}"/>
    <cellStyle name="40% - Accent1 2 5 3 3" xfId="3146" xr:uid="{00000000-0005-0000-0000-000090080000}"/>
    <cellStyle name="40% - Accent1 2 5 3 4" xfId="4433" xr:uid="{00000000-0005-0000-0000-000091080000}"/>
    <cellStyle name="40% - Accent1 2 5 4" xfId="1002" xr:uid="{00000000-0005-0000-0000-000092080000}"/>
    <cellStyle name="40% - Accent1 2 5 4 2" xfId="2294" xr:uid="{00000000-0005-0000-0000-000093080000}"/>
    <cellStyle name="40% - Accent1 2 5 4 3" xfId="3572" xr:uid="{00000000-0005-0000-0000-000094080000}"/>
    <cellStyle name="40% - Accent1 2 5 4 4" xfId="4859" xr:uid="{00000000-0005-0000-0000-000095080000}"/>
    <cellStyle name="40% - Accent1 2 5 5" xfId="1442" xr:uid="{00000000-0005-0000-0000-000096080000}"/>
    <cellStyle name="40% - Accent1 2 5 6" xfId="2720" xr:uid="{00000000-0005-0000-0000-000097080000}"/>
    <cellStyle name="40% - Accent1 2 5 7" xfId="4007" xr:uid="{00000000-0005-0000-0000-000098080000}"/>
    <cellStyle name="40% - Accent1 2 6" xfId="271" xr:uid="{00000000-0005-0000-0000-000099080000}"/>
    <cellStyle name="40% - Accent1 2 6 2" xfId="484" xr:uid="{00000000-0005-0000-0000-00009A080000}"/>
    <cellStyle name="40% - Accent1 2 6 2 2" xfId="909" xr:uid="{00000000-0005-0000-0000-00009B080000}"/>
    <cellStyle name="40% - Accent1 2 6 2 2 2" xfId="2201" xr:uid="{00000000-0005-0000-0000-00009C080000}"/>
    <cellStyle name="40% - Accent1 2 6 2 2 3" xfId="3479" xr:uid="{00000000-0005-0000-0000-00009D080000}"/>
    <cellStyle name="40% - Accent1 2 6 2 2 4" xfId="4766" xr:uid="{00000000-0005-0000-0000-00009E080000}"/>
    <cellStyle name="40% - Accent1 2 6 2 3" xfId="1335" xr:uid="{00000000-0005-0000-0000-00009F080000}"/>
    <cellStyle name="40% - Accent1 2 6 2 3 2" xfId="2627" xr:uid="{00000000-0005-0000-0000-0000A0080000}"/>
    <cellStyle name="40% - Accent1 2 6 2 3 3" xfId="3905" xr:uid="{00000000-0005-0000-0000-0000A1080000}"/>
    <cellStyle name="40% - Accent1 2 6 2 3 4" xfId="5192" xr:uid="{00000000-0005-0000-0000-0000A2080000}"/>
    <cellStyle name="40% - Accent1 2 6 2 4" xfId="1775" xr:uid="{00000000-0005-0000-0000-0000A3080000}"/>
    <cellStyle name="40% - Accent1 2 6 2 5" xfId="3053" xr:uid="{00000000-0005-0000-0000-0000A4080000}"/>
    <cellStyle name="40% - Accent1 2 6 2 6" xfId="4340" xr:uid="{00000000-0005-0000-0000-0000A5080000}"/>
    <cellStyle name="40% - Accent1 2 6 3" xfId="696" xr:uid="{00000000-0005-0000-0000-0000A6080000}"/>
    <cellStyle name="40% - Accent1 2 6 3 2" xfId="1988" xr:uid="{00000000-0005-0000-0000-0000A7080000}"/>
    <cellStyle name="40% - Accent1 2 6 3 3" xfId="3266" xr:uid="{00000000-0005-0000-0000-0000A8080000}"/>
    <cellStyle name="40% - Accent1 2 6 3 4" xfId="4553" xr:uid="{00000000-0005-0000-0000-0000A9080000}"/>
    <cellStyle name="40% - Accent1 2 6 4" xfId="1122" xr:uid="{00000000-0005-0000-0000-0000AA080000}"/>
    <cellStyle name="40% - Accent1 2 6 4 2" xfId="2414" xr:uid="{00000000-0005-0000-0000-0000AB080000}"/>
    <cellStyle name="40% - Accent1 2 6 4 3" xfId="3692" xr:uid="{00000000-0005-0000-0000-0000AC080000}"/>
    <cellStyle name="40% - Accent1 2 6 4 4" xfId="4979" xr:uid="{00000000-0005-0000-0000-0000AD080000}"/>
    <cellStyle name="40% - Accent1 2 6 5" xfId="1562" xr:uid="{00000000-0005-0000-0000-0000AE080000}"/>
    <cellStyle name="40% - Accent1 2 6 6" xfId="2840" xr:uid="{00000000-0005-0000-0000-0000AF080000}"/>
    <cellStyle name="40% - Accent1 2 6 7" xfId="4127" xr:uid="{00000000-0005-0000-0000-0000B0080000}"/>
    <cellStyle name="40% - Accent1 2 7" xfId="358" xr:uid="{00000000-0005-0000-0000-0000B1080000}"/>
    <cellStyle name="40% - Accent1 2 7 2" xfId="784" xr:uid="{00000000-0005-0000-0000-0000B2080000}"/>
    <cellStyle name="40% - Accent1 2 7 2 2" xfId="2076" xr:uid="{00000000-0005-0000-0000-0000B3080000}"/>
    <cellStyle name="40% - Accent1 2 7 2 3" xfId="3354" xr:uid="{00000000-0005-0000-0000-0000B4080000}"/>
    <cellStyle name="40% - Accent1 2 7 2 4" xfId="4641" xr:uid="{00000000-0005-0000-0000-0000B5080000}"/>
    <cellStyle name="40% - Accent1 2 7 3" xfId="1210" xr:uid="{00000000-0005-0000-0000-0000B6080000}"/>
    <cellStyle name="40% - Accent1 2 7 3 2" xfId="2502" xr:uid="{00000000-0005-0000-0000-0000B7080000}"/>
    <cellStyle name="40% - Accent1 2 7 3 3" xfId="3780" xr:uid="{00000000-0005-0000-0000-0000B8080000}"/>
    <cellStyle name="40% - Accent1 2 7 3 4" xfId="5067" xr:uid="{00000000-0005-0000-0000-0000B9080000}"/>
    <cellStyle name="40% - Accent1 2 7 4" xfId="1650" xr:uid="{00000000-0005-0000-0000-0000BA080000}"/>
    <cellStyle name="40% - Accent1 2 7 5" xfId="2928" xr:uid="{00000000-0005-0000-0000-0000BB080000}"/>
    <cellStyle name="40% - Accent1 2 7 6" xfId="4215" xr:uid="{00000000-0005-0000-0000-0000BC080000}"/>
    <cellStyle name="40% - Accent1 2 8" xfId="571" xr:uid="{00000000-0005-0000-0000-0000BD080000}"/>
    <cellStyle name="40% - Accent1 2 8 2" xfId="1863" xr:uid="{00000000-0005-0000-0000-0000BE080000}"/>
    <cellStyle name="40% - Accent1 2 8 3" xfId="3141" xr:uid="{00000000-0005-0000-0000-0000BF080000}"/>
    <cellStyle name="40% - Accent1 2 8 4" xfId="4428" xr:uid="{00000000-0005-0000-0000-0000C0080000}"/>
    <cellStyle name="40% - Accent1 2 9" xfId="997" xr:uid="{00000000-0005-0000-0000-0000C1080000}"/>
    <cellStyle name="40% - Accent1 2 9 2" xfId="2289" xr:uid="{00000000-0005-0000-0000-0000C2080000}"/>
    <cellStyle name="40% - Accent1 2 9 3" xfId="3567" xr:uid="{00000000-0005-0000-0000-0000C3080000}"/>
    <cellStyle name="40% - Accent1 2 9 4" xfId="4854" xr:uid="{00000000-0005-0000-0000-0000C4080000}"/>
    <cellStyle name="40% - Accent1 3" xfId="149" xr:uid="{00000000-0005-0000-0000-0000C5080000}"/>
    <cellStyle name="40% - Accent1 3 2" xfId="150" xr:uid="{00000000-0005-0000-0000-0000C6080000}"/>
    <cellStyle name="40% - Accent1 3 2 2" xfId="365" xr:uid="{00000000-0005-0000-0000-0000C7080000}"/>
    <cellStyle name="40% - Accent1 3 2 2 2" xfId="791" xr:uid="{00000000-0005-0000-0000-0000C8080000}"/>
    <cellStyle name="40% - Accent1 3 2 2 2 2" xfId="2083" xr:uid="{00000000-0005-0000-0000-0000C9080000}"/>
    <cellStyle name="40% - Accent1 3 2 2 2 3" xfId="3361" xr:uid="{00000000-0005-0000-0000-0000CA080000}"/>
    <cellStyle name="40% - Accent1 3 2 2 2 4" xfId="4648" xr:uid="{00000000-0005-0000-0000-0000CB080000}"/>
    <cellStyle name="40% - Accent1 3 2 2 3" xfId="1217" xr:uid="{00000000-0005-0000-0000-0000CC080000}"/>
    <cellStyle name="40% - Accent1 3 2 2 3 2" xfId="2509" xr:uid="{00000000-0005-0000-0000-0000CD080000}"/>
    <cellStyle name="40% - Accent1 3 2 2 3 3" xfId="3787" xr:uid="{00000000-0005-0000-0000-0000CE080000}"/>
    <cellStyle name="40% - Accent1 3 2 2 3 4" xfId="5074" xr:uid="{00000000-0005-0000-0000-0000CF080000}"/>
    <cellStyle name="40% - Accent1 3 2 2 4" xfId="1657" xr:uid="{00000000-0005-0000-0000-0000D0080000}"/>
    <cellStyle name="40% - Accent1 3 2 2 5" xfId="2935" xr:uid="{00000000-0005-0000-0000-0000D1080000}"/>
    <cellStyle name="40% - Accent1 3 2 2 6" xfId="4222" xr:uid="{00000000-0005-0000-0000-0000D2080000}"/>
    <cellStyle name="40% - Accent1 3 2 3" xfId="578" xr:uid="{00000000-0005-0000-0000-0000D3080000}"/>
    <cellStyle name="40% - Accent1 3 2 3 2" xfId="1870" xr:uid="{00000000-0005-0000-0000-0000D4080000}"/>
    <cellStyle name="40% - Accent1 3 2 3 3" xfId="3148" xr:uid="{00000000-0005-0000-0000-0000D5080000}"/>
    <cellStyle name="40% - Accent1 3 2 3 4" xfId="4435" xr:uid="{00000000-0005-0000-0000-0000D6080000}"/>
    <cellStyle name="40% - Accent1 3 2 4" xfId="1004" xr:uid="{00000000-0005-0000-0000-0000D7080000}"/>
    <cellStyle name="40% - Accent1 3 2 4 2" xfId="2296" xr:uid="{00000000-0005-0000-0000-0000D8080000}"/>
    <cellStyle name="40% - Accent1 3 2 4 3" xfId="3574" xr:uid="{00000000-0005-0000-0000-0000D9080000}"/>
    <cellStyle name="40% - Accent1 3 2 4 4" xfId="4861" xr:uid="{00000000-0005-0000-0000-0000DA080000}"/>
    <cellStyle name="40% - Accent1 3 2 5" xfId="1444" xr:uid="{00000000-0005-0000-0000-0000DB080000}"/>
    <cellStyle name="40% - Accent1 3 2 6" xfId="2722" xr:uid="{00000000-0005-0000-0000-0000DC080000}"/>
    <cellStyle name="40% - Accent1 3 2 7" xfId="4009" xr:uid="{00000000-0005-0000-0000-0000DD080000}"/>
    <cellStyle name="40% - Accent1 3 2 8" xfId="5261" xr:uid="{00000000-0005-0000-0000-0000DE080000}"/>
    <cellStyle name="40% - Accent1 3 3" xfId="364" xr:uid="{00000000-0005-0000-0000-0000DF080000}"/>
    <cellStyle name="40% - Accent1 3 3 2" xfId="790" xr:uid="{00000000-0005-0000-0000-0000E0080000}"/>
    <cellStyle name="40% - Accent1 3 3 2 2" xfId="2082" xr:uid="{00000000-0005-0000-0000-0000E1080000}"/>
    <cellStyle name="40% - Accent1 3 3 2 3" xfId="3360" xr:uid="{00000000-0005-0000-0000-0000E2080000}"/>
    <cellStyle name="40% - Accent1 3 3 2 4" xfId="4647" xr:uid="{00000000-0005-0000-0000-0000E3080000}"/>
    <cellStyle name="40% - Accent1 3 3 3" xfId="1216" xr:uid="{00000000-0005-0000-0000-0000E4080000}"/>
    <cellStyle name="40% - Accent1 3 3 3 2" xfId="2508" xr:uid="{00000000-0005-0000-0000-0000E5080000}"/>
    <cellStyle name="40% - Accent1 3 3 3 3" xfId="3786" xr:uid="{00000000-0005-0000-0000-0000E6080000}"/>
    <cellStyle name="40% - Accent1 3 3 3 4" xfId="5073" xr:uid="{00000000-0005-0000-0000-0000E7080000}"/>
    <cellStyle name="40% - Accent1 3 3 4" xfId="1656" xr:uid="{00000000-0005-0000-0000-0000E8080000}"/>
    <cellStyle name="40% - Accent1 3 3 5" xfId="2934" xr:uid="{00000000-0005-0000-0000-0000E9080000}"/>
    <cellStyle name="40% - Accent1 3 3 6" xfId="4221" xr:uid="{00000000-0005-0000-0000-0000EA080000}"/>
    <cellStyle name="40% - Accent1 3 4" xfId="577" xr:uid="{00000000-0005-0000-0000-0000EB080000}"/>
    <cellStyle name="40% - Accent1 3 4 2" xfId="1869" xr:uid="{00000000-0005-0000-0000-0000EC080000}"/>
    <cellStyle name="40% - Accent1 3 4 3" xfId="3147" xr:uid="{00000000-0005-0000-0000-0000ED080000}"/>
    <cellStyle name="40% - Accent1 3 4 4" xfId="4434" xr:uid="{00000000-0005-0000-0000-0000EE080000}"/>
    <cellStyle name="40% - Accent1 3 5" xfId="1003" xr:uid="{00000000-0005-0000-0000-0000EF080000}"/>
    <cellStyle name="40% - Accent1 3 5 2" xfId="2295" xr:uid="{00000000-0005-0000-0000-0000F0080000}"/>
    <cellStyle name="40% - Accent1 3 5 3" xfId="3573" xr:uid="{00000000-0005-0000-0000-0000F1080000}"/>
    <cellStyle name="40% - Accent1 3 5 4" xfId="4860" xr:uid="{00000000-0005-0000-0000-0000F2080000}"/>
    <cellStyle name="40% - Accent1 3 6" xfId="1443" xr:uid="{00000000-0005-0000-0000-0000F3080000}"/>
    <cellStyle name="40% - Accent1 3 7" xfId="2721" xr:uid="{00000000-0005-0000-0000-0000F4080000}"/>
    <cellStyle name="40% - Accent1 3 8" xfId="4008" xr:uid="{00000000-0005-0000-0000-0000F5080000}"/>
    <cellStyle name="40% - Accent1 3 9" xfId="5260" xr:uid="{00000000-0005-0000-0000-0000F6080000}"/>
    <cellStyle name="40% - Accent1 4" xfId="151" xr:uid="{00000000-0005-0000-0000-0000F7080000}"/>
    <cellStyle name="40% - Accent1 4 2" xfId="366" xr:uid="{00000000-0005-0000-0000-0000F8080000}"/>
    <cellStyle name="40% - Accent1 4 2 2" xfId="792" xr:uid="{00000000-0005-0000-0000-0000F9080000}"/>
    <cellStyle name="40% - Accent1 4 2 2 2" xfId="2084" xr:uid="{00000000-0005-0000-0000-0000FA080000}"/>
    <cellStyle name="40% - Accent1 4 2 2 3" xfId="3362" xr:uid="{00000000-0005-0000-0000-0000FB080000}"/>
    <cellStyle name="40% - Accent1 4 2 2 4" xfId="4649" xr:uid="{00000000-0005-0000-0000-0000FC080000}"/>
    <cellStyle name="40% - Accent1 4 2 3" xfId="1218" xr:uid="{00000000-0005-0000-0000-0000FD080000}"/>
    <cellStyle name="40% - Accent1 4 2 3 2" xfId="2510" xr:uid="{00000000-0005-0000-0000-0000FE080000}"/>
    <cellStyle name="40% - Accent1 4 2 3 3" xfId="3788" xr:uid="{00000000-0005-0000-0000-0000FF080000}"/>
    <cellStyle name="40% - Accent1 4 2 3 4" xfId="5075" xr:uid="{00000000-0005-0000-0000-000000090000}"/>
    <cellStyle name="40% - Accent1 4 2 4" xfId="1658" xr:uid="{00000000-0005-0000-0000-000001090000}"/>
    <cellStyle name="40% - Accent1 4 2 5" xfId="2936" xr:uid="{00000000-0005-0000-0000-000002090000}"/>
    <cellStyle name="40% - Accent1 4 2 6" xfId="4223" xr:uid="{00000000-0005-0000-0000-000003090000}"/>
    <cellStyle name="40% - Accent1 4 3" xfId="579" xr:uid="{00000000-0005-0000-0000-000004090000}"/>
    <cellStyle name="40% - Accent1 4 3 2" xfId="1871" xr:uid="{00000000-0005-0000-0000-000005090000}"/>
    <cellStyle name="40% - Accent1 4 3 3" xfId="3149" xr:uid="{00000000-0005-0000-0000-000006090000}"/>
    <cellStyle name="40% - Accent1 4 3 4" xfId="4436" xr:uid="{00000000-0005-0000-0000-000007090000}"/>
    <cellStyle name="40% - Accent1 4 4" xfId="1005" xr:uid="{00000000-0005-0000-0000-000008090000}"/>
    <cellStyle name="40% - Accent1 4 4 2" xfId="2297" xr:uid="{00000000-0005-0000-0000-000009090000}"/>
    <cellStyle name="40% - Accent1 4 4 3" xfId="3575" xr:uid="{00000000-0005-0000-0000-00000A090000}"/>
    <cellStyle name="40% - Accent1 4 4 4" xfId="4862" xr:uid="{00000000-0005-0000-0000-00000B090000}"/>
    <cellStyle name="40% - Accent1 4 5" xfId="1445" xr:uid="{00000000-0005-0000-0000-00000C090000}"/>
    <cellStyle name="40% - Accent1 4 6" xfId="2723" xr:uid="{00000000-0005-0000-0000-00000D090000}"/>
    <cellStyle name="40% - Accent1 4 7" xfId="4010" xr:uid="{00000000-0005-0000-0000-00000E090000}"/>
    <cellStyle name="40% - Accent1 4 8" xfId="5262" xr:uid="{00000000-0005-0000-0000-00000F090000}"/>
    <cellStyle name="40% - Accent1 5" xfId="152" xr:uid="{00000000-0005-0000-0000-000010090000}"/>
    <cellStyle name="40% - Accent1 5 2" xfId="367" xr:uid="{00000000-0005-0000-0000-000011090000}"/>
    <cellStyle name="40% - Accent1 5 2 2" xfId="793" xr:uid="{00000000-0005-0000-0000-000012090000}"/>
    <cellStyle name="40% - Accent1 5 2 2 2" xfId="2085" xr:uid="{00000000-0005-0000-0000-000013090000}"/>
    <cellStyle name="40% - Accent1 5 2 2 3" xfId="3363" xr:uid="{00000000-0005-0000-0000-000014090000}"/>
    <cellStyle name="40% - Accent1 5 2 2 4" xfId="4650" xr:uid="{00000000-0005-0000-0000-000015090000}"/>
    <cellStyle name="40% - Accent1 5 2 3" xfId="1219" xr:uid="{00000000-0005-0000-0000-000016090000}"/>
    <cellStyle name="40% - Accent1 5 2 3 2" xfId="2511" xr:uid="{00000000-0005-0000-0000-000017090000}"/>
    <cellStyle name="40% - Accent1 5 2 3 3" xfId="3789" xr:uid="{00000000-0005-0000-0000-000018090000}"/>
    <cellStyle name="40% - Accent1 5 2 3 4" xfId="5076" xr:uid="{00000000-0005-0000-0000-000019090000}"/>
    <cellStyle name="40% - Accent1 5 2 4" xfId="1659" xr:uid="{00000000-0005-0000-0000-00001A090000}"/>
    <cellStyle name="40% - Accent1 5 2 5" xfId="2937" xr:uid="{00000000-0005-0000-0000-00001B090000}"/>
    <cellStyle name="40% - Accent1 5 2 6" xfId="4224" xr:uid="{00000000-0005-0000-0000-00001C090000}"/>
    <cellStyle name="40% - Accent1 5 3" xfId="580" xr:uid="{00000000-0005-0000-0000-00001D090000}"/>
    <cellStyle name="40% - Accent1 5 3 2" xfId="1872" xr:uid="{00000000-0005-0000-0000-00001E090000}"/>
    <cellStyle name="40% - Accent1 5 3 3" xfId="3150" xr:uid="{00000000-0005-0000-0000-00001F090000}"/>
    <cellStyle name="40% - Accent1 5 3 4" xfId="4437" xr:uid="{00000000-0005-0000-0000-000020090000}"/>
    <cellStyle name="40% - Accent1 5 4" xfId="1006" xr:uid="{00000000-0005-0000-0000-000021090000}"/>
    <cellStyle name="40% - Accent1 5 4 2" xfId="2298" xr:uid="{00000000-0005-0000-0000-000022090000}"/>
    <cellStyle name="40% - Accent1 5 4 3" xfId="3576" xr:uid="{00000000-0005-0000-0000-000023090000}"/>
    <cellStyle name="40% - Accent1 5 4 4" xfId="4863" xr:uid="{00000000-0005-0000-0000-000024090000}"/>
    <cellStyle name="40% - Accent1 5 5" xfId="1446" xr:uid="{00000000-0005-0000-0000-000025090000}"/>
    <cellStyle name="40% - Accent1 5 6" xfId="2724" xr:uid="{00000000-0005-0000-0000-000026090000}"/>
    <cellStyle name="40% - Accent1 5 7" xfId="4011" xr:uid="{00000000-0005-0000-0000-000027090000}"/>
    <cellStyle name="40% - Accent1 6" xfId="153" xr:uid="{00000000-0005-0000-0000-000028090000}"/>
    <cellStyle name="40% - Accent1 6 2" xfId="368" xr:uid="{00000000-0005-0000-0000-000029090000}"/>
    <cellStyle name="40% - Accent1 6 2 2" xfId="794" xr:uid="{00000000-0005-0000-0000-00002A090000}"/>
    <cellStyle name="40% - Accent1 6 2 2 2" xfId="2086" xr:uid="{00000000-0005-0000-0000-00002B090000}"/>
    <cellStyle name="40% - Accent1 6 2 2 3" xfId="3364" xr:uid="{00000000-0005-0000-0000-00002C090000}"/>
    <cellStyle name="40% - Accent1 6 2 2 4" xfId="4651" xr:uid="{00000000-0005-0000-0000-00002D090000}"/>
    <cellStyle name="40% - Accent1 6 2 3" xfId="1220" xr:uid="{00000000-0005-0000-0000-00002E090000}"/>
    <cellStyle name="40% - Accent1 6 2 3 2" xfId="2512" xr:uid="{00000000-0005-0000-0000-00002F090000}"/>
    <cellStyle name="40% - Accent1 6 2 3 3" xfId="3790" xr:uid="{00000000-0005-0000-0000-000030090000}"/>
    <cellStyle name="40% - Accent1 6 2 3 4" xfId="5077" xr:uid="{00000000-0005-0000-0000-000031090000}"/>
    <cellStyle name="40% - Accent1 6 2 4" xfId="1660" xr:uid="{00000000-0005-0000-0000-000032090000}"/>
    <cellStyle name="40% - Accent1 6 2 5" xfId="2938" xr:uid="{00000000-0005-0000-0000-000033090000}"/>
    <cellStyle name="40% - Accent1 6 2 6" xfId="4225" xr:uid="{00000000-0005-0000-0000-000034090000}"/>
    <cellStyle name="40% - Accent1 6 3" xfId="581" xr:uid="{00000000-0005-0000-0000-000035090000}"/>
    <cellStyle name="40% - Accent1 6 3 2" xfId="1873" xr:uid="{00000000-0005-0000-0000-000036090000}"/>
    <cellStyle name="40% - Accent1 6 3 3" xfId="3151" xr:uid="{00000000-0005-0000-0000-000037090000}"/>
    <cellStyle name="40% - Accent1 6 3 4" xfId="4438" xr:uid="{00000000-0005-0000-0000-000038090000}"/>
    <cellStyle name="40% - Accent1 6 4" xfId="1007" xr:uid="{00000000-0005-0000-0000-000039090000}"/>
    <cellStyle name="40% - Accent1 6 4 2" xfId="2299" xr:uid="{00000000-0005-0000-0000-00003A090000}"/>
    <cellStyle name="40% - Accent1 6 4 3" xfId="3577" xr:uid="{00000000-0005-0000-0000-00003B090000}"/>
    <cellStyle name="40% - Accent1 6 4 4" xfId="4864" xr:uid="{00000000-0005-0000-0000-00003C090000}"/>
    <cellStyle name="40% - Accent1 6 5" xfId="1447" xr:uid="{00000000-0005-0000-0000-00003D090000}"/>
    <cellStyle name="40% - Accent1 6 6" xfId="2725" xr:uid="{00000000-0005-0000-0000-00003E090000}"/>
    <cellStyle name="40% - Accent1 6 7" xfId="4012" xr:uid="{00000000-0005-0000-0000-00003F090000}"/>
    <cellStyle name="40% - Accent1 7" xfId="261" xr:uid="{00000000-0005-0000-0000-000040090000}"/>
    <cellStyle name="40% - Accent1 7 2" xfId="474" xr:uid="{00000000-0005-0000-0000-000041090000}"/>
    <cellStyle name="40% - Accent1 7 2 2" xfId="899" xr:uid="{00000000-0005-0000-0000-000042090000}"/>
    <cellStyle name="40% - Accent1 7 2 2 2" xfId="2191" xr:uid="{00000000-0005-0000-0000-000043090000}"/>
    <cellStyle name="40% - Accent1 7 2 2 3" xfId="3469" xr:uid="{00000000-0005-0000-0000-000044090000}"/>
    <cellStyle name="40% - Accent1 7 2 2 4" xfId="4756" xr:uid="{00000000-0005-0000-0000-000045090000}"/>
    <cellStyle name="40% - Accent1 7 2 3" xfId="1325" xr:uid="{00000000-0005-0000-0000-000046090000}"/>
    <cellStyle name="40% - Accent1 7 2 3 2" xfId="2617" xr:uid="{00000000-0005-0000-0000-000047090000}"/>
    <cellStyle name="40% - Accent1 7 2 3 3" xfId="3895" xr:uid="{00000000-0005-0000-0000-000048090000}"/>
    <cellStyle name="40% - Accent1 7 2 3 4" xfId="5182" xr:uid="{00000000-0005-0000-0000-000049090000}"/>
    <cellStyle name="40% - Accent1 7 2 4" xfId="1765" xr:uid="{00000000-0005-0000-0000-00004A090000}"/>
    <cellStyle name="40% - Accent1 7 2 5" xfId="3043" xr:uid="{00000000-0005-0000-0000-00004B090000}"/>
    <cellStyle name="40% - Accent1 7 2 6" xfId="4330" xr:uid="{00000000-0005-0000-0000-00004C090000}"/>
    <cellStyle name="40% - Accent1 7 3" xfId="686" xr:uid="{00000000-0005-0000-0000-00004D090000}"/>
    <cellStyle name="40% - Accent1 7 3 2" xfId="1978" xr:uid="{00000000-0005-0000-0000-00004E090000}"/>
    <cellStyle name="40% - Accent1 7 3 3" xfId="3256" xr:uid="{00000000-0005-0000-0000-00004F090000}"/>
    <cellStyle name="40% - Accent1 7 3 4" xfId="4543" xr:uid="{00000000-0005-0000-0000-000050090000}"/>
    <cellStyle name="40% - Accent1 7 4" xfId="1112" xr:uid="{00000000-0005-0000-0000-000051090000}"/>
    <cellStyle name="40% - Accent1 7 4 2" xfId="2404" xr:uid="{00000000-0005-0000-0000-000052090000}"/>
    <cellStyle name="40% - Accent1 7 4 3" xfId="3682" xr:uid="{00000000-0005-0000-0000-000053090000}"/>
    <cellStyle name="40% - Accent1 7 4 4" xfId="4969" xr:uid="{00000000-0005-0000-0000-000054090000}"/>
    <cellStyle name="40% - Accent1 7 5" xfId="1552" xr:uid="{00000000-0005-0000-0000-000055090000}"/>
    <cellStyle name="40% - Accent1 7 6" xfId="2830" xr:uid="{00000000-0005-0000-0000-000056090000}"/>
    <cellStyle name="40% - Accent1 7 7" xfId="4117" xr:uid="{00000000-0005-0000-0000-000057090000}"/>
    <cellStyle name="40% - Accent1 8" xfId="357" xr:uid="{00000000-0005-0000-0000-000058090000}"/>
    <cellStyle name="40% - Accent1 8 2" xfId="783" xr:uid="{00000000-0005-0000-0000-000059090000}"/>
    <cellStyle name="40% - Accent1 8 2 2" xfId="2075" xr:uid="{00000000-0005-0000-0000-00005A090000}"/>
    <cellStyle name="40% - Accent1 8 2 3" xfId="3353" xr:uid="{00000000-0005-0000-0000-00005B090000}"/>
    <cellStyle name="40% - Accent1 8 2 4" xfId="4640" xr:uid="{00000000-0005-0000-0000-00005C090000}"/>
    <cellStyle name="40% - Accent1 8 3" xfId="1209" xr:uid="{00000000-0005-0000-0000-00005D090000}"/>
    <cellStyle name="40% - Accent1 8 3 2" xfId="2501" xr:uid="{00000000-0005-0000-0000-00005E090000}"/>
    <cellStyle name="40% - Accent1 8 3 3" xfId="3779" xr:uid="{00000000-0005-0000-0000-00005F090000}"/>
    <cellStyle name="40% - Accent1 8 3 4" xfId="5066" xr:uid="{00000000-0005-0000-0000-000060090000}"/>
    <cellStyle name="40% - Accent1 8 4" xfId="1649" xr:uid="{00000000-0005-0000-0000-000061090000}"/>
    <cellStyle name="40% - Accent1 8 5" xfId="2927" xr:uid="{00000000-0005-0000-0000-000062090000}"/>
    <cellStyle name="40% - Accent1 8 6" xfId="4214" xr:uid="{00000000-0005-0000-0000-000063090000}"/>
    <cellStyle name="40% - Accent1 9" xfId="570" xr:uid="{00000000-0005-0000-0000-000064090000}"/>
    <cellStyle name="40% - Accent1 9 2" xfId="1862" xr:uid="{00000000-0005-0000-0000-000065090000}"/>
    <cellStyle name="40% - Accent1 9 3" xfId="3140" xr:uid="{00000000-0005-0000-0000-000066090000}"/>
    <cellStyle name="40% - Accent1 9 4" xfId="4427" xr:uid="{00000000-0005-0000-0000-000067090000}"/>
    <cellStyle name="40% - Accent2" xfId="64" builtinId="35" customBuiltin="1"/>
    <cellStyle name="40% - Accent2 10" xfId="1008" xr:uid="{00000000-0005-0000-0000-000069090000}"/>
    <cellStyle name="40% - Accent2 10 2" xfId="2300" xr:uid="{00000000-0005-0000-0000-00006A090000}"/>
    <cellStyle name="40% - Accent2 10 3" xfId="3578" xr:uid="{00000000-0005-0000-0000-00006B090000}"/>
    <cellStyle name="40% - Accent2 10 4" xfId="4865" xr:uid="{00000000-0005-0000-0000-00006C090000}"/>
    <cellStyle name="40% - Accent2 11" xfId="1448" xr:uid="{00000000-0005-0000-0000-00006D090000}"/>
    <cellStyle name="40% - Accent2 12" xfId="2726" xr:uid="{00000000-0005-0000-0000-00006E090000}"/>
    <cellStyle name="40% - Accent2 13" xfId="4013" xr:uid="{00000000-0005-0000-0000-00006F090000}"/>
    <cellStyle name="40% - Accent2 14" xfId="5263" xr:uid="{00000000-0005-0000-0000-000070090000}"/>
    <cellStyle name="40% - Accent2 2" xfId="17" xr:uid="{00000000-0005-0000-0000-000071090000}"/>
    <cellStyle name="40% - Accent2 2 10" xfId="1449" xr:uid="{00000000-0005-0000-0000-000072090000}"/>
    <cellStyle name="40% - Accent2 2 11" xfId="2727" xr:uid="{00000000-0005-0000-0000-000073090000}"/>
    <cellStyle name="40% - Accent2 2 12" xfId="4014" xr:uid="{00000000-0005-0000-0000-000074090000}"/>
    <cellStyle name="40% - Accent2 2 13" xfId="5264" xr:uid="{00000000-0005-0000-0000-000075090000}"/>
    <cellStyle name="40% - Accent2 2 2" xfId="154" xr:uid="{00000000-0005-0000-0000-000076090000}"/>
    <cellStyle name="40% - Accent2 2 2 2" xfId="155" xr:uid="{00000000-0005-0000-0000-000077090000}"/>
    <cellStyle name="40% - Accent2 2 2 2 2" xfId="372" xr:uid="{00000000-0005-0000-0000-000078090000}"/>
    <cellStyle name="40% - Accent2 2 2 2 2 2" xfId="798" xr:uid="{00000000-0005-0000-0000-000079090000}"/>
    <cellStyle name="40% - Accent2 2 2 2 2 2 2" xfId="2090" xr:uid="{00000000-0005-0000-0000-00007A090000}"/>
    <cellStyle name="40% - Accent2 2 2 2 2 2 3" xfId="3368" xr:uid="{00000000-0005-0000-0000-00007B090000}"/>
    <cellStyle name="40% - Accent2 2 2 2 2 2 4" xfId="4655" xr:uid="{00000000-0005-0000-0000-00007C090000}"/>
    <cellStyle name="40% - Accent2 2 2 2 2 3" xfId="1224" xr:uid="{00000000-0005-0000-0000-00007D090000}"/>
    <cellStyle name="40% - Accent2 2 2 2 2 3 2" xfId="2516" xr:uid="{00000000-0005-0000-0000-00007E090000}"/>
    <cellStyle name="40% - Accent2 2 2 2 2 3 3" xfId="3794" xr:uid="{00000000-0005-0000-0000-00007F090000}"/>
    <cellStyle name="40% - Accent2 2 2 2 2 3 4" xfId="5081" xr:uid="{00000000-0005-0000-0000-000080090000}"/>
    <cellStyle name="40% - Accent2 2 2 2 2 4" xfId="1664" xr:uid="{00000000-0005-0000-0000-000081090000}"/>
    <cellStyle name="40% - Accent2 2 2 2 2 5" xfId="2942" xr:uid="{00000000-0005-0000-0000-000082090000}"/>
    <cellStyle name="40% - Accent2 2 2 2 2 6" xfId="4229" xr:uid="{00000000-0005-0000-0000-000083090000}"/>
    <cellStyle name="40% - Accent2 2 2 2 3" xfId="585" xr:uid="{00000000-0005-0000-0000-000084090000}"/>
    <cellStyle name="40% - Accent2 2 2 2 3 2" xfId="1877" xr:uid="{00000000-0005-0000-0000-000085090000}"/>
    <cellStyle name="40% - Accent2 2 2 2 3 3" xfId="3155" xr:uid="{00000000-0005-0000-0000-000086090000}"/>
    <cellStyle name="40% - Accent2 2 2 2 3 4" xfId="4442" xr:uid="{00000000-0005-0000-0000-000087090000}"/>
    <cellStyle name="40% - Accent2 2 2 2 4" xfId="1011" xr:uid="{00000000-0005-0000-0000-000088090000}"/>
    <cellStyle name="40% - Accent2 2 2 2 4 2" xfId="2303" xr:uid="{00000000-0005-0000-0000-000089090000}"/>
    <cellStyle name="40% - Accent2 2 2 2 4 3" xfId="3581" xr:uid="{00000000-0005-0000-0000-00008A090000}"/>
    <cellStyle name="40% - Accent2 2 2 2 4 4" xfId="4868" xr:uid="{00000000-0005-0000-0000-00008B090000}"/>
    <cellStyle name="40% - Accent2 2 2 2 5" xfId="1451" xr:uid="{00000000-0005-0000-0000-00008C090000}"/>
    <cellStyle name="40% - Accent2 2 2 2 6" xfId="2729" xr:uid="{00000000-0005-0000-0000-00008D090000}"/>
    <cellStyle name="40% - Accent2 2 2 2 7" xfId="4016" xr:uid="{00000000-0005-0000-0000-00008E090000}"/>
    <cellStyle name="40% - Accent2 2 2 2 8" xfId="5266" xr:uid="{00000000-0005-0000-0000-00008F090000}"/>
    <cellStyle name="40% - Accent2 2 2 3" xfId="371" xr:uid="{00000000-0005-0000-0000-000090090000}"/>
    <cellStyle name="40% - Accent2 2 2 3 2" xfId="797" xr:uid="{00000000-0005-0000-0000-000091090000}"/>
    <cellStyle name="40% - Accent2 2 2 3 2 2" xfId="2089" xr:uid="{00000000-0005-0000-0000-000092090000}"/>
    <cellStyle name="40% - Accent2 2 2 3 2 3" xfId="3367" xr:uid="{00000000-0005-0000-0000-000093090000}"/>
    <cellStyle name="40% - Accent2 2 2 3 2 4" xfId="4654" xr:uid="{00000000-0005-0000-0000-000094090000}"/>
    <cellStyle name="40% - Accent2 2 2 3 3" xfId="1223" xr:uid="{00000000-0005-0000-0000-000095090000}"/>
    <cellStyle name="40% - Accent2 2 2 3 3 2" xfId="2515" xr:uid="{00000000-0005-0000-0000-000096090000}"/>
    <cellStyle name="40% - Accent2 2 2 3 3 3" xfId="3793" xr:uid="{00000000-0005-0000-0000-000097090000}"/>
    <cellStyle name="40% - Accent2 2 2 3 3 4" xfId="5080" xr:uid="{00000000-0005-0000-0000-000098090000}"/>
    <cellStyle name="40% - Accent2 2 2 3 4" xfId="1663" xr:uid="{00000000-0005-0000-0000-000099090000}"/>
    <cellStyle name="40% - Accent2 2 2 3 5" xfId="2941" xr:uid="{00000000-0005-0000-0000-00009A090000}"/>
    <cellStyle name="40% - Accent2 2 2 3 6" xfId="4228" xr:uid="{00000000-0005-0000-0000-00009B090000}"/>
    <cellStyle name="40% - Accent2 2 2 4" xfId="584" xr:uid="{00000000-0005-0000-0000-00009C090000}"/>
    <cellStyle name="40% - Accent2 2 2 4 2" xfId="1876" xr:uid="{00000000-0005-0000-0000-00009D090000}"/>
    <cellStyle name="40% - Accent2 2 2 4 3" xfId="3154" xr:uid="{00000000-0005-0000-0000-00009E090000}"/>
    <cellStyle name="40% - Accent2 2 2 4 4" xfId="4441" xr:uid="{00000000-0005-0000-0000-00009F090000}"/>
    <cellStyle name="40% - Accent2 2 2 5" xfId="1010" xr:uid="{00000000-0005-0000-0000-0000A0090000}"/>
    <cellStyle name="40% - Accent2 2 2 5 2" xfId="2302" xr:uid="{00000000-0005-0000-0000-0000A1090000}"/>
    <cellStyle name="40% - Accent2 2 2 5 3" xfId="3580" xr:uid="{00000000-0005-0000-0000-0000A2090000}"/>
    <cellStyle name="40% - Accent2 2 2 5 4" xfId="4867" xr:uid="{00000000-0005-0000-0000-0000A3090000}"/>
    <cellStyle name="40% - Accent2 2 2 6" xfId="1450" xr:uid="{00000000-0005-0000-0000-0000A4090000}"/>
    <cellStyle name="40% - Accent2 2 2 7" xfId="2728" xr:uid="{00000000-0005-0000-0000-0000A5090000}"/>
    <cellStyle name="40% - Accent2 2 2 8" xfId="4015" xr:uid="{00000000-0005-0000-0000-0000A6090000}"/>
    <cellStyle name="40% - Accent2 2 2 9" xfId="5265" xr:uid="{00000000-0005-0000-0000-0000A7090000}"/>
    <cellStyle name="40% - Accent2 2 3" xfId="156" xr:uid="{00000000-0005-0000-0000-0000A8090000}"/>
    <cellStyle name="40% - Accent2 2 3 2" xfId="373" xr:uid="{00000000-0005-0000-0000-0000A9090000}"/>
    <cellStyle name="40% - Accent2 2 3 2 2" xfId="799" xr:uid="{00000000-0005-0000-0000-0000AA090000}"/>
    <cellStyle name="40% - Accent2 2 3 2 2 2" xfId="2091" xr:uid="{00000000-0005-0000-0000-0000AB090000}"/>
    <cellStyle name="40% - Accent2 2 3 2 2 3" xfId="3369" xr:uid="{00000000-0005-0000-0000-0000AC090000}"/>
    <cellStyle name="40% - Accent2 2 3 2 2 4" xfId="4656" xr:uid="{00000000-0005-0000-0000-0000AD090000}"/>
    <cellStyle name="40% - Accent2 2 3 2 3" xfId="1225" xr:uid="{00000000-0005-0000-0000-0000AE090000}"/>
    <cellStyle name="40% - Accent2 2 3 2 3 2" xfId="2517" xr:uid="{00000000-0005-0000-0000-0000AF090000}"/>
    <cellStyle name="40% - Accent2 2 3 2 3 3" xfId="3795" xr:uid="{00000000-0005-0000-0000-0000B0090000}"/>
    <cellStyle name="40% - Accent2 2 3 2 3 4" xfId="5082" xr:uid="{00000000-0005-0000-0000-0000B1090000}"/>
    <cellStyle name="40% - Accent2 2 3 2 4" xfId="1665" xr:uid="{00000000-0005-0000-0000-0000B2090000}"/>
    <cellStyle name="40% - Accent2 2 3 2 5" xfId="2943" xr:uid="{00000000-0005-0000-0000-0000B3090000}"/>
    <cellStyle name="40% - Accent2 2 3 2 6" xfId="4230" xr:uid="{00000000-0005-0000-0000-0000B4090000}"/>
    <cellStyle name="40% - Accent2 2 3 3" xfId="586" xr:uid="{00000000-0005-0000-0000-0000B5090000}"/>
    <cellStyle name="40% - Accent2 2 3 3 2" xfId="1878" xr:uid="{00000000-0005-0000-0000-0000B6090000}"/>
    <cellStyle name="40% - Accent2 2 3 3 3" xfId="3156" xr:uid="{00000000-0005-0000-0000-0000B7090000}"/>
    <cellStyle name="40% - Accent2 2 3 3 4" xfId="4443" xr:uid="{00000000-0005-0000-0000-0000B8090000}"/>
    <cellStyle name="40% - Accent2 2 3 4" xfId="1012" xr:uid="{00000000-0005-0000-0000-0000B9090000}"/>
    <cellStyle name="40% - Accent2 2 3 4 2" xfId="2304" xr:uid="{00000000-0005-0000-0000-0000BA090000}"/>
    <cellStyle name="40% - Accent2 2 3 4 3" xfId="3582" xr:uid="{00000000-0005-0000-0000-0000BB090000}"/>
    <cellStyle name="40% - Accent2 2 3 4 4" xfId="4869" xr:uid="{00000000-0005-0000-0000-0000BC090000}"/>
    <cellStyle name="40% - Accent2 2 3 5" xfId="1452" xr:uid="{00000000-0005-0000-0000-0000BD090000}"/>
    <cellStyle name="40% - Accent2 2 3 6" xfId="2730" xr:uid="{00000000-0005-0000-0000-0000BE090000}"/>
    <cellStyle name="40% - Accent2 2 3 7" xfId="4017" xr:uid="{00000000-0005-0000-0000-0000BF090000}"/>
    <cellStyle name="40% - Accent2 2 3 8" xfId="5267" xr:uid="{00000000-0005-0000-0000-0000C0090000}"/>
    <cellStyle name="40% - Accent2 2 4" xfId="157" xr:uid="{00000000-0005-0000-0000-0000C1090000}"/>
    <cellStyle name="40% - Accent2 2 4 2" xfId="374" xr:uid="{00000000-0005-0000-0000-0000C2090000}"/>
    <cellStyle name="40% - Accent2 2 4 2 2" xfId="800" xr:uid="{00000000-0005-0000-0000-0000C3090000}"/>
    <cellStyle name="40% - Accent2 2 4 2 2 2" xfId="2092" xr:uid="{00000000-0005-0000-0000-0000C4090000}"/>
    <cellStyle name="40% - Accent2 2 4 2 2 3" xfId="3370" xr:uid="{00000000-0005-0000-0000-0000C5090000}"/>
    <cellStyle name="40% - Accent2 2 4 2 2 4" xfId="4657" xr:uid="{00000000-0005-0000-0000-0000C6090000}"/>
    <cellStyle name="40% - Accent2 2 4 2 3" xfId="1226" xr:uid="{00000000-0005-0000-0000-0000C7090000}"/>
    <cellStyle name="40% - Accent2 2 4 2 3 2" xfId="2518" xr:uid="{00000000-0005-0000-0000-0000C8090000}"/>
    <cellStyle name="40% - Accent2 2 4 2 3 3" xfId="3796" xr:uid="{00000000-0005-0000-0000-0000C9090000}"/>
    <cellStyle name="40% - Accent2 2 4 2 3 4" xfId="5083" xr:uid="{00000000-0005-0000-0000-0000CA090000}"/>
    <cellStyle name="40% - Accent2 2 4 2 4" xfId="1666" xr:uid="{00000000-0005-0000-0000-0000CB090000}"/>
    <cellStyle name="40% - Accent2 2 4 2 5" xfId="2944" xr:uid="{00000000-0005-0000-0000-0000CC090000}"/>
    <cellStyle name="40% - Accent2 2 4 2 6" xfId="4231" xr:uid="{00000000-0005-0000-0000-0000CD090000}"/>
    <cellStyle name="40% - Accent2 2 4 3" xfId="587" xr:uid="{00000000-0005-0000-0000-0000CE090000}"/>
    <cellStyle name="40% - Accent2 2 4 3 2" xfId="1879" xr:uid="{00000000-0005-0000-0000-0000CF090000}"/>
    <cellStyle name="40% - Accent2 2 4 3 3" xfId="3157" xr:uid="{00000000-0005-0000-0000-0000D0090000}"/>
    <cellStyle name="40% - Accent2 2 4 3 4" xfId="4444" xr:uid="{00000000-0005-0000-0000-0000D1090000}"/>
    <cellStyle name="40% - Accent2 2 4 4" xfId="1013" xr:uid="{00000000-0005-0000-0000-0000D2090000}"/>
    <cellStyle name="40% - Accent2 2 4 4 2" xfId="2305" xr:uid="{00000000-0005-0000-0000-0000D3090000}"/>
    <cellStyle name="40% - Accent2 2 4 4 3" xfId="3583" xr:uid="{00000000-0005-0000-0000-0000D4090000}"/>
    <cellStyle name="40% - Accent2 2 4 4 4" xfId="4870" xr:uid="{00000000-0005-0000-0000-0000D5090000}"/>
    <cellStyle name="40% - Accent2 2 4 5" xfId="1453" xr:uid="{00000000-0005-0000-0000-0000D6090000}"/>
    <cellStyle name="40% - Accent2 2 4 6" xfId="2731" xr:uid="{00000000-0005-0000-0000-0000D7090000}"/>
    <cellStyle name="40% - Accent2 2 4 7" xfId="4018" xr:uid="{00000000-0005-0000-0000-0000D8090000}"/>
    <cellStyle name="40% - Accent2 2 5" xfId="158" xr:uid="{00000000-0005-0000-0000-0000D9090000}"/>
    <cellStyle name="40% - Accent2 2 5 2" xfId="375" xr:uid="{00000000-0005-0000-0000-0000DA090000}"/>
    <cellStyle name="40% - Accent2 2 5 2 2" xfId="801" xr:uid="{00000000-0005-0000-0000-0000DB090000}"/>
    <cellStyle name="40% - Accent2 2 5 2 2 2" xfId="2093" xr:uid="{00000000-0005-0000-0000-0000DC090000}"/>
    <cellStyle name="40% - Accent2 2 5 2 2 3" xfId="3371" xr:uid="{00000000-0005-0000-0000-0000DD090000}"/>
    <cellStyle name="40% - Accent2 2 5 2 2 4" xfId="4658" xr:uid="{00000000-0005-0000-0000-0000DE090000}"/>
    <cellStyle name="40% - Accent2 2 5 2 3" xfId="1227" xr:uid="{00000000-0005-0000-0000-0000DF090000}"/>
    <cellStyle name="40% - Accent2 2 5 2 3 2" xfId="2519" xr:uid="{00000000-0005-0000-0000-0000E0090000}"/>
    <cellStyle name="40% - Accent2 2 5 2 3 3" xfId="3797" xr:uid="{00000000-0005-0000-0000-0000E1090000}"/>
    <cellStyle name="40% - Accent2 2 5 2 3 4" xfId="5084" xr:uid="{00000000-0005-0000-0000-0000E2090000}"/>
    <cellStyle name="40% - Accent2 2 5 2 4" xfId="1667" xr:uid="{00000000-0005-0000-0000-0000E3090000}"/>
    <cellStyle name="40% - Accent2 2 5 2 5" xfId="2945" xr:uid="{00000000-0005-0000-0000-0000E4090000}"/>
    <cellStyle name="40% - Accent2 2 5 2 6" xfId="4232" xr:uid="{00000000-0005-0000-0000-0000E5090000}"/>
    <cellStyle name="40% - Accent2 2 5 3" xfId="588" xr:uid="{00000000-0005-0000-0000-0000E6090000}"/>
    <cellStyle name="40% - Accent2 2 5 3 2" xfId="1880" xr:uid="{00000000-0005-0000-0000-0000E7090000}"/>
    <cellStyle name="40% - Accent2 2 5 3 3" xfId="3158" xr:uid="{00000000-0005-0000-0000-0000E8090000}"/>
    <cellStyle name="40% - Accent2 2 5 3 4" xfId="4445" xr:uid="{00000000-0005-0000-0000-0000E9090000}"/>
    <cellStyle name="40% - Accent2 2 5 4" xfId="1014" xr:uid="{00000000-0005-0000-0000-0000EA090000}"/>
    <cellStyle name="40% - Accent2 2 5 4 2" xfId="2306" xr:uid="{00000000-0005-0000-0000-0000EB090000}"/>
    <cellStyle name="40% - Accent2 2 5 4 3" xfId="3584" xr:uid="{00000000-0005-0000-0000-0000EC090000}"/>
    <cellStyle name="40% - Accent2 2 5 4 4" xfId="4871" xr:uid="{00000000-0005-0000-0000-0000ED090000}"/>
    <cellStyle name="40% - Accent2 2 5 5" xfId="1454" xr:uid="{00000000-0005-0000-0000-0000EE090000}"/>
    <cellStyle name="40% - Accent2 2 5 6" xfId="2732" xr:uid="{00000000-0005-0000-0000-0000EF090000}"/>
    <cellStyle name="40% - Accent2 2 5 7" xfId="4019" xr:uid="{00000000-0005-0000-0000-0000F0090000}"/>
    <cellStyle name="40% - Accent2 2 6" xfId="273" xr:uid="{00000000-0005-0000-0000-0000F1090000}"/>
    <cellStyle name="40% - Accent2 2 6 2" xfId="486" xr:uid="{00000000-0005-0000-0000-0000F2090000}"/>
    <cellStyle name="40% - Accent2 2 6 2 2" xfId="911" xr:uid="{00000000-0005-0000-0000-0000F3090000}"/>
    <cellStyle name="40% - Accent2 2 6 2 2 2" xfId="2203" xr:uid="{00000000-0005-0000-0000-0000F4090000}"/>
    <cellStyle name="40% - Accent2 2 6 2 2 3" xfId="3481" xr:uid="{00000000-0005-0000-0000-0000F5090000}"/>
    <cellStyle name="40% - Accent2 2 6 2 2 4" xfId="4768" xr:uid="{00000000-0005-0000-0000-0000F6090000}"/>
    <cellStyle name="40% - Accent2 2 6 2 3" xfId="1337" xr:uid="{00000000-0005-0000-0000-0000F7090000}"/>
    <cellStyle name="40% - Accent2 2 6 2 3 2" xfId="2629" xr:uid="{00000000-0005-0000-0000-0000F8090000}"/>
    <cellStyle name="40% - Accent2 2 6 2 3 3" xfId="3907" xr:uid="{00000000-0005-0000-0000-0000F9090000}"/>
    <cellStyle name="40% - Accent2 2 6 2 3 4" xfId="5194" xr:uid="{00000000-0005-0000-0000-0000FA090000}"/>
    <cellStyle name="40% - Accent2 2 6 2 4" xfId="1777" xr:uid="{00000000-0005-0000-0000-0000FB090000}"/>
    <cellStyle name="40% - Accent2 2 6 2 5" xfId="3055" xr:uid="{00000000-0005-0000-0000-0000FC090000}"/>
    <cellStyle name="40% - Accent2 2 6 2 6" xfId="4342" xr:uid="{00000000-0005-0000-0000-0000FD090000}"/>
    <cellStyle name="40% - Accent2 2 6 3" xfId="698" xr:uid="{00000000-0005-0000-0000-0000FE090000}"/>
    <cellStyle name="40% - Accent2 2 6 3 2" xfId="1990" xr:uid="{00000000-0005-0000-0000-0000FF090000}"/>
    <cellStyle name="40% - Accent2 2 6 3 3" xfId="3268" xr:uid="{00000000-0005-0000-0000-0000000A0000}"/>
    <cellStyle name="40% - Accent2 2 6 3 4" xfId="4555" xr:uid="{00000000-0005-0000-0000-0000010A0000}"/>
    <cellStyle name="40% - Accent2 2 6 4" xfId="1124" xr:uid="{00000000-0005-0000-0000-0000020A0000}"/>
    <cellStyle name="40% - Accent2 2 6 4 2" xfId="2416" xr:uid="{00000000-0005-0000-0000-0000030A0000}"/>
    <cellStyle name="40% - Accent2 2 6 4 3" xfId="3694" xr:uid="{00000000-0005-0000-0000-0000040A0000}"/>
    <cellStyle name="40% - Accent2 2 6 4 4" xfId="4981" xr:uid="{00000000-0005-0000-0000-0000050A0000}"/>
    <cellStyle name="40% - Accent2 2 6 5" xfId="1564" xr:uid="{00000000-0005-0000-0000-0000060A0000}"/>
    <cellStyle name="40% - Accent2 2 6 6" xfId="2842" xr:uid="{00000000-0005-0000-0000-0000070A0000}"/>
    <cellStyle name="40% - Accent2 2 6 7" xfId="4129" xr:uid="{00000000-0005-0000-0000-0000080A0000}"/>
    <cellStyle name="40% - Accent2 2 7" xfId="370" xr:uid="{00000000-0005-0000-0000-0000090A0000}"/>
    <cellStyle name="40% - Accent2 2 7 2" xfId="796" xr:uid="{00000000-0005-0000-0000-00000A0A0000}"/>
    <cellStyle name="40% - Accent2 2 7 2 2" xfId="2088" xr:uid="{00000000-0005-0000-0000-00000B0A0000}"/>
    <cellStyle name="40% - Accent2 2 7 2 3" xfId="3366" xr:uid="{00000000-0005-0000-0000-00000C0A0000}"/>
    <cellStyle name="40% - Accent2 2 7 2 4" xfId="4653" xr:uid="{00000000-0005-0000-0000-00000D0A0000}"/>
    <cellStyle name="40% - Accent2 2 7 3" xfId="1222" xr:uid="{00000000-0005-0000-0000-00000E0A0000}"/>
    <cellStyle name="40% - Accent2 2 7 3 2" xfId="2514" xr:uid="{00000000-0005-0000-0000-00000F0A0000}"/>
    <cellStyle name="40% - Accent2 2 7 3 3" xfId="3792" xr:uid="{00000000-0005-0000-0000-0000100A0000}"/>
    <cellStyle name="40% - Accent2 2 7 3 4" xfId="5079" xr:uid="{00000000-0005-0000-0000-0000110A0000}"/>
    <cellStyle name="40% - Accent2 2 7 4" xfId="1662" xr:uid="{00000000-0005-0000-0000-0000120A0000}"/>
    <cellStyle name="40% - Accent2 2 7 5" xfId="2940" xr:uid="{00000000-0005-0000-0000-0000130A0000}"/>
    <cellStyle name="40% - Accent2 2 7 6" xfId="4227" xr:uid="{00000000-0005-0000-0000-0000140A0000}"/>
    <cellStyle name="40% - Accent2 2 8" xfId="583" xr:uid="{00000000-0005-0000-0000-0000150A0000}"/>
    <cellStyle name="40% - Accent2 2 8 2" xfId="1875" xr:uid="{00000000-0005-0000-0000-0000160A0000}"/>
    <cellStyle name="40% - Accent2 2 8 3" xfId="3153" xr:uid="{00000000-0005-0000-0000-0000170A0000}"/>
    <cellStyle name="40% - Accent2 2 8 4" xfId="4440" xr:uid="{00000000-0005-0000-0000-0000180A0000}"/>
    <cellStyle name="40% - Accent2 2 9" xfId="1009" xr:uid="{00000000-0005-0000-0000-0000190A0000}"/>
    <cellStyle name="40% - Accent2 2 9 2" xfId="2301" xr:uid="{00000000-0005-0000-0000-00001A0A0000}"/>
    <cellStyle name="40% - Accent2 2 9 3" xfId="3579" xr:uid="{00000000-0005-0000-0000-00001B0A0000}"/>
    <cellStyle name="40% - Accent2 2 9 4" xfId="4866" xr:uid="{00000000-0005-0000-0000-00001C0A0000}"/>
    <cellStyle name="40% - Accent2 3" xfId="159" xr:uid="{00000000-0005-0000-0000-00001D0A0000}"/>
    <cellStyle name="40% - Accent2 3 2" xfId="160" xr:uid="{00000000-0005-0000-0000-00001E0A0000}"/>
    <cellStyle name="40% - Accent2 3 2 2" xfId="377" xr:uid="{00000000-0005-0000-0000-00001F0A0000}"/>
    <cellStyle name="40% - Accent2 3 2 2 2" xfId="803" xr:uid="{00000000-0005-0000-0000-0000200A0000}"/>
    <cellStyle name="40% - Accent2 3 2 2 2 2" xfId="2095" xr:uid="{00000000-0005-0000-0000-0000210A0000}"/>
    <cellStyle name="40% - Accent2 3 2 2 2 3" xfId="3373" xr:uid="{00000000-0005-0000-0000-0000220A0000}"/>
    <cellStyle name="40% - Accent2 3 2 2 2 4" xfId="4660" xr:uid="{00000000-0005-0000-0000-0000230A0000}"/>
    <cellStyle name="40% - Accent2 3 2 2 3" xfId="1229" xr:uid="{00000000-0005-0000-0000-0000240A0000}"/>
    <cellStyle name="40% - Accent2 3 2 2 3 2" xfId="2521" xr:uid="{00000000-0005-0000-0000-0000250A0000}"/>
    <cellStyle name="40% - Accent2 3 2 2 3 3" xfId="3799" xr:uid="{00000000-0005-0000-0000-0000260A0000}"/>
    <cellStyle name="40% - Accent2 3 2 2 3 4" xfId="5086" xr:uid="{00000000-0005-0000-0000-0000270A0000}"/>
    <cellStyle name="40% - Accent2 3 2 2 4" xfId="1669" xr:uid="{00000000-0005-0000-0000-0000280A0000}"/>
    <cellStyle name="40% - Accent2 3 2 2 5" xfId="2947" xr:uid="{00000000-0005-0000-0000-0000290A0000}"/>
    <cellStyle name="40% - Accent2 3 2 2 6" xfId="4234" xr:uid="{00000000-0005-0000-0000-00002A0A0000}"/>
    <cellStyle name="40% - Accent2 3 2 3" xfId="590" xr:uid="{00000000-0005-0000-0000-00002B0A0000}"/>
    <cellStyle name="40% - Accent2 3 2 3 2" xfId="1882" xr:uid="{00000000-0005-0000-0000-00002C0A0000}"/>
    <cellStyle name="40% - Accent2 3 2 3 3" xfId="3160" xr:uid="{00000000-0005-0000-0000-00002D0A0000}"/>
    <cellStyle name="40% - Accent2 3 2 3 4" xfId="4447" xr:uid="{00000000-0005-0000-0000-00002E0A0000}"/>
    <cellStyle name="40% - Accent2 3 2 4" xfId="1016" xr:uid="{00000000-0005-0000-0000-00002F0A0000}"/>
    <cellStyle name="40% - Accent2 3 2 4 2" xfId="2308" xr:uid="{00000000-0005-0000-0000-0000300A0000}"/>
    <cellStyle name="40% - Accent2 3 2 4 3" xfId="3586" xr:uid="{00000000-0005-0000-0000-0000310A0000}"/>
    <cellStyle name="40% - Accent2 3 2 4 4" xfId="4873" xr:uid="{00000000-0005-0000-0000-0000320A0000}"/>
    <cellStyle name="40% - Accent2 3 2 5" xfId="1456" xr:uid="{00000000-0005-0000-0000-0000330A0000}"/>
    <cellStyle name="40% - Accent2 3 2 6" xfId="2734" xr:uid="{00000000-0005-0000-0000-0000340A0000}"/>
    <cellStyle name="40% - Accent2 3 2 7" xfId="4021" xr:uid="{00000000-0005-0000-0000-0000350A0000}"/>
    <cellStyle name="40% - Accent2 3 2 8" xfId="5269" xr:uid="{00000000-0005-0000-0000-0000360A0000}"/>
    <cellStyle name="40% - Accent2 3 3" xfId="376" xr:uid="{00000000-0005-0000-0000-0000370A0000}"/>
    <cellStyle name="40% - Accent2 3 3 2" xfId="802" xr:uid="{00000000-0005-0000-0000-0000380A0000}"/>
    <cellStyle name="40% - Accent2 3 3 2 2" xfId="2094" xr:uid="{00000000-0005-0000-0000-0000390A0000}"/>
    <cellStyle name="40% - Accent2 3 3 2 3" xfId="3372" xr:uid="{00000000-0005-0000-0000-00003A0A0000}"/>
    <cellStyle name="40% - Accent2 3 3 2 4" xfId="4659" xr:uid="{00000000-0005-0000-0000-00003B0A0000}"/>
    <cellStyle name="40% - Accent2 3 3 3" xfId="1228" xr:uid="{00000000-0005-0000-0000-00003C0A0000}"/>
    <cellStyle name="40% - Accent2 3 3 3 2" xfId="2520" xr:uid="{00000000-0005-0000-0000-00003D0A0000}"/>
    <cellStyle name="40% - Accent2 3 3 3 3" xfId="3798" xr:uid="{00000000-0005-0000-0000-00003E0A0000}"/>
    <cellStyle name="40% - Accent2 3 3 3 4" xfId="5085" xr:uid="{00000000-0005-0000-0000-00003F0A0000}"/>
    <cellStyle name="40% - Accent2 3 3 4" xfId="1668" xr:uid="{00000000-0005-0000-0000-0000400A0000}"/>
    <cellStyle name="40% - Accent2 3 3 5" xfId="2946" xr:uid="{00000000-0005-0000-0000-0000410A0000}"/>
    <cellStyle name="40% - Accent2 3 3 6" xfId="4233" xr:uid="{00000000-0005-0000-0000-0000420A0000}"/>
    <cellStyle name="40% - Accent2 3 4" xfId="589" xr:uid="{00000000-0005-0000-0000-0000430A0000}"/>
    <cellStyle name="40% - Accent2 3 4 2" xfId="1881" xr:uid="{00000000-0005-0000-0000-0000440A0000}"/>
    <cellStyle name="40% - Accent2 3 4 3" xfId="3159" xr:uid="{00000000-0005-0000-0000-0000450A0000}"/>
    <cellStyle name="40% - Accent2 3 4 4" xfId="4446" xr:uid="{00000000-0005-0000-0000-0000460A0000}"/>
    <cellStyle name="40% - Accent2 3 5" xfId="1015" xr:uid="{00000000-0005-0000-0000-0000470A0000}"/>
    <cellStyle name="40% - Accent2 3 5 2" xfId="2307" xr:uid="{00000000-0005-0000-0000-0000480A0000}"/>
    <cellStyle name="40% - Accent2 3 5 3" xfId="3585" xr:uid="{00000000-0005-0000-0000-0000490A0000}"/>
    <cellStyle name="40% - Accent2 3 5 4" xfId="4872" xr:uid="{00000000-0005-0000-0000-00004A0A0000}"/>
    <cellStyle name="40% - Accent2 3 6" xfId="1455" xr:uid="{00000000-0005-0000-0000-00004B0A0000}"/>
    <cellStyle name="40% - Accent2 3 7" xfId="2733" xr:uid="{00000000-0005-0000-0000-00004C0A0000}"/>
    <cellStyle name="40% - Accent2 3 8" xfId="4020" xr:uid="{00000000-0005-0000-0000-00004D0A0000}"/>
    <cellStyle name="40% - Accent2 3 9" xfId="5268" xr:uid="{00000000-0005-0000-0000-00004E0A0000}"/>
    <cellStyle name="40% - Accent2 4" xfId="161" xr:uid="{00000000-0005-0000-0000-00004F0A0000}"/>
    <cellStyle name="40% - Accent2 4 2" xfId="378" xr:uid="{00000000-0005-0000-0000-0000500A0000}"/>
    <cellStyle name="40% - Accent2 4 2 2" xfId="804" xr:uid="{00000000-0005-0000-0000-0000510A0000}"/>
    <cellStyle name="40% - Accent2 4 2 2 2" xfId="2096" xr:uid="{00000000-0005-0000-0000-0000520A0000}"/>
    <cellStyle name="40% - Accent2 4 2 2 3" xfId="3374" xr:uid="{00000000-0005-0000-0000-0000530A0000}"/>
    <cellStyle name="40% - Accent2 4 2 2 4" xfId="4661" xr:uid="{00000000-0005-0000-0000-0000540A0000}"/>
    <cellStyle name="40% - Accent2 4 2 3" xfId="1230" xr:uid="{00000000-0005-0000-0000-0000550A0000}"/>
    <cellStyle name="40% - Accent2 4 2 3 2" xfId="2522" xr:uid="{00000000-0005-0000-0000-0000560A0000}"/>
    <cellStyle name="40% - Accent2 4 2 3 3" xfId="3800" xr:uid="{00000000-0005-0000-0000-0000570A0000}"/>
    <cellStyle name="40% - Accent2 4 2 3 4" xfId="5087" xr:uid="{00000000-0005-0000-0000-0000580A0000}"/>
    <cellStyle name="40% - Accent2 4 2 4" xfId="1670" xr:uid="{00000000-0005-0000-0000-0000590A0000}"/>
    <cellStyle name="40% - Accent2 4 2 5" xfId="2948" xr:uid="{00000000-0005-0000-0000-00005A0A0000}"/>
    <cellStyle name="40% - Accent2 4 2 6" xfId="4235" xr:uid="{00000000-0005-0000-0000-00005B0A0000}"/>
    <cellStyle name="40% - Accent2 4 3" xfId="591" xr:uid="{00000000-0005-0000-0000-00005C0A0000}"/>
    <cellStyle name="40% - Accent2 4 3 2" xfId="1883" xr:uid="{00000000-0005-0000-0000-00005D0A0000}"/>
    <cellStyle name="40% - Accent2 4 3 3" xfId="3161" xr:uid="{00000000-0005-0000-0000-00005E0A0000}"/>
    <cellStyle name="40% - Accent2 4 3 4" xfId="4448" xr:uid="{00000000-0005-0000-0000-00005F0A0000}"/>
    <cellStyle name="40% - Accent2 4 4" xfId="1017" xr:uid="{00000000-0005-0000-0000-0000600A0000}"/>
    <cellStyle name="40% - Accent2 4 4 2" xfId="2309" xr:uid="{00000000-0005-0000-0000-0000610A0000}"/>
    <cellStyle name="40% - Accent2 4 4 3" xfId="3587" xr:uid="{00000000-0005-0000-0000-0000620A0000}"/>
    <cellStyle name="40% - Accent2 4 4 4" xfId="4874" xr:uid="{00000000-0005-0000-0000-0000630A0000}"/>
    <cellStyle name="40% - Accent2 4 5" xfId="1457" xr:uid="{00000000-0005-0000-0000-0000640A0000}"/>
    <cellStyle name="40% - Accent2 4 6" xfId="2735" xr:uid="{00000000-0005-0000-0000-0000650A0000}"/>
    <cellStyle name="40% - Accent2 4 7" xfId="4022" xr:uid="{00000000-0005-0000-0000-0000660A0000}"/>
    <cellStyle name="40% - Accent2 4 8" xfId="5270" xr:uid="{00000000-0005-0000-0000-0000670A0000}"/>
    <cellStyle name="40% - Accent2 5" xfId="162" xr:uid="{00000000-0005-0000-0000-0000680A0000}"/>
    <cellStyle name="40% - Accent2 5 2" xfId="379" xr:uid="{00000000-0005-0000-0000-0000690A0000}"/>
    <cellStyle name="40% - Accent2 5 2 2" xfId="805" xr:uid="{00000000-0005-0000-0000-00006A0A0000}"/>
    <cellStyle name="40% - Accent2 5 2 2 2" xfId="2097" xr:uid="{00000000-0005-0000-0000-00006B0A0000}"/>
    <cellStyle name="40% - Accent2 5 2 2 3" xfId="3375" xr:uid="{00000000-0005-0000-0000-00006C0A0000}"/>
    <cellStyle name="40% - Accent2 5 2 2 4" xfId="4662" xr:uid="{00000000-0005-0000-0000-00006D0A0000}"/>
    <cellStyle name="40% - Accent2 5 2 3" xfId="1231" xr:uid="{00000000-0005-0000-0000-00006E0A0000}"/>
    <cellStyle name="40% - Accent2 5 2 3 2" xfId="2523" xr:uid="{00000000-0005-0000-0000-00006F0A0000}"/>
    <cellStyle name="40% - Accent2 5 2 3 3" xfId="3801" xr:uid="{00000000-0005-0000-0000-0000700A0000}"/>
    <cellStyle name="40% - Accent2 5 2 3 4" xfId="5088" xr:uid="{00000000-0005-0000-0000-0000710A0000}"/>
    <cellStyle name="40% - Accent2 5 2 4" xfId="1671" xr:uid="{00000000-0005-0000-0000-0000720A0000}"/>
    <cellStyle name="40% - Accent2 5 2 5" xfId="2949" xr:uid="{00000000-0005-0000-0000-0000730A0000}"/>
    <cellStyle name="40% - Accent2 5 2 6" xfId="4236" xr:uid="{00000000-0005-0000-0000-0000740A0000}"/>
    <cellStyle name="40% - Accent2 5 3" xfId="592" xr:uid="{00000000-0005-0000-0000-0000750A0000}"/>
    <cellStyle name="40% - Accent2 5 3 2" xfId="1884" xr:uid="{00000000-0005-0000-0000-0000760A0000}"/>
    <cellStyle name="40% - Accent2 5 3 3" xfId="3162" xr:uid="{00000000-0005-0000-0000-0000770A0000}"/>
    <cellStyle name="40% - Accent2 5 3 4" xfId="4449" xr:uid="{00000000-0005-0000-0000-0000780A0000}"/>
    <cellStyle name="40% - Accent2 5 4" xfId="1018" xr:uid="{00000000-0005-0000-0000-0000790A0000}"/>
    <cellStyle name="40% - Accent2 5 4 2" xfId="2310" xr:uid="{00000000-0005-0000-0000-00007A0A0000}"/>
    <cellStyle name="40% - Accent2 5 4 3" xfId="3588" xr:uid="{00000000-0005-0000-0000-00007B0A0000}"/>
    <cellStyle name="40% - Accent2 5 4 4" xfId="4875" xr:uid="{00000000-0005-0000-0000-00007C0A0000}"/>
    <cellStyle name="40% - Accent2 5 5" xfId="1458" xr:uid="{00000000-0005-0000-0000-00007D0A0000}"/>
    <cellStyle name="40% - Accent2 5 6" xfId="2736" xr:uid="{00000000-0005-0000-0000-00007E0A0000}"/>
    <cellStyle name="40% - Accent2 5 7" xfId="4023" xr:uid="{00000000-0005-0000-0000-00007F0A0000}"/>
    <cellStyle name="40% - Accent2 6" xfId="163" xr:uid="{00000000-0005-0000-0000-0000800A0000}"/>
    <cellStyle name="40% - Accent2 6 2" xfId="380" xr:uid="{00000000-0005-0000-0000-0000810A0000}"/>
    <cellStyle name="40% - Accent2 6 2 2" xfId="806" xr:uid="{00000000-0005-0000-0000-0000820A0000}"/>
    <cellStyle name="40% - Accent2 6 2 2 2" xfId="2098" xr:uid="{00000000-0005-0000-0000-0000830A0000}"/>
    <cellStyle name="40% - Accent2 6 2 2 3" xfId="3376" xr:uid="{00000000-0005-0000-0000-0000840A0000}"/>
    <cellStyle name="40% - Accent2 6 2 2 4" xfId="4663" xr:uid="{00000000-0005-0000-0000-0000850A0000}"/>
    <cellStyle name="40% - Accent2 6 2 3" xfId="1232" xr:uid="{00000000-0005-0000-0000-0000860A0000}"/>
    <cellStyle name="40% - Accent2 6 2 3 2" xfId="2524" xr:uid="{00000000-0005-0000-0000-0000870A0000}"/>
    <cellStyle name="40% - Accent2 6 2 3 3" xfId="3802" xr:uid="{00000000-0005-0000-0000-0000880A0000}"/>
    <cellStyle name="40% - Accent2 6 2 3 4" xfId="5089" xr:uid="{00000000-0005-0000-0000-0000890A0000}"/>
    <cellStyle name="40% - Accent2 6 2 4" xfId="1672" xr:uid="{00000000-0005-0000-0000-00008A0A0000}"/>
    <cellStyle name="40% - Accent2 6 2 5" xfId="2950" xr:uid="{00000000-0005-0000-0000-00008B0A0000}"/>
    <cellStyle name="40% - Accent2 6 2 6" xfId="4237" xr:uid="{00000000-0005-0000-0000-00008C0A0000}"/>
    <cellStyle name="40% - Accent2 6 3" xfId="593" xr:uid="{00000000-0005-0000-0000-00008D0A0000}"/>
    <cellStyle name="40% - Accent2 6 3 2" xfId="1885" xr:uid="{00000000-0005-0000-0000-00008E0A0000}"/>
    <cellStyle name="40% - Accent2 6 3 3" xfId="3163" xr:uid="{00000000-0005-0000-0000-00008F0A0000}"/>
    <cellStyle name="40% - Accent2 6 3 4" xfId="4450" xr:uid="{00000000-0005-0000-0000-0000900A0000}"/>
    <cellStyle name="40% - Accent2 6 4" xfId="1019" xr:uid="{00000000-0005-0000-0000-0000910A0000}"/>
    <cellStyle name="40% - Accent2 6 4 2" xfId="2311" xr:uid="{00000000-0005-0000-0000-0000920A0000}"/>
    <cellStyle name="40% - Accent2 6 4 3" xfId="3589" xr:uid="{00000000-0005-0000-0000-0000930A0000}"/>
    <cellStyle name="40% - Accent2 6 4 4" xfId="4876" xr:uid="{00000000-0005-0000-0000-0000940A0000}"/>
    <cellStyle name="40% - Accent2 6 5" xfId="1459" xr:uid="{00000000-0005-0000-0000-0000950A0000}"/>
    <cellStyle name="40% - Accent2 6 6" xfId="2737" xr:uid="{00000000-0005-0000-0000-0000960A0000}"/>
    <cellStyle name="40% - Accent2 6 7" xfId="4024" xr:uid="{00000000-0005-0000-0000-0000970A0000}"/>
    <cellStyle name="40% - Accent2 7" xfId="262" xr:uid="{00000000-0005-0000-0000-0000980A0000}"/>
    <cellStyle name="40% - Accent2 7 2" xfId="475" xr:uid="{00000000-0005-0000-0000-0000990A0000}"/>
    <cellStyle name="40% - Accent2 7 2 2" xfId="900" xr:uid="{00000000-0005-0000-0000-00009A0A0000}"/>
    <cellStyle name="40% - Accent2 7 2 2 2" xfId="2192" xr:uid="{00000000-0005-0000-0000-00009B0A0000}"/>
    <cellStyle name="40% - Accent2 7 2 2 3" xfId="3470" xr:uid="{00000000-0005-0000-0000-00009C0A0000}"/>
    <cellStyle name="40% - Accent2 7 2 2 4" xfId="4757" xr:uid="{00000000-0005-0000-0000-00009D0A0000}"/>
    <cellStyle name="40% - Accent2 7 2 3" xfId="1326" xr:uid="{00000000-0005-0000-0000-00009E0A0000}"/>
    <cellStyle name="40% - Accent2 7 2 3 2" xfId="2618" xr:uid="{00000000-0005-0000-0000-00009F0A0000}"/>
    <cellStyle name="40% - Accent2 7 2 3 3" xfId="3896" xr:uid="{00000000-0005-0000-0000-0000A00A0000}"/>
    <cellStyle name="40% - Accent2 7 2 3 4" xfId="5183" xr:uid="{00000000-0005-0000-0000-0000A10A0000}"/>
    <cellStyle name="40% - Accent2 7 2 4" xfId="1766" xr:uid="{00000000-0005-0000-0000-0000A20A0000}"/>
    <cellStyle name="40% - Accent2 7 2 5" xfId="3044" xr:uid="{00000000-0005-0000-0000-0000A30A0000}"/>
    <cellStyle name="40% - Accent2 7 2 6" xfId="4331" xr:uid="{00000000-0005-0000-0000-0000A40A0000}"/>
    <cellStyle name="40% - Accent2 7 3" xfId="687" xr:uid="{00000000-0005-0000-0000-0000A50A0000}"/>
    <cellStyle name="40% - Accent2 7 3 2" xfId="1979" xr:uid="{00000000-0005-0000-0000-0000A60A0000}"/>
    <cellStyle name="40% - Accent2 7 3 3" xfId="3257" xr:uid="{00000000-0005-0000-0000-0000A70A0000}"/>
    <cellStyle name="40% - Accent2 7 3 4" xfId="4544" xr:uid="{00000000-0005-0000-0000-0000A80A0000}"/>
    <cellStyle name="40% - Accent2 7 4" xfId="1113" xr:uid="{00000000-0005-0000-0000-0000A90A0000}"/>
    <cellStyle name="40% - Accent2 7 4 2" xfId="2405" xr:uid="{00000000-0005-0000-0000-0000AA0A0000}"/>
    <cellStyle name="40% - Accent2 7 4 3" xfId="3683" xr:uid="{00000000-0005-0000-0000-0000AB0A0000}"/>
    <cellStyle name="40% - Accent2 7 4 4" xfId="4970" xr:uid="{00000000-0005-0000-0000-0000AC0A0000}"/>
    <cellStyle name="40% - Accent2 7 5" xfId="1553" xr:uid="{00000000-0005-0000-0000-0000AD0A0000}"/>
    <cellStyle name="40% - Accent2 7 6" xfId="2831" xr:uid="{00000000-0005-0000-0000-0000AE0A0000}"/>
    <cellStyle name="40% - Accent2 7 7" xfId="4118" xr:uid="{00000000-0005-0000-0000-0000AF0A0000}"/>
    <cellStyle name="40% - Accent2 8" xfId="369" xr:uid="{00000000-0005-0000-0000-0000B00A0000}"/>
    <cellStyle name="40% - Accent2 8 2" xfId="795" xr:uid="{00000000-0005-0000-0000-0000B10A0000}"/>
    <cellStyle name="40% - Accent2 8 2 2" xfId="2087" xr:uid="{00000000-0005-0000-0000-0000B20A0000}"/>
    <cellStyle name="40% - Accent2 8 2 3" xfId="3365" xr:uid="{00000000-0005-0000-0000-0000B30A0000}"/>
    <cellStyle name="40% - Accent2 8 2 4" xfId="4652" xr:uid="{00000000-0005-0000-0000-0000B40A0000}"/>
    <cellStyle name="40% - Accent2 8 3" xfId="1221" xr:uid="{00000000-0005-0000-0000-0000B50A0000}"/>
    <cellStyle name="40% - Accent2 8 3 2" xfId="2513" xr:uid="{00000000-0005-0000-0000-0000B60A0000}"/>
    <cellStyle name="40% - Accent2 8 3 3" xfId="3791" xr:uid="{00000000-0005-0000-0000-0000B70A0000}"/>
    <cellStyle name="40% - Accent2 8 3 4" xfId="5078" xr:uid="{00000000-0005-0000-0000-0000B80A0000}"/>
    <cellStyle name="40% - Accent2 8 4" xfId="1661" xr:uid="{00000000-0005-0000-0000-0000B90A0000}"/>
    <cellStyle name="40% - Accent2 8 5" xfId="2939" xr:uid="{00000000-0005-0000-0000-0000BA0A0000}"/>
    <cellStyle name="40% - Accent2 8 6" xfId="4226" xr:uid="{00000000-0005-0000-0000-0000BB0A0000}"/>
    <cellStyle name="40% - Accent2 9" xfId="582" xr:uid="{00000000-0005-0000-0000-0000BC0A0000}"/>
    <cellStyle name="40% - Accent2 9 2" xfId="1874" xr:uid="{00000000-0005-0000-0000-0000BD0A0000}"/>
    <cellStyle name="40% - Accent2 9 3" xfId="3152" xr:uid="{00000000-0005-0000-0000-0000BE0A0000}"/>
    <cellStyle name="40% - Accent2 9 4" xfId="4439" xr:uid="{00000000-0005-0000-0000-0000BF0A0000}"/>
    <cellStyle name="40% - Accent3" xfId="68" builtinId="39" customBuiltin="1"/>
    <cellStyle name="40% - Accent3 10" xfId="1020" xr:uid="{00000000-0005-0000-0000-0000C10A0000}"/>
    <cellStyle name="40% - Accent3 10 2" xfId="2312" xr:uid="{00000000-0005-0000-0000-0000C20A0000}"/>
    <cellStyle name="40% - Accent3 10 3" xfId="3590" xr:uid="{00000000-0005-0000-0000-0000C30A0000}"/>
    <cellStyle name="40% - Accent3 10 4" xfId="4877" xr:uid="{00000000-0005-0000-0000-0000C40A0000}"/>
    <cellStyle name="40% - Accent3 11" xfId="1460" xr:uid="{00000000-0005-0000-0000-0000C50A0000}"/>
    <cellStyle name="40% - Accent3 12" xfId="2738" xr:uid="{00000000-0005-0000-0000-0000C60A0000}"/>
    <cellStyle name="40% - Accent3 13" xfId="4025" xr:uid="{00000000-0005-0000-0000-0000C70A0000}"/>
    <cellStyle name="40% - Accent3 14" xfId="5271" xr:uid="{00000000-0005-0000-0000-0000C80A0000}"/>
    <cellStyle name="40% - Accent3 2" xfId="18" xr:uid="{00000000-0005-0000-0000-0000C90A0000}"/>
    <cellStyle name="40% - Accent3 2 10" xfId="1461" xr:uid="{00000000-0005-0000-0000-0000CA0A0000}"/>
    <cellStyle name="40% - Accent3 2 11" xfId="2739" xr:uid="{00000000-0005-0000-0000-0000CB0A0000}"/>
    <cellStyle name="40% - Accent3 2 12" xfId="4026" xr:uid="{00000000-0005-0000-0000-0000CC0A0000}"/>
    <cellStyle name="40% - Accent3 2 13" xfId="5272" xr:uid="{00000000-0005-0000-0000-0000CD0A0000}"/>
    <cellStyle name="40% - Accent3 2 2" xfId="164" xr:uid="{00000000-0005-0000-0000-0000CE0A0000}"/>
    <cellStyle name="40% - Accent3 2 2 2" xfId="165" xr:uid="{00000000-0005-0000-0000-0000CF0A0000}"/>
    <cellStyle name="40% - Accent3 2 2 2 2" xfId="384" xr:uid="{00000000-0005-0000-0000-0000D00A0000}"/>
    <cellStyle name="40% - Accent3 2 2 2 2 2" xfId="810" xr:uid="{00000000-0005-0000-0000-0000D10A0000}"/>
    <cellStyle name="40% - Accent3 2 2 2 2 2 2" xfId="2102" xr:uid="{00000000-0005-0000-0000-0000D20A0000}"/>
    <cellStyle name="40% - Accent3 2 2 2 2 2 3" xfId="3380" xr:uid="{00000000-0005-0000-0000-0000D30A0000}"/>
    <cellStyle name="40% - Accent3 2 2 2 2 2 4" xfId="4667" xr:uid="{00000000-0005-0000-0000-0000D40A0000}"/>
    <cellStyle name="40% - Accent3 2 2 2 2 3" xfId="1236" xr:uid="{00000000-0005-0000-0000-0000D50A0000}"/>
    <cellStyle name="40% - Accent3 2 2 2 2 3 2" xfId="2528" xr:uid="{00000000-0005-0000-0000-0000D60A0000}"/>
    <cellStyle name="40% - Accent3 2 2 2 2 3 3" xfId="3806" xr:uid="{00000000-0005-0000-0000-0000D70A0000}"/>
    <cellStyle name="40% - Accent3 2 2 2 2 3 4" xfId="5093" xr:uid="{00000000-0005-0000-0000-0000D80A0000}"/>
    <cellStyle name="40% - Accent3 2 2 2 2 4" xfId="1676" xr:uid="{00000000-0005-0000-0000-0000D90A0000}"/>
    <cellStyle name="40% - Accent3 2 2 2 2 5" xfId="2954" xr:uid="{00000000-0005-0000-0000-0000DA0A0000}"/>
    <cellStyle name="40% - Accent3 2 2 2 2 6" xfId="4241" xr:uid="{00000000-0005-0000-0000-0000DB0A0000}"/>
    <cellStyle name="40% - Accent3 2 2 2 3" xfId="597" xr:uid="{00000000-0005-0000-0000-0000DC0A0000}"/>
    <cellStyle name="40% - Accent3 2 2 2 3 2" xfId="1889" xr:uid="{00000000-0005-0000-0000-0000DD0A0000}"/>
    <cellStyle name="40% - Accent3 2 2 2 3 3" xfId="3167" xr:uid="{00000000-0005-0000-0000-0000DE0A0000}"/>
    <cellStyle name="40% - Accent3 2 2 2 3 4" xfId="4454" xr:uid="{00000000-0005-0000-0000-0000DF0A0000}"/>
    <cellStyle name="40% - Accent3 2 2 2 4" xfId="1023" xr:uid="{00000000-0005-0000-0000-0000E00A0000}"/>
    <cellStyle name="40% - Accent3 2 2 2 4 2" xfId="2315" xr:uid="{00000000-0005-0000-0000-0000E10A0000}"/>
    <cellStyle name="40% - Accent3 2 2 2 4 3" xfId="3593" xr:uid="{00000000-0005-0000-0000-0000E20A0000}"/>
    <cellStyle name="40% - Accent3 2 2 2 4 4" xfId="4880" xr:uid="{00000000-0005-0000-0000-0000E30A0000}"/>
    <cellStyle name="40% - Accent3 2 2 2 5" xfId="1463" xr:uid="{00000000-0005-0000-0000-0000E40A0000}"/>
    <cellStyle name="40% - Accent3 2 2 2 6" xfId="2741" xr:uid="{00000000-0005-0000-0000-0000E50A0000}"/>
    <cellStyle name="40% - Accent3 2 2 2 7" xfId="4028" xr:uid="{00000000-0005-0000-0000-0000E60A0000}"/>
    <cellStyle name="40% - Accent3 2 2 2 8" xfId="5274" xr:uid="{00000000-0005-0000-0000-0000E70A0000}"/>
    <cellStyle name="40% - Accent3 2 2 3" xfId="383" xr:uid="{00000000-0005-0000-0000-0000E80A0000}"/>
    <cellStyle name="40% - Accent3 2 2 3 2" xfId="809" xr:uid="{00000000-0005-0000-0000-0000E90A0000}"/>
    <cellStyle name="40% - Accent3 2 2 3 2 2" xfId="2101" xr:uid="{00000000-0005-0000-0000-0000EA0A0000}"/>
    <cellStyle name="40% - Accent3 2 2 3 2 3" xfId="3379" xr:uid="{00000000-0005-0000-0000-0000EB0A0000}"/>
    <cellStyle name="40% - Accent3 2 2 3 2 4" xfId="4666" xr:uid="{00000000-0005-0000-0000-0000EC0A0000}"/>
    <cellStyle name="40% - Accent3 2 2 3 3" xfId="1235" xr:uid="{00000000-0005-0000-0000-0000ED0A0000}"/>
    <cellStyle name="40% - Accent3 2 2 3 3 2" xfId="2527" xr:uid="{00000000-0005-0000-0000-0000EE0A0000}"/>
    <cellStyle name="40% - Accent3 2 2 3 3 3" xfId="3805" xr:uid="{00000000-0005-0000-0000-0000EF0A0000}"/>
    <cellStyle name="40% - Accent3 2 2 3 3 4" xfId="5092" xr:uid="{00000000-0005-0000-0000-0000F00A0000}"/>
    <cellStyle name="40% - Accent3 2 2 3 4" xfId="1675" xr:uid="{00000000-0005-0000-0000-0000F10A0000}"/>
    <cellStyle name="40% - Accent3 2 2 3 5" xfId="2953" xr:uid="{00000000-0005-0000-0000-0000F20A0000}"/>
    <cellStyle name="40% - Accent3 2 2 3 6" xfId="4240" xr:uid="{00000000-0005-0000-0000-0000F30A0000}"/>
    <cellStyle name="40% - Accent3 2 2 4" xfId="596" xr:uid="{00000000-0005-0000-0000-0000F40A0000}"/>
    <cellStyle name="40% - Accent3 2 2 4 2" xfId="1888" xr:uid="{00000000-0005-0000-0000-0000F50A0000}"/>
    <cellStyle name="40% - Accent3 2 2 4 3" xfId="3166" xr:uid="{00000000-0005-0000-0000-0000F60A0000}"/>
    <cellStyle name="40% - Accent3 2 2 4 4" xfId="4453" xr:uid="{00000000-0005-0000-0000-0000F70A0000}"/>
    <cellStyle name="40% - Accent3 2 2 5" xfId="1022" xr:uid="{00000000-0005-0000-0000-0000F80A0000}"/>
    <cellStyle name="40% - Accent3 2 2 5 2" xfId="2314" xr:uid="{00000000-0005-0000-0000-0000F90A0000}"/>
    <cellStyle name="40% - Accent3 2 2 5 3" xfId="3592" xr:uid="{00000000-0005-0000-0000-0000FA0A0000}"/>
    <cellStyle name="40% - Accent3 2 2 5 4" xfId="4879" xr:uid="{00000000-0005-0000-0000-0000FB0A0000}"/>
    <cellStyle name="40% - Accent3 2 2 6" xfId="1462" xr:uid="{00000000-0005-0000-0000-0000FC0A0000}"/>
    <cellStyle name="40% - Accent3 2 2 7" xfId="2740" xr:uid="{00000000-0005-0000-0000-0000FD0A0000}"/>
    <cellStyle name="40% - Accent3 2 2 8" xfId="4027" xr:uid="{00000000-0005-0000-0000-0000FE0A0000}"/>
    <cellStyle name="40% - Accent3 2 2 9" xfId="5273" xr:uid="{00000000-0005-0000-0000-0000FF0A0000}"/>
    <cellStyle name="40% - Accent3 2 3" xfId="166" xr:uid="{00000000-0005-0000-0000-0000000B0000}"/>
    <cellStyle name="40% - Accent3 2 3 2" xfId="385" xr:uid="{00000000-0005-0000-0000-0000010B0000}"/>
    <cellStyle name="40% - Accent3 2 3 2 2" xfId="811" xr:uid="{00000000-0005-0000-0000-0000020B0000}"/>
    <cellStyle name="40% - Accent3 2 3 2 2 2" xfId="2103" xr:uid="{00000000-0005-0000-0000-0000030B0000}"/>
    <cellStyle name="40% - Accent3 2 3 2 2 3" xfId="3381" xr:uid="{00000000-0005-0000-0000-0000040B0000}"/>
    <cellStyle name="40% - Accent3 2 3 2 2 4" xfId="4668" xr:uid="{00000000-0005-0000-0000-0000050B0000}"/>
    <cellStyle name="40% - Accent3 2 3 2 3" xfId="1237" xr:uid="{00000000-0005-0000-0000-0000060B0000}"/>
    <cellStyle name="40% - Accent3 2 3 2 3 2" xfId="2529" xr:uid="{00000000-0005-0000-0000-0000070B0000}"/>
    <cellStyle name="40% - Accent3 2 3 2 3 3" xfId="3807" xr:uid="{00000000-0005-0000-0000-0000080B0000}"/>
    <cellStyle name="40% - Accent3 2 3 2 3 4" xfId="5094" xr:uid="{00000000-0005-0000-0000-0000090B0000}"/>
    <cellStyle name="40% - Accent3 2 3 2 4" xfId="1677" xr:uid="{00000000-0005-0000-0000-00000A0B0000}"/>
    <cellStyle name="40% - Accent3 2 3 2 5" xfId="2955" xr:uid="{00000000-0005-0000-0000-00000B0B0000}"/>
    <cellStyle name="40% - Accent3 2 3 2 6" xfId="4242" xr:uid="{00000000-0005-0000-0000-00000C0B0000}"/>
    <cellStyle name="40% - Accent3 2 3 3" xfId="598" xr:uid="{00000000-0005-0000-0000-00000D0B0000}"/>
    <cellStyle name="40% - Accent3 2 3 3 2" xfId="1890" xr:uid="{00000000-0005-0000-0000-00000E0B0000}"/>
    <cellStyle name="40% - Accent3 2 3 3 3" xfId="3168" xr:uid="{00000000-0005-0000-0000-00000F0B0000}"/>
    <cellStyle name="40% - Accent3 2 3 3 4" xfId="4455" xr:uid="{00000000-0005-0000-0000-0000100B0000}"/>
    <cellStyle name="40% - Accent3 2 3 4" xfId="1024" xr:uid="{00000000-0005-0000-0000-0000110B0000}"/>
    <cellStyle name="40% - Accent3 2 3 4 2" xfId="2316" xr:uid="{00000000-0005-0000-0000-0000120B0000}"/>
    <cellStyle name="40% - Accent3 2 3 4 3" xfId="3594" xr:uid="{00000000-0005-0000-0000-0000130B0000}"/>
    <cellStyle name="40% - Accent3 2 3 4 4" xfId="4881" xr:uid="{00000000-0005-0000-0000-0000140B0000}"/>
    <cellStyle name="40% - Accent3 2 3 5" xfId="1464" xr:uid="{00000000-0005-0000-0000-0000150B0000}"/>
    <cellStyle name="40% - Accent3 2 3 6" xfId="2742" xr:uid="{00000000-0005-0000-0000-0000160B0000}"/>
    <cellStyle name="40% - Accent3 2 3 7" xfId="4029" xr:uid="{00000000-0005-0000-0000-0000170B0000}"/>
    <cellStyle name="40% - Accent3 2 3 8" xfId="5275" xr:uid="{00000000-0005-0000-0000-0000180B0000}"/>
    <cellStyle name="40% - Accent3 2 4" xfId="167" xr:uid="{00000000-0005-0000-0000-0000190B0000}"/>
    <cellStyle name="40% - Accent3 2 4 2" xfId="386" xr:uid="{00000000-0005-0000-0000-00001A0B0000}"/>
    <cellStyle name="40% - Accent3 2 4 2 2" xfId="812" xr:uid="{00000000-0005-0000-0000-00001B0B0000}"/>
    <cellStyle name="40% - Accent3 2 4 2 2 2" xfId="2104" xr:uid="{00000000-0005-0000-0000-00001C0B0000}"/>
    <cellStyle name="40% - Accent3 2 4 2 2 3" xfId="3382" xr:uid="{00000000-0005-0000-0000-00001D0B0000}"/>
    <cellStyle name="40% - Accent3 2 4 2 2 4" xfId="4669" xr:uid="{00000000-0005-0000-0000-00001E0B0000}"/>
    <cellStyle name="40% - Accent3 2 4 2 3" xfId="1238" xr:uid="{00000000-0005-0000-0000-00001F0B0000}"/>
    <cellStyle name="40% - Accent3 2 4 2 3 2" xfId="2530" xr:uid="{00000000-0005-0000-0000-0000200B0000}"/>
    <cellStyle name="40% - Accent3 2 4 2 3 3" xfId="3808" xr:uid="{00000000-0005-0000-0000-0000210B0000}"/>
    <cellStyle name="40% - Accent3 2 4 2 3 4" xfId="5095" xr:uid="{00000000-0005-0000-0000-0000220B0000}"/>
    <cellStyle name="40% - Accent3 2 4 2 4" xfId="1678" xr:uid="{00000000-0005-0000-0000-0000230B0000}"/>
    <cellStyle name="40% - Accent3 2 4 2 5" xfId="2956" xr:uid="{00000000-0005-0000-0000-0000240B0000}"/>
    <cellStyle name="40% - Accent3 2 4 2 6" xfId="4243" xr:uid="{00000000-0005-0000-0000-0000250B0000}"/>
    <cellStyle name="40% - Accent3 2 4 3" xfId="599" xr:uid="{00000000-0005-0000-0000-0000260B0000}"/>
    <cellStyle name="40% - Accent3 2 4 3 2" xfId="1891" xr:uid="{00000000-0005-0000-0000-0000270B0000}"/>
    <cellStyle name="40% - Accent3 2 4 3 3" xfId="3169" xr:uid="{00000000-0005-0000-0000-0000280B0000}"/>
    <cellStyle name="40% - Accent3 2 4 3 4" xfId="4456" xr:uid="{00000000-0005-0000-0000-0000290B0000}"/>
    <cellStyle name="40% - Accent3 2 4 4" xfId="1025" xr:uid="{00000000-0005-0000-0000-00002A0B0000}"/>
    <cellStyle name="40% - Accent3 2 4 4 2" xfId="2317" xr:uid="{00000000-0005-0000-0000-00002B0B0000}"/>
    <cellStyle name="40% - Accent3 2 4 4 3" xfId="3595" xr:uid="{00000000-0005-0000-0000-00002C0B0000}"/>
    <cellStyle name="40% - Accent3 2 4 4 4" xfId="4882" xr:uid="{00000000-0005-0000-0000-00002D0B0000}"/>
    <cellStyle name="40% - Accent3 2 4 5" xfId="1465" xr:uid="{00000000-0005-0000-0000-00002E0B0000}"/>
    <cellStyle name="40% - Accent3 2 4 6" xfId="2743" xr:uid="{00000000-0005-0000-0000-00002F0B0000}"/>
    <cellStyle name="40% - Accent3 2 4 7" xfId="4030" xr:uid="{00000000-0005-0000-0000-0000300B0000}"/>
    <cellStyle name="40% - Accent3 2 5" xfId="168" xr:uid="{00000000-0005-0000-0000-0000310B0000}"/>
    <cellStyle name="40% - Accent3 2 5 2" xfId="387" xr:uid="{00000000-0005-0000-0000-0000320B0000}"/>
    <cellStyle name="40% - Accent3 2 5 2 2" xfId="813" xr:uid="{00000000-0005-0000-0000-0000330B0000}"/>
    <cellStyle name="40% - Accent3 2 5 2 2 2" xfId="2105" xr:uid="{00000000-0005-0000-0000-0000340B0000}"/>
    <cellStyle name="40% - Accent3 2 5 2 2 3" xfId="3383" xr:uid="{00000000-0005-0000-0000-0000350B0000}"/>
    <cellStyle name="40% - Accent3 2 5 2 2 4" xfId="4670" xr:uid="{00000000-0005-0000-0000-0000360B0000}"/>
    <cellStyle name="40% - Accent3 2 5 2 3" xfId="1239" xr:uid="{00000000-0005-0000-0000-0000370B0000}"/>
    <cellStyle name="40% - Accent3 2 5 2 3 2" xfId="2531" xr:uid="{00000000-0005-0000-0000-0000380B0000}"/>
    <cellStyle name="40% - Accent3 2 5 2 3 3" xfId="3809" xr:uid="{00000000-0005-0000-0000-0000390B0000}"/>
    <cellStyle name="40% - Accent3 2 5 2 3 4" xfId="5096" xr:uid="{00000000-0005-0000-0000-00003A0B0000}"/>
    <cellStyle name="40% - Accent3 2 5 2 4" xfId="1679" xr:uid="{00000000-0005-0000-0000-00003B0B0000}"/>
    <cellStyle name="40% - Accent3 2 5 2 5" xfId="2957" xr:uid="{00000000-0005-0000-0000-00003C0B0000}"/>
    <cellStyle name="40% - Accent3 2 5 2 6" xfId="4244" xr:uid="{00000000-0005-0000-0000-00003D0B0000}"/>
    <cellStyle name="40% - Accent3 2 5 3" xfId="600" xr:uid="{00000000-0005-0000-0000-00003E0B0000}"/>
    <cellStyle name="40% - Accent3 2 5 3 2" xfId="1892" xr:uid="{00000000-0005-0000-0000-00003F0B0000}"/>
    <cellStyle name="40% - Accent3 2 5 3 3" xfId="3170" xr:uid="{00000000-0005-0000-0000-0000400B0000}"/>
    <cellStyle name="40% - Accent3 2 5 3 4" xfId="4457" xr:uid="{00000000-0005-0000-0000-0000410B0000}"/>
    <cellStyle name="40% - Accent3 2 5 4" xfId="1026" xr:uid="{00000000-0005-0000-0000-0000420B0000}"/>
    <cellStyle name="40% - Accent3 2 5 4 2" xfId="2318" xr:uid="{00000000-0005-0000-0000-0000430B0000}"/>
    <cellStyle name="40% - Accent3 2 5 4 3" xfId="3596" xr:uid="{00000000-0005-0000-0000-0000440B0000}"/>
    <cellStyle name="40% - Accent3 2 5 4 4" xfId="4883" xr:uid="{00000000-0005-0000-0000-0000450B0000}"/>
    <cellStyle name="40% - Accent3 2 5 5" xfId="1466" xr:uid="{00000000-0005-0000-0000-0000460B0000}"/>
    <cellStyle name="40% - Accent3 2 5 6" xfId="2744" xr:uid="{00000000-0005-0000-0000-0000470B0000}"/>
    <cellStyle name="40% - Accent3 2 5 7" xfId="4031" xr:uid="{00000000-0005-0000-0000-0000480B0000}"/>
    <cellStyle name="40% - Accent3 2 6" xfId="275" xr:uid="{00000000-0005-0000-0000-0000490B0000}"/>
    <cellStyle name="40% - Accent3 2 6 2" xfId="488" xr:uid="{00000000-0005-0000-0000-00004A0B0000}"/>
    <cellStyle name="40% - Accent3 2 6 2 2" xfId="913" xr:uid="{00000000-0005-0000-0000-00004B0B0000}"/>
    <cellStyle name="40% - Accent3 2 6 2 2 2" xfId="2205" xr:uid="{00000000-0005-0000-0000-00004C0B0000}"/>
    <cellStyle name="40% - Accent3 2 6 2 2 3" xfId="3483" xr:uid="{00000000-0005-0000-0000-00004D0B0000}"/>
    <cellStyle name="40% - Accent3 2 6 2 2 4" xfId="4770" xr:uid="{00000000-0005-0000-0000-00004E0B0000}"/>
    <cellStyle name="40% - Accent3 2 6 2 3" xfId="1339" xr:uid="{00000000-0005-0000-0000-00004F0B0000}"/>
    <cellStyle name="40% - Accent3 2 6 2 3 2" xfId="2631" xr:uid="{00000000-0005-0000-0000-0000500B0000}"/>
    <cellStyle name="40% - Accent3 2 6 2 3 3" xfId="3909" xr:uid="{00000000-0005-0000-0000-0000510B0000}"/>
    <cellStyle name="40% - Accent3 2 6 2 3 4" xfId="5196" xr:uid="{00000000-0005-0000-0000-0000520B0000}"/>
    <cellStyle name="40% - Accent3 2 6 2 4" xfId="1779" xr:uid="{00000000-0005-0000-0000-0000530B0000}"/>
    <cellStyle name="40% - Accent3 2 6 2 5" xfId="3057" xr:uid="{00000000-0005-0000-0000-0000540B0000}"/>
    <cellStyle name="40% - Accent3 2 6 2 6" xfId="4344" xr:uid="{00000000-0005-0000-0000-0000550B0000}"/>
    <cellStyle name="40% - Accent3 2 6 3" xfId="700" xr:uid="{00000000-0005-0000-0000-0000560B0000}"/>
    <cellStyle name="40% - Accent3 2 6 3 2" xfId="1992" xr:uid="{00000000-0005-0000-0000-0000570B0000}"/>
    <cellStyle name="40% - Accent3 2 6 3 3" xfId="3270" xr:uid="{00000000-0005-0000-0000-0000580B0000}"/>
    <cellStyle name="40% - Accent3 2 6 3 4" xfId="4557" xr:uid="{00000000-0005-0000-0000-0000590B0000}"/>
    <cellStyle name="40% - Accent3 2 6 4" xfId="1126" xr:uid="{00000000-0005-0000-0000-00005A0B0000}"/>
    <cellStyle name="40% - Accent3 2 6 4 2" xfId="2418" xr:uid="{00000000-0005-0000-0000-00005B0B0000}"/>
    <cellStyle name="40% - Accent3 2 6 4 3" xfId="3696" xr:uid="{00000000-0005-0000-0000-00005C0B0000}"/>
    <cellStyle name="40% - Accent3 2 6 4 4" xfId="4983" xr:uid="{00000000-0005-0000-0000-00005D0B0000}"/>
    <cellStyle name="40% - Accent3 2 6 5" xfId="1566" xr:uid="{00000000-0005-0000-0000-00005E0B0000}"/>
    <cellStyle name="40% - Accent3 2 6 6" xfId="2844" xr:uid="{00000000-0005-0000-0000-00005F0B0000}"/>
    <cellStyle name="40% - Accent3 2 6 7" xfId="4131" xr:uid="{00000000-0005-0000-0000-0000600B0000}"/>
    <cellStyle name="40% - Accent3 2 7" xfId="382" xr:uid="{00000000-0005-0000-0000-0000610B0000}"/>
    <cellStyle name="40% - Accent3 2 7 2" xfId="808" xr:uid="{00000000-0005-0000-0000-0000620B0000}"/>
    <cellStyle name="40% - Accent3 2 7 2 2" xfId="2100" xr:uid="{00000000-0005-0000-0000-0000630B0000}"/>
    <cellStyle name="40% - Accent3 2 7 2 3" xfId="3378" xr:uid="{00000000-0005-0000-0000-0000640B0000}"/>
    <cellStyle name="40% - Accent3 2 7 2 4" xfId="4665" xr:uid="{00000000-0005-0000-0000-0000650B0000}"/>
    <cellStyle name="40% - Accent3 2 7 3" xfId="1234" xr:uid="{00000000-0005-0000-0000-0000660B0000}"/>
    <cellStyle name="40% - Accent3 2 7 3 2" xfId="2526" xr:uid="{00000000-0005-0000-0000-0000670B0000}"/>
    <cellStyle name="40% - Accent3 2 7 3 3" xfId="3804" xr:uid="{00000000-0005-0000-0000-0000680B0000}"/>
    <cellStyle name="40% - Accent3 2 7 3 4" xfId="5091" xr:uid="{00000000-0005-0000-0000-0000690B0000}"/>
    <cellStyle name="40% - Accent3 2 7 4" xfId="1674" xr:uid="{00000000-0005-0000-0000-00006A0B0000}"/>
    <cellStyle name="40% - Accent3 2 7 5" xfId="2952" xr:uid="{00000000-0005-0000-0000-00006B0B0000}"/>
    <cellStyle name="40% - Accent3 2 7 6" xfId="4239" xr:uid="{00000000-0005-0000-0000-00006C0B0000}"/>
    <cellStyle name="40% - Accent3 2 8" xfId="595" xr:uid="{00000000-0005-0000-0000-00006D0B0000}"/>
    <cellStyle name="40% - Accent3 2 8 2" xfId="1887" xr:uid="{00000000-0005-0000-0000-00006E0B0000}"/>
    <cellStyle name="40% - Accent3 2 8 3" xfId="3165" xr:uid="{00000000-0005-0000-0000-00006F0B0000}"/>
    <cellStyle name="40% - Accent3 2 8 4" xfId="4452" xr:uid="{00000000-0005-0000-0000-0000700B0000}"/>
    <cellStyle name="40% - Accent3 2 9" xfId="1021" xr:uid="{00000000-0005-0000-0000-0000710B0000}"/>
    <cellStyle name="40% - Accent3 2 9 2" xfId="2313" xr:uid="{00000000-0005-0000-0000-0000720B0000}"/>
    <cellStyle name="40% - Accent3 2 9 3" xfId="3591" xr:uid="{00000000-0005-0000-0000-0000730B0000}"/>
    <cellStyle name="40% - Accent3 2 9 4" xfId="4878" xr:uid="{00000000-0005-0000-0000-0000740B0000}"/>
    <cellStyle name="40% - Accent3 3" xfId="169" xr:uid="{00000000-0005-0000-0000-0000750B0000}"/>
    <cellStyle name="40% - Accent3 3 2" xfId="170" xr:uid="{00000000-0005-0000-0000-0000760B0000}"/>
    <cellStyle name="40% - Accent3 3 2 2" xfId="389" xr:uid="{00000000-0005-0000-0000-0000770B0000}"/>
    <cellStyle name="40% - Accent3 3 2 2 2" xfId="815" xr:uid="{00000000-0005-0000-0000-0000780B0000}"/>
    <cellStyle name="40% - Accent3 3 2 2 2 2" xfId="2107" xr:uid="{00000000-0005-0000-0000-0000790B0000}"/>
    <cellStyle name="40% - Accent3 3 2 2 2 3" xfId="3385" xr:uid="{00000000-0005-0000-0000-00007A0B0000}"/>
    <cellStyle name="40% - Accent3 3 2 2 2 4" xfId="4672" xr:uid="{00000000-0005-0000-0000-00007B0B0000}"/>
    <cellStyle name="40% - Accent3 3 2 2 3" xfId="1241" xr:uid="{00000000-0005-0000-0000-00007C0B0000}"/>
    <cellStyle name="40% - Accent3 3 2 2 3 2" xfId="2533" xr:uid="{00000000-0005-0000-0000-00007D0B0000}"/>
    <cellStyle name="40% - Accent3 3 2 2 3 3" xfId="3811" xr:uid="{00000000-0005-0000-0000-00007E0B0000}"/>
    <cellStyle name="40% - Accent3 3 2 2 3 4" xfId="5098" xr:uid="{00000000-0005-0000-0000-00007F0B0000}"/>
    <cellStyle name="40% - Accent3 3 2 2 4" xfId="1681" xr:uid="{00000000-0005-0000-0000-0000800B0000}"/>
    <cellStyle name="40% - Accent3 3 2 2 5" xfId="2959" xr:uid="{00000000-0005-0000-0000-0000810B0000}"/>
    <cellStyle name="40% - Accent3 3 2 2 6" xfId="4246" xr:uid="{00000000-0005-0000-0000-0000820B0000}"/>
    <cellStyle name="40% - Accent3 3 2 3" xfId="602" xr:uid="{00000000-0005-0000-0000-0000830B0000}"/>
    <cellStyle name="40% - Accent3 3 2 3 2" xfId="1894" xr:uid="{00000000-0005-0000-0000-0000840B0000}"/>
    <cellStyle name="40% - Accent3 3 2 3 3" xfId="3172" xr:uid="{00000000-0005-0000-0000-0000850B0000}"/>
    <cellStyle name="40% - Accent3 3 2 3 4" xfId="4459" xr:uid="{00000000-0005-0000-0000-0000860B0000}"/>
    <cellStyle name="40% - Accent3 3 2 4" xfId="1028" xr:uid="{00000000-0005-0000-0000-0000870B0000}"/>
    <cellStyle name="40% - Accent3 3 2 4 2" xfId="2320" xr:uid="{00000000-0005-0000-0000-0000880B0000}"/>
    <cellStyle name="40% - Accent3 3 2 4 3" xfId="3598" xr:uid="{00000000-0005-0000-0000-0000890B0000}"/>
    <cellStyle name="40% - Accent3 3 2 4 4" xfId="4885" xr:uid="{00000000-0005-0000-0000-00008A0B0000}"/>
    <cellStyle name="40% - Accent3 3 2 5" xfId="1468" xr:uid="{00000000-0005-0000-0000-00008B0B0000}"/>
    <cellStyle name="40% - Accent3 3 2 6" xfId="2746" xr:uid="{00000000-0005-0000-0000-00008C0B0000}"/>
    <cellStyle name="40% - Accent3 3 2 7" xfId="4033" xr:uid="{00000000-0005-0000-0000-00008D0B0000}"/>
    <cellStyle name="40% - Accent3 3 2 8" xfId="5277" xr:uid="{00000000-0005-0000-0000-00008E0B0000}"/>
    <cellStyle name="40% - Accent3 3 3" xfId="388" xr:uid="{00000000-0005-0000-0000-00008F0B0000}"/>
    <cellStyle name="40% - Accent3 3 3 2" xfId="814" xr:uid="{00000000-0005-0000-0000-0000900B0000}"/>
    <cellStyle name="40% - Accent3 3 3 2 2" xfId="2106" xr:uid="{00000000-0005-0000-0000-0000910B0000}"/>
    <cellStyle name="40% - Accent3 3 3 2 3" xfId="3384" xr:uid="{00000000-0005-0000-0000-0000920B0000}"/>
    <cellStyle name="40% - Accent3 3 3 2 4" xfId="4671" xr:uid="{00000000-0005-0000-0000-0000930B0000}"/>
    <cellStyle name="40% - Accent3 3 3 3" xfId="1240" xr:uid="{00000000-0005-0000-0000-0000940B0000}"/>
    <cellStyle name="40% - Accent3 3 3 3 2" xfId="2532" xr:uid="{00000000-0005-0000-0000-0000950B0000}"/>
    <cellStyle name="40% - Accent3 3 3 3 3" xfId="3810" xr:uid="{00000000-0005-0000-0000-0000960B0000}"/>
    <cellStyle name="40% - Accent3 3 3 3 4" xfId="5097" xr:uid="{00000000-0005-0000-0000-0000970B0000}"/>
    <cellStyle name="40% - Accent3 3 3 4" xfId="1680" xr:uid="{00000000-0005-0000-0000-0000980B0000}"/>
    <cellStyle name="40% - Accent3 3 3 5" xfId="2958" xr:uid="{00000000-0005-0000-0000-0000990B0000}"/>
    <cellStyle name="40% - Accent3 3 3 6" xfId="4245" xr:uid="{00000000-0005-0000-0000-00009A0B0000}"/>
    <cellStyle name="40% - Accent3 3 4" xfId="601" xr:uid="{00000000-0005-0000-0000-00009B0B0000}"/>
    <cellStyle name="40% - Accent3 3 4 2" xfId="1893" xr:uid="{00000000-0005-0000-0000-00009C0B0000}"/>
    <cellStyle name="40% - Accent3 3 4 3" xfId="3171" xr:uid="{00000000-0005-0000-0000-00009D0B0000}"/>
    <cellStyle name="40% - Accent3 3 4 4" xfId="4458" xr:uid="{00000000-0005-0000-0000-00009E0B0000}"/>
    <cellStyle name="40% - Accent3 3 5" xfId="1027" xr:uid="{00000000-0005-0000-0000-00009F0B0000}"/>
    <cellStyle name="40% - Accent3 3 5 2" xfId="2319" xr:uid="{00000000-0005-0000-0000-0000A00B0000}"/>
    <cellStyle name="40% - Accent3 3 5 3" xfId="3597" xr:uid="{00000000-0005-0000-0000-0000A10B0000}"/>
    <cellStyle name="40% - Accent3 3 5 4" xfId="4884" xr:uid="{00000000-0005-0000-0000-0000A20B0000}"/>
    <cellStyle name="40% - Accent3 3 6" xfId="1467" xr:uid="{00000000-0005-0000-0000-0000A30B0000}"/>
    <cellStyle name="40% - Accent3 3 7" xfId="2745" xr:uid="{00000000-0005-0000-0000-0000A40B0000}"/>
    <cellStyle name="40% - Accent3 3 8" xfId="4032" xr:uid="{00000000-0005-0000-0000-0000A50B0000}"/>
    <cellStyle name="40% - Accent3 3 9" xfId="5276" xr:uid="{00000000-0005-0000-0000-0000A60B0000}"/>
    <cellStyle name="40% - Accent3 4" xfId="171" xr:uid="{00000000-0005-0000-0000-0000A70B0000}"/>
    <cellStyle name="40% - Accent3 4 2" xfId="390" xr:uid="{00000000-0005-0000-0000-0000A80B0000}"/>
    <cellStyle name="40% - Accent3 4 2 2" xfId="816" xr:uid="{00000000-0005-0000-0000-0000A90B0000}"/>
    <cellStyle name="40% - Accent3 4 2 2 2" xfId="2108" xr:uid="{00000000-0005-0000-0000-0000AA0B0000}"/>
    <cellStyle name="40% - Accent3 4 2 2 3" xfId="3386" xr:uid="{00000000-0005-0000-0000-0000AB0B0000}"/>
    <cellStyle name="40% - Accent3 4 2 2 4" xfId="4673" xr:uid="{00000000-0005-0000-0000-0000AC0B0000}"/>
    <cellStyle name="40% - Accent3 4 2 3" xfId="1242" xr:uid="{00000000-0005-0000-0000-0000AD0B0000}"/>
    <cellStyle name="40% - Accent3 4 2 3 2" xfId="2534" xr:uid="{00000000-0005-0000-0000-0000AE0B0000}"/>
    <cellStyle name="40% - Accent3 4 2 3 3" xfId="3812" xr:uid="{00000000-0005-0000-0000-0000AF0B0000}"/>
    <cellStyle name="40% - Accent3 4 2 3 4" xfId="5099" xr:uid="{00000000-0005-0000-0000-0000B00B0000}"/>
    <cellStyle name="40% - Accent3 4 2 4" xfId="1682" xr:uid="{00000000-0005-0000-0000-0000B10B0000}"/>
    <cellStyle name="40% - Accent3 4 2 5" xfId="2960" xr:uid="{00000000-0005-0000-0000-0000B20B0000}"/>
    <cellStyle name="40% - Accent3 4 2 6" xfId="4247" xr:uid="{00000000-0005-0000-0000-0000B30B0000}"/>
    <cellStyle name="40% - Accent3 4 3" xfId="603" xr:uid="{00000000-0005-0000-0000-0000B40B0000}"/>
    <cellStyle name="40% - Accent3 4 3 2" xfId="1895" xr:uid="{00000000-0005-0000-0000-0000B50B0000}"/>
    <cellStyle name="40% - Accent3 4 3 3" xfId="3173" xr:uid="{00000000-0005-0000-0000-0000B60B0000}"/>
    <cellStyle name="40% - Accent3 4 3 4" xfId="4460" xr:uid="{00000000-0005-0000-0000-0000B70B0000}"/>
    <cellStyle name="40% - Accent3 4 4" xfId="1029" xr:uid="{00000000-0005-0000-0000-0000B80B0000}"/>
    <cellStyle name="40% - Accent3 4 4 2" xfId="2321" xr:uid="{00000000-0005-0000-0000-0000B90B0000}"/>
    <cellStyle name="40% - Accent3 4 4 3" xfId="3599" xr:uid="{00000000-0005-0000-0000-0000BA0B0000}"/>
    <cellStyle name="40% - Accent3 4 4 4" xfId="4886" xr:uid="{00000000-0005-0000-0000-0000BB0B0000}"/>
    <cellStyle name="40% - Accent3 4 5" xfId="1469" xr:uid="{00000000-0005-0000-0000-0000BC0B0000}"/>
    <cellStyle name="40% - Accent3 4 6" xfId="2747" xr:uid="{00000000-0005-0000-0000-0000BD0B0000}"/>
    <cellStyle name="40% - Accent3 4 7" xfId="4034" xr:uid="{00000000-0005-0000-0000-0000BE0B0000}"/>
    <cellStyle name="40% - Accent3 4 8" xfId="5278" xr:uid="{00000000-0005-0000-0000-0000BF0B0000}"/>
    <cellStyle name="40% - Accent3 5" xfId="172" xr:uid="{00000000-0005-0000-0000-0000C00B0000}"/>
    <cellStyle name="40% - Accent3 5 2" xfId="391" xr:uid="{00000000-0005-0000-0000-0000C10B0000}"/>
    <cellStyle name="40% - Accent3 5 2 2" xfId="817" xr:uid="{00000000-0005-0000-0000-0000C20B0000}"/>
    <cellStyle name="40% - Accent3 5 2 2 2" xfId="2109" xr:uid="{00000000-0005-0000-0000-0000C30B0000}"/>
    <cellStyle name="40% - Accent3 5 2 2 3" xfId="3387" xr:uid="{00000000-0005-0000-0000-0000C40B0000}"/>
    <cellStyle name="40% - Accent3 5 2 2 4" xfId="4674" xr:uid="{00000000-0005-0000-0000-0000C50B0000}"/>
    <cellStyle name="40% - Accent3 5 2 3" xfId="1243" xr:uid="{00000000-0005-0000-0000-0000C60B0000}"/>
    <cellStyle name="40% - Accent3 5 2 3 2" xfId="2535" xr:uid="{00000000-0005-0000-0000-0000C70B0000}"/>
    <cellStyle name="40% - Accent3 5 2 3 3" xfId="3813" xr:uid="{00000000-0005-0000-0000-0000C80B0000}"/>
    <cellStyle name="40% - Accent3 5 2 3 4" xfId="5100" xr:uid="{00000000-0005-0000-0000-0000C90B0000}"/>
    <cellStyle name="40% - Accent3 5 2 4" xfId="1683" xr:uid="{00000000-0005-0000-0000-0000CA0B0000}"/>
    <cellStyle name="40% - Accent3 5 2 5" xfId="2961" xr:uid="{00000000-0005-0000-0000-0000CB0B0000}"/>
    <cellStyle name="40% - Accent3 5 2 6" xfId="4248" xr:uid="{00000000-0005-0000-0000-0000CC0B0000}"/>
    <cellStyle name="40% - Accent3 5 3" xfId="604" xr:uid="{00000000-0005-0000-0000-0000CD0B0000}"/>
    <cellStyle name="40% - Accent3 5 3 2" xfId="1896" xr:uid="{00000000-0005-0000-0000-0000CE0B0000}"/>
    <cellStyle name="40% - Accent3 5 3 3" xfId="3174" xr:uid="{00000000-0005-0000-0000-0000CF0B0000}"/>
    <cellStyle name="40% - Accent3 5 3 4" xfId="4461" xr:uid="{00000000-0005-0000-0000-0000D00B0000}"/>
    <cellStyle name="40% - Accent3 5 4" xfId="1030" xr:uid="{00000000-0005-0000-0000-0000D10B0000}"/>
    <cellStyle name="40% - Accent3 5 4 2" xfId="2322" xr:uid="{00000000-0005-0000-0000-0000D20B0000}"/>
    <cellStyle name="40% - Accent3 5 4 3" xfId="3600" xr:uid="{00000000-0005-0000-0000-0000D30B0000}"/>
    <cellStyle name="40% - Accent3 5 4 4" xfId="4887" xr:uid="{00000000-0005-0000-0000-0000D40B0000}"/>
    <cellStyle name="40% - Accent3 5 5" xfId="1470" xr:uid="{00000000-0005-0000-0000-0000D50B0000}"/>
    <cellStyle name="40% - Accent3 5 6" xfId="2748" xr:uid="{00000000-0005-0000-0000-0000D60B0000}"/>
    <cellStyle name="40% - Accent3 5 7" xfId="4035" xr:uid="{00000000-0005-0000-0000-0000D70B0000}"/>
    <cellStyle name="40% - Accent3 6" xfId="173" xr:uid="{00000000-0005-0000-0000-0000D80B0000}"/>
    <cellStyle name="40% - Accent3 6 2" xfId="392" xr:uid="{00000000-0005-0000-0000-0000D90B0000}"/>
    <cellStyle name="40% - Accent3 6 2 2" xfId="818" xr:uid="{00000000-0005-0000-0000-0000DA0B0000}"/>
    <cellStyle name="40% - Accent3 6 2 2 2" xfId="2110" xr:uid="{00000000-0005-0000-0000-0000DB0B0000}"/>
    <cellStyle name="40% - Accent3 6 2 2 3" xfId="3388" xr:uid="{00000000-0005-0000-0000-0000DC0B0000}"/>
    <cellStyle name="40% - Accent3 6 2 2 4" xfId="4675" xr:uid="{00000000-0005-0000-0000-0000DD0B0000}"/>
    <cellStyle name="40% - Accent3 6 2 3" xfId="1244" xr:uid="{00000000-0005-0000-0000-0000DE0B0000}"/>
    <cellStyle name="40% - Accent3 6 2 3 2" xfId="2536" xr:uid="{00000000-0005-0000-0000-0000DF0B0000}"/>
    <cellStyle name="40% - Accent3 6 2 3 3" xfId="3814" xr:uid="{00000000-0005-0000-0000-0000E00B0000}"/>
    <cellStyle name="40% - Accent3 6 2 3 4" xfId="5101" xr:uid="{00000000-0005-0000-0000-0000E10B0000}"/>
    <cellStyle name="40% - Accent3 6 2 4" xfId="1684" xr:uid="{00000000-0005-0000-0000-0000E20B0000}"/>
    <cellStyle name="40% - Accent3 6 2 5" xfId="2962" xr:uid="{00000000-0005-0000-0000-0000E30B0000}"/>
    <cellStyle name="40% - Accent3 6 2 6" xfId="4249" xr:uid="{00000000-0005-0000-0000-0000E40B0000}"/>
    <cellStyle name="40% - Accent3 6 3" xfId="605" xr:uid="{00000000-0005-0000-0000-0000E50B0000}"/>
    <cellStyle name="40% - Accent3 6 3 2" xfId="1897" xr:uid="{00000000-0005-0000-0000-0000E60B0000}"/>
    <cellStyle name="40% - Accent3 6 3 3" xfId="3175" xr:uid="{00000000-0005-0000-0000-0000E70B0000}"/>
    <cellStyle name="40% - Accent3 6 3 4" xfId="4462" xr:uid="{00000000-0005-0000-0000-0000E80B0000}"/>
    <cellStyle name="40% - Accent3 6 4" xfId="1031" xr:uid="{00000000-0005-0000-0000-0000E90B0000}"/>
    <cellStyle name="40% - Accent3 6 4 2" xfId="2323" xr:uid="{00000000-0005-0000-0000-0000EA0B0000}"/>
    <cellStyle name="40% - Accent3 6 4 3" xfId="3601" xr:uid="{00000000-0005-0000-0000-0000EB0B0000}"/>
    <cellStyle name="40% - Accent3 6 4 4" xfId="4888" xr:uid="{00000000-0005-0000-0000-0000EC0B0000}"/>
    <cellStyle name="40% - Accent3 6 5" xfId="1471" xr:uid="{00000000-0005-0000-0000-0000ED0B0000}"/>
    <cellStyle name="40% - Accent3 6 6" xfId="2749" xr:uid="{00000000-0005-0000-0000-0000EE0B0000}"/>
    <cellStyle name="40% - Accent3 6 7" xfId="4036" xr:uid="{00000000-0005-0000-0000-0000EF0B0000}"/>
    <cellStyle name="40% - Accent3 7" xfId="263" xr:uid="{00000000-0005-0000-0000-0000F00B0000}"/>
    <cellStyle name="40% - Accent3 7 2" xfId="476" xr:uid="{00000000-0005-0000-0000-0000F10B0000}"/>
    <cellStyle name="40% - Accent3 7 2 2" xfId="901" xr:uid="{00000000-0005-0000-0000-0000F20B0000}"/>
    <cellStyle name="40% - Accent3 7 2 2 2" xfId="2193" xr:uid="{00000000-0005-0000-0000-0000F30B0000}"/>
    <cellStyle name="40% - Accent3 7 2 2 3" xfId="3471" xr:uid="{00000000-0005-0000-0000-0000F40B0000}"/>
    <cellStyle name="40% - Accent3 7 2 2 4" xfId="4758" xr:uid="{00000000-0005-0000-0000-0000F50B0000}"/>
    <cellStyle name="40% - Accent3 7 2 3" xfId="1327" xr:uid="{00000000-0005-0000-0000-0000F60B0000}"/>
    <cellStyle name="40% - Accent3 7 2 3 2" xfId="2619" xr:uid="{00000000-0005-0000-0000-0000F70B0000}"/>
    <cellStyle name="40% - Accent3 7 2 3 3" xfId="3897" xr:uid="{00000000-0005-0000-0000-0000F80B0000}"/>
    <cellStyle name="40% - Accent3 7 2 3 4" xfId="5184" xr:uid="{00000000-0005-0000-0000-0000F90B0000}"/>
    <cellStyle name="40% - Accent3 7 2 4" xfId="1767" xr:uid="{00000000-0005-0000-0000-0000FA0B0000}"/>
    <cellStyle name="40% - Accent3 7 2 5" xfId="3045" xr:uid="{00000000-0005-0000-0000-0000FB0B0000}"/>
    <cellStyle name="40% - Accent3 7 2 6" xfId="4332" xr:uid="{00000000-0005-0000-0000-0000FC0B0000}"/>
    <cellStyle name="40% - Accent3 7 3" xfId="688" xr:uid="{00000000-0005-0000-0000-0000FD0B0000}"/>
    <cellStyle name="40% - Accent3 7 3 2" xfId="1980" xr:uid="{00000000-0005-0000-0000-0000FE0B0000}"/>
    <cellStyle name="40% - Accent3 7 3 3" xfId="3258" xr:uid="{00000000-0005-0000-0000-0000FF0B0000}"/>
    <cellStyle name="40% - Accent3 7 3 4" xfId="4545" xr:uid="{00000000-0005-0000-0000-0000000C0000}"/>
    <cellStyle name="40% - Accent3 7 4" xfId="1114" xr:uid="{00000000-0005-0000-0000-0000010C0000}"/>
    <cellStyle name="40% - Accent3 7 4 2" xfId="2406" xr:uid="{00000000-0005-0000-0000-0000020C0000}"/>
    <cellStyle name="40% - Accent3 7 4 3" xfId="3684" xr:uid="{00000000-0005-0000-0000-0000030C0000}"/>
    <cellStyle name="40% - Accent3 7 4 4" xfId="4971" xr:uid="{00000000-0005-0000-0000-0000040C0000}"/>
    <cellStyle name="40% - Accent3 7 5" xfId="1554" xr:uid="{00000000-0005-0000-0000-0000050C0000}"/>
    <cellStyle name="40% - Accent3 7 6" xfId="2832" xr:uid="{00000000-0005-0000-0000-0000060C0000}"/>
    <cellStyle name="40% - Accent3 7 7" xfId="4119" xr:uid="{00000000-0005-0000-0000-0000070C0000}"/>
    <cellStyle name="40% - Accent3 8" xfId="381" xr:uid="{00000000-0005-0000-0000-0000080C0000}"/>
    <cellStyle name="40% - Accent3 8 2" xfId="807" xr:uid="{00000000-0005-0000-0000-0000090C0000}"/>
    <cellStyle name="40% - Accent3 8 2 2" xfId="2099" xr:uid="{00000000-0005-0000-0000-00000A0C0000}"/>
    <cellStyle name="40% - Accent3 8 2 3" xfId="3377" xr:uid="{00000000-0005-0000-0000-00000B0C0000}"/>
    <cellStyle name="40% - Accent3 8 2 4" xfId="4664" xr:uid="{00000000-0005-0000-0000-00000C0C0000}"/>
    <cellStyle name="40% - Accent3 8 3" xfId="1233" xr:uid="{00000000-0005-0000-0000-00000D0C0000}"/>
    <cellStyle name="40% - Accent3 8 3 2" xfId="2525" xr:uid="{00000000-0005-0000-0000-00000E0C0000}"/>
    <cellStyle name="40% - Accent3 8 3 3" xfId="3803" xr:uid="{00000000-0005-0000-0000-00000F0C0000}"/>
    <cellStyle name="40% - Accent3 8 3 4" xfId="5090" xr:uid="{00000000-0005-0000-0000-0000100C0000}"/>
    <cellStyle name="40% - Accent3 8 4" xfId="1673" xr:uid="{00000000-0005-0000-0000-0000110C0000}"/>
    <cellStyle name="40% - Accent3 8 5" xfId="2951" xr:uid="{00000000-0005-0000-0000-0000120C0000}"/>
    <cellStyle name="40% - Accent3 8 6" xfId="4238" xr:uid="{00000000-0005-0000-0000-0000130C0000}"/>
    <cellStyle name="40% - Accent3 9" xfId="594" xr:uid="{00000000-0005-0000-0000-0000140C0000}"/>
    <cellStyle name="40% - Accent3 9 2" xfId="1886" xr:uid="{00000000-0005-0000-0000-0000150C0000}"/>
    <cellStyle name="40% - Accent3 9 3" xfId="3164" xr:uid="{00000000-0005-0000-0000-0000160C0000}"/>
    <cellStyle name="40% - Accent3 9 4" xfId="4451" xr:uid="{00000000-0005-0000-0000-0000170C0000}"/>
    <cellStyle name="40% - Accent4" xfId="4" builtinId="43" customBuiltin="1"/>
    <cellStyle name="40% - Accent4 10" xfId="1032" xr:uid="{00000000-0005-0000-0000-0000190C0000}"/>
    <cellStyle name="40% - Accent4 10 2" xfId="2324" xr:uid="{00000000-0005-0000-0000-00001A0C0000}"/>
    <cellStyle name="40% - Accent4 10 3" xfId="3602" xr:uid="{00000000-0005-0000-0000-00001B0C0000}"/>
    <cellStyle name="40% - Accent4 10 4" xfId="4889" xr:uid="{00000000-0005-0000-0000-00001C0C0000}"/>
    <cellStyle name="40% - Accent4 11" xfId="1472" xr:uid="{00000000-0005-0000-0000-00001D0C0000}"/>
    <cellStyle name="40% - Accent4 12" xfId="2750" xr:uid="{00000000-0005-0000-0000-00001E0C0000}"/>
    <cellStyle name="40% - Accent4 13" xfId="4037" xr:uid="{00000000-0005-0000-0000-00001F0C0000}"/>
    <cellStyle name="40% - Accent4 14" xfId="5279" xr:uid="{00000000-0005-0000-0000-0000200C0000}"/>
    <cellStyle name="40% - Accent4 2" xfId="19" xr:uid="{00000000-0005-0000-0000-0000210C0000}"/>
    <cellStyle name="40% - Accent4 2 10" xfId="1473" xr:uid="{00000000-0005-0000-0000-0000220C0000}"/>
    <cellStyle name="40% - Accent4 2 11" xfId="2751" xr:uid="{00000000-0005-0000-0000-0000230C0000}"/>
    <cellStyle name="40% - Accent4 2 12" xfId="4038" xr:uid="{00000000-0005-0000-0000-0000240C0000}"/>
    <cellStyle name="40% - Accent4 2 13" xfId="5280" xr:uid="{00000000-0005-0000-0000-0000250C0000}"/>
    <cellStyle name="40% - Accent4 2 2" xfId="174" xr:uid="{00000000-0005-0000-0000-0000260C0000}"/>
    <cellStyle name="40% - Accent4 2 2 2" xfId="175" xr:uid="{00000000-0005-0000-0000-0000270C0000}"/>
    <cellStyle name="40% - Accent4 2 2 2 2" xfId="396" xr:uid="{00000000-0005-0000-0000-0000280C0000}"/>
    <cellStyle name="40% - Accent4 2 2 2 2 2" xfId="822" xr:uid="{00000000-0005-0000-0000-0000290C0000}"/>
    <cellStyle name="40% - Accent4 2 2 2 2 2 2" xfId="2114" xr:uid="{00000000-0005-0000-0000-00002A0C0000}"/>
    <cellStyle name="40% - Accent4 2 2 2 2 2 3" xfId="3392" xr:uid="{00000000-0005-0000-0000-00002B0C0000}"/>
    <cellStyle name="40% - Accent4 2 2 2 2 2 4" xfId="4679" xr:uid="{00000000-0005-0000-0000-00002C0C0000}"/>
    <cellStyle name="40% - Accent4 2 2 2 2 3" xfId="1248" xr:uid="{00000000-0005-0000-0000-00002D0C0000}"/>
    <cellStyle name="40% - Accent4 2 2 2 2 3 2" xfId="2540" xr:uid="{00000000-0005-0000-0000-00002E0C0000}"/>
    <cellStyle name="40% - Accent4 2 2 2 2 3 3" xfId="3818" xr:uid="{00000000-0005-0000-0000-00002F0C0000}"/>
    <cellStyle name="40% - Accent4 2 2 2 2 3 4" xfId="5105" xr:uid="{00000000-0005-0000-0000-0000300C0000}"/>
    <cellStyle name="40% - Accent4 2 2 2 2 4" xfId="1688" xr:uid="{00000000-0005-0000-0000-0000310C0000}"/>
    <cellStyle name="40% - Accent4 2 2 2 2 5" xfId="2966" xr:uid="{00000000-0005-0000-0000-0000320C0000}"/>
    <cellStyle name="40% - Accent4 2 2 2 2 6" xfId="4253" xr:uid="{00000000-0005-0000-0000-0000330C0000}"/>
    <cellStyle name="40% - Accent4 2 2 2 3" xfId="609" xr:uid="{00000000-0005-0000-0000-0000340C0000}"/>
    <cellStyle name="40% - Accent4 2 2 2 3 2" xfId="1901" xr:uid="{00000000-0005-0000-0000-0000350C0000}"/>
    <cellStyle name="40% - Accent4 2 2 2 3 3" xfId="3179" xr:uid="{00000000-0005-0000-0000-0000360C0000}"/>
    <cellStyle name="40% - Accent4 2 2 2 3 4" xfId="4466" xr:uid="{00000000-0005-0000-0000-0000370C0000}"/>
    <cellStyle name="40% - Accent4 2 2 2 4" xfId="1035" xr:uid="{00000000-0005-0000-0000-0000380C0000}"/>
    <cellStyle name="40% - Accent4 2 2 2 4 2" xfId="2327" xr:uid="{00000000-0005-0000-0000-0000390C0000}"/>
    <cellStyle name="40% - Accent4 2 2 2 4 3" xfId="3605" xr:uid="{00000000-0005-0000-0000-00003A0C0000}"/>
    <cellStyle name="40% - Accent4 2 2 2 4 4" xfId="4892" xr:uid="{00000000-0005-0000-0000-00003B0C0000}"/>
    <cellStyle name="40% - Accent4 2 2 2 5" xfId="1475" xr:uid="{00000000-0005-0000-0000-00003C0C0000}"/>
    <cellStyle name="40% - Accent4 2 2 2 6" xfId="2753" xr:uid="{00000000-0005-0000-0000-00003D0C0000}"/>
    <cellStyle name="40% - Accent4 2 2 2 7" xfId="4040" xr:uid="{00000000-0005-0000-0000-00003E0C0000}"/>
    <cellStyle name="40% - Accent4 2 2 2 8" xfId="5282" xr:uid="{00000000-0005-0000-0000-00003F0C0000}"/>
    <cellStyle name="40% - Accent4 2 2 3" xfId="395" xr:uid="{00000000-0005-0000-0000-0000400C0000}"/>
    <cellStyle name="40% - Accent4 2 2 3 2" xfId="821" xr:uid="{00000000-0005-0000-0000-0000410C0000}"/>
    <cellStyle name="40% - Accent4 2 2 3 2 2" xfId="2113" xr:uid="{00000000-0005-0000-0000-0000420C0000}"/>
    <cellStyle name="40% - Accent4 2 2 3 2 3" xfId="3391" xr:uid="{00000000-0005-0000-0000-0000430C0000}"/>
    <cellStyle name="40% - Accent4 2 2 3 2 4" xfId="4678" xr:uid="{00000000-0005-0000-0000-0000440C0000}"/>
    <cellStyle name="40% - Accent4 2 2 3 3" xfId="1247" xr:uid="{00000000-0005-0000-0000-0000450C0000}"/>
    <cellStyle name="40% - Accent4 2 2 3 3 2" xfId="2539" xr:uid="{00000000-0005-0000-0000-0000460C0000}"/>
    <cellStyle name="40% - Accent4 2 2 3 3 3" xfId="3817" xr:uid="{00000000-0005-0000-0000-0000470C0000}"/>
    <cellStyle name="40% - Accent4 2 2 3 3 4" xfId="5104" xr:uid="{00000000-0005-0000-0000-0000480C0000}"/>
    <cellStyle name="40% - Accent4 2 2 3 4" xfId="1687" xr:uid="{00000000-0005-0000-0000-0000490C0000}"/>
    <cellStyle name="40% - Accent4 2 2 3 5" xfId="2965" xr:uid="{00000000-0005-0000-0000-00004A0C0000}"/>
    <cellStyle name="40% - Accent4 2 2 3 6" xfId="4252" xr:uid="{00000000-0005-0000-0000-00004B0C0000}"/>
    <cellStyle name="40% - Accent4 2 2 4" xfId="608" xr:uid="{00000000-0005-0000-0000-00004C0C0000}"/>
    <cellStyle name="40% - Accent4 2 2 4 2" xfId="1900" xr:uid="{00000000-0005-0000-0000-00004D0C0000}"/>
    <cellStyle name="40% - Accent4 2 2 4 3" xfId="3178" xr:uid="{00000000-0005-0000-0000-00004E0C0000}"/>
    <cellStyle name="40% - Accent4 2 2 4 4" xfId="4465" xr:uid="{00000000-0005-0000-0000-00004F0C0000}"/>
    <cellStyle name="40% - Accent4 2 2 5" xfId="1034" xr:uid="{00000000-0005-0000-0000-0000500C0000}"/>
    <cellStyle name="40% - Accent4 2 2 5 2" xfId="2326" xr:uid="{00000000-0005-0000-0000-0000510C0000}"/>
    <cellStyle name="40% - Accent4 2 2 5 3" xfId="3604" xr:uid="{00000000-0005-0000-0000-0000520C0000}"/>
    <cellStyle name="40% - Accent4 2 2 5 4" xfId="4891" xr:uid="{00000000-0005-0000-0000-0000530C0000}"/>
    <cellStyle name="40% - Accent4 2 2 6" xfId="1474" xr:uid="{00000000-0005-0000-0000-0000540C0000}"/>
    <cellStyle name="40% - Accent4 2 2 7" xfId="2752" xr:uid="{00000000-0005-0000-0000-0000550C0000}"/>
    <cellStyle name="40% - Accent4 2 2 8" xfId="4039" xr:uid="{00000000-0005-0000-0000-0000560C0000}"/>
    <cellStyle name="40% - Accent4 2 2 9" xfId="5281" xr:uid="{00000000-0005-0000-0000-0000570C0000}"/>
    <cellStyle name="40% - Accent4 2 3" xfId="176" xr:uid="{00000000-0005-0000-0000-0000580C0000}"/>
    <cellStyle name="40% - Accent4 2 3 2" xfId="397" xr:uid="{00000000-0005-0000-0000-0000590C0000}"/>
    <cellStyle name="40% - Accent4 2 3 2 2" xfId="823" xr:uid="{00000000-0005-0000-0000-00005A0C0000}"/>
    <cellStyle name="40% - Accent4 2 3 2 2 2" xfId="2115" xr:uid="{00000000-0005-0000-0000-00005B0C0000}"/>
    <cellStyle name="40% - Accent4 2 3 2 2 3" xfId="3393" xr:uid="{00000000-0005-0000-0000-00005C0C0000}"/>
    <cellStyle name="40% - Accent4 2 3 2 2 4" xfId="4680" xr:uid="{00000000-0005-0000-0000-00005D0C0000}"/>
    <cellStyle name="40% - Accent4 2 3 2 3" xfId="1249" xr:uid="{00000000-0005-0000-0000-00005E0C0000}"/>
    <cellStyle name="40% - Accent4 2 3 2 3 2" xfId="2541" xr:uid="{00000000-0005-0000-0000-00005F0C0000}"/>
    <cellStyle name="40% - Accent4 2 3 2 3 3" xfId="3819" xr:uid="{00000000-0005-0000-0000-0000600C0000}"/>
    <cellStyle name="40% - Accent4 2 3 2 3 4" xfId="5106" xr:uid="{00000000-0005-0000-0000-0000610C0000}"/>
    <cellStyle name="40% - Accent4 2 3 2 4" xfId="1689" xr:uid="{00000000-0005-0000-0000-0000620C0000}"/>
    <cellStyle name="40% - Accent4 2 3 2 5" xfId="2967" xr:uid="{00000000-0005-0000-0000-0000630C0000}"/>
    <cellStyle name="40% - Accent4 2 3 2 6" xfId="4254" xr:uid="{00000000-0005-0000-0000-0000640C0000}"/>
    <cellStyle name="40% - Accent4 2 3 3" xfId="610" xr:uid="{00000000-0005-0000-0000-0000650C0000}"/>
    <cellStyle name="40% - Accent4 2 3 3 2" xfId="1902" xr:uid="{00000000-0005-0000-0000-0000660C0000}"/>
    <cellStyle name="40% - Accent4 2 3 3 3" xfId="3180" xr:uid="{00000000-0005-0000-0000-0000670C0000}"/>
    <cellStyle name="40% - Accent4 2 3 3 4" xfId="4467" xr:uid="{00000000-0005-0000-0000-0000680C0000}"/>
    <cellStyle name="40% - Accent4 2 3 4" xfId="1036" xr:uid="{00000000-0005-0000-0000-0000690C0000}"/>
    <cellStyle name="40% - Accent4 2 3 4 2" xfId="2328" xr:uid="{00000000-0005-0000-0000-00006A0C0000}"/>
    <cellStyle name="40% - Accent4 2 3 4 3" xfId="3606" xr:uid="{00000000-0005-0000-0000-00006B0C0000}"/>
    <cellStyle name="40% - Accent4 2 3 4 4" xfId="4893" xr:uid="{00000000-0005-0000-0000-00006C0C0000}"/>
    <cellStyle name="40% - Accent4 2 3 5" xfId="1476" xr:uid="{00000000-0005-0000-0000-00006D0C0000}"/>
    <cellStyle name="40% - Accent4 2 3 6" xfId="2754" xr:uid="{00000000-0005-0000-0000-00006E0C0000}"/>
    <cellStyle name="40% - Accent4 2 3 7" xfId="4041" xr:uid="{00000000-0005-0000-0000-00006F0C0000}"/>
    <cellStyle name="40% - Accent4 2 3 8" xfId="5283" xr:uid="{00000000-0005-0000-0000-0000700C0000}"/>
    <cellStyle name="40% - Accent4 2 4" xfId="177" xr:uid="{00000000-0005-0000-0000-0000710C0000}"/>
    <cellStyle name="40% - Accent4 2 4 2" xfId="398" xr:uid="{00000000-0005-0000-0000-0000720C0000}"/>
    <cellStyle name="40% - Accent4 2 4 2 2" xfId="824" xr:uid="{00000000-0005-0000-0000-0000730C0000}"/>
    <cellStyle name="40% - Accent4 2 4 2 2 2" xfId="2116" xr:uid="{00000000-0005-0000-0000-0000740C0000}"/>
    <cellStyle name="40% - Accent4 2 4 2 2 3" xfId="3394" xr:uid="{00000000-0005-0000-0000-0000750C0000}"/>
    <cellStyle name="40% - Accent4 2 4 2 2 4" xfId="4681" xr:uid="{00000000-0005-0000-0000-0000760C0000}"/>
    <cellStyle name="40% - Accent4 2 4 2 3" xfId="1250" xr:uid="{00000000-0005-0000-0000-0000770C0000}"/>
    <cellStyle name="40% - Accent4 2 4 2 3 2" xfId="2542" xr:uid="{00000000-0005-0000-0000-0000780C0000}"/>
    <cellStyle name="40% - Accent4 2 4 2 3 3" xfId="3820" xr:uid="{00000000-0005-0000-0000-0000790C0000}"/>
    <cellStyle name="40% - Accent4 2 4 2 3 4" xfId="5107" xr:uid="{00000000-0005-0000-0000-00007A0C0000}"/>
    <cellStyle name="40% - Accent4 2 4 2 4" xfId="1690" xr:uid="{00000000-0005-0000-0000-00007B0C0000}"/>
    <cellStyle name="40% - Accent4 2 4 2 5" xfId="2968" xr:uid="{00000000-0005-0000-0000-00007C0C0000}"/>
    <cellStyle name="40% - Accent4 2 4 2 6" xfId="4255" xr:uid="{00000000-0005-0000-0000-00007D0C0000}"/>
    <cellStyle name="40% - Accent4 2 4 3" xfId="611" xr:uid="{00000000-0005-0000-0000-00007E0C0000}"/>
    <cellStyle name="40% - Accent4 2 4 3 2" xfId="1903" xr:uid="{00000000-0005-0000-0000-00007F0C0000}"/>
    <cellStyle name="40% - Accent4 2 4 3 3" xfId="3181" xr:uid="{00000000-0005-0000-0000-0000800C0000}"/>
    <cellStyle name="40% - Accent4 2 4 3 4" xfId="4468" xr:uid="{00000000-0005-0000-0000-0000810C0000}"/>
    <cellStyle name="40% - Accent4 2 4 4" xfId="1037" xr:uid="{00000000-0005-0000-0000-0000820C0000}"/>
    <cellStyle name="40% - Accent4 2 4 4 2" xfId="2329" xr:uid="{00000000-0005-0000-0000-0000830C0000}"/>
    <cellStyle name="40% - Accent4 2 4 4 3" xfId="3607" xr:uid="{00000000-0005-0000-0000-0000840C0000}"/>
    <cellStyle name="40% - Accent4 2 4 4 4" xfId="4894" xr:uid="{00000000-0005-0000-0000-0000850C0000}"/>
    <cellStyle name="40% - Accent4 2 4 5" xfId="1477" xr:uid="{00000000-0005-0000-0000-0000860C0000}"/>
    <cellStyle name="40% - Accent4 2 4 6" xfId="2755" xr:uid="{00000000-0005-0000-0000-0000870C0000}"/>
    <cellStyle name="40% - Accent4 2 4 7" xfId="4042" xr:uid="{00000000-0005-0000-0000-0000880C0000}"/>
    <cellStyle name="40% - Accent4 2 5" xfId="178" xr:uid="{00000000-0005-0000-0000-0000890C0000}"/>
    <cellStyle name="40% - Accent4 2 5 2" xfId="399" xr:uid="{00000000-0005-0000-0000-00008A0C0000}"/>
    <cellStyle name="40% - Accent4 2 5 2 2" xfId="825" xr:uid="{00000000-0005-0000-0000-00008B0C0000}"/>
    <cellStyle name="40% - Accent4 2 5 2 2 2" xfId="2117" xr:uid="{00000000-0005-0000-0000-00008C0C0000}"/>
    <cellStyle name="40% - Accent4 2 5 2 2 3" xfId="3395" xr:uid="{00000000-0005-0000-0000-00008D0C0000}"/>
    <cellStyle name="40% - Accent4 2 5 2 2 4" xfId="4682" xr:uid="{00000000-0005-0000-0000-00008E0C0000}"/>
    <cellStyle name="40% - Accent4 2 5 2 3" xfId="1251" xr:uid="{00000000-0005-0000-0000-00008F0C0000}"/>
    <cellStyle name="40% - Accent4 2 5 2 3 2" xfId="2543" xr:uid="{00000000-0005-0000-0000-0000900C0000}"/>
    <cellStyle name="40% - Accent4 2 5 2 3 3" xfId="3821" xr:uid="{00000000-0005-0000-0000-0000910C0000}"/>
    <cellStyle name="40% - Accent4 2 5 2 3 4" xfId="5108" xr:uid="{00000000-0005-0000-0000-0000920C0000}"/>
    <cellStyle name="40% - Accent4 2 5 2 4" xfId="1691" xr:uid="{00000000-0005-0000-0000-0000930C0000}"/>
    <cellStyle name="40% - Accent4 2 5 2 5" xfId="2969" xr:uid="{00000000-0005-0000-0000-0000940C0000}"/>
    <cellStyle name="40% - Accent4 2 5 2 6" xfId="4256" xr:uid="{00000000-0005-0000-0000-0000950C0000}"/>
    <cellStyle name="40% - Accent4 2 5 3" xfId="612" xr:uid="{00000000-0005-0000-0000-0000960C0000}"/>
    <cellStyle name="40% - Accent4 2 5 3 2" xfId="1904" xr:uid="{00000000-0005-0000-0000-0000970C0000}"/>
    <cellStyle name="40% - Accent4 2 5 3 3" xfId="3182" xr:uid="{00000000-0005-0000-0000-0000980C0000}"/>
    <cellStyle name="40% - Accent4 2 5 3 4" xfId="4469" xr:uid="{00000000-0005-0000-0000-0000990C0000}"/>
    <cellStyle name="40% - Accent4 2 5 4" xfId="1038" xr:uid="{00000000-0005-0000-0000-00009A0C0000}"/>
    <cellStyle name="40% - Accent4 2 5 4 2" xfId="2330" xr:uid="{00000000-0005-0000-0000-00009B0C0000}"/>
    <cellStyle name="40% - Accent4 2 5 4 3" xfId="3608" xr:uid="{00000000-0005-0000-0000-00009C0C0000}"/>
    <cellStyle name="40% - Accent4 2 5 4 4" xfId="4895" xr:uid="{00000000-0005-0000-0000-00009D0C0000}"/>
    <cellStyle name="40% - Accent4 2 5 5" xfId="1478" xr:uid="{00000000-0005-0000-0000-00009E0C0000}"/>
    <cellStyle name="40% - Accent4 2 5 6" xfId="2756" xr:uid="{00000000-0005-0000-0000-00009F0C0000}"/>
    <cellStyle name="40% - Accent4 2 5 7" xfId="4043" xr:uid="{00000000-0005-0000-0000-0000A00C0000}"/>
    <cellStyle name="40% - Accent4 2 6" xfId="277" xr:uid="{00000000-0005-0000-0000-0000A10C0000}"/>
    <cellStyle name="40% - Accent4 2 6 2" xfId="490" xr:uid="{00000000-0005-0000-0000-0000A20C0000}"/>
    <cellStyle name="40% - Accent4 2 6 2 2" xfId="915" xr:uid="{00000000-0005-0000-0000-0000A30C0000}"/>
    <cellStyle name="40% - Accent4 2 6 2 2 2" xfId="2207" xr:uid="{00000000-0005-0000-0000-0000A40C0000}"/>
    <cellStyle name="40% - Accent4 2 6 2 2 3" xfId="3485" xr:uid="{00000000-0005-0000-0000-0000A50C0000}"/>
    <cellStyle name="40% - Accent4 2 6 2 2 4" xfId="4772" xr:uid="{00000000-0005-0000-0000-0000A60C0000}"/>
    <cellStyle name="40% - Accent4 2 6 2 3" xfId="1341" xr:uid="{00000000-0005-0000-0000-0000A70C0000}"/>
    <cellStyle name="40% - Accent4 2 6 2 3 2" xfId="2633" xr:uid="{00000000-0005-0000-0000-0000A80C0000}"/>
    <cellStyle name="40% - Accent4 2 6 2 3 3" xfId="3911" xr:uid="{00000000-0005-0000-0000-0000A90C0000}"/>
    <cellStyle name="40% - Accent4 2 6 2 3 4" xfId="5198" xr:uid="{00000000-0005-0000-0000-0000AA0C0000}"/>
    <cellStyle name="40% - Accent4 2 6 2 4" xfId="1781" xr:uid="{00000000-0005-0000-0000-0000AB0C0000}"/>
    <cellStyle name="40% - Accent4 2 6 2 5" xfId="3059" xr:uid="{00000000-0005-0000-0000-0000AC0C0000}"/>
    <cellStyle name="40% - Accent4 2 6 2 6" xfId="4346" xr:uid="{00000000-0005-0000-0000-0000AD0C0000}"/>
    <cellStyle name="40% - Accent4 2 6 3" xfId="702" xr:uid="{00000000-0005-0000-0000-0000AE0C0000}"/>
    <cellStyle name="40% - Accent4 2 6 3 2" xfId="1994" xr:uid="{00000000-0005-0000-0000-0000AF0C0000}"/>
    <cellStyle name="40% - Accent4 2 6 3 3" xfId="3272" xr:uid="{00000000-0005-0000-0000-0000B00C0000}"/>
    <cellStyle name="40% - Accent4 2 6 3 4" xfId="4559" xr:uid="{00000000-0005-0000-0000-0000B10C0000}"/>
    <cellStyle name="40% - Accent4 2 6 4" xfId="1128" xr:uid="{00000000-0005-0000-0000-0000B20C0000}"/>
    <cellStyle name="40% - Accent4 2 6 4 2" xfId="2420" xr:uid="{00000000-0005-0000-0000-0000B30C0000}"/>
    <cellStyle name="40% - Accent4 2 6 4 3" xfId="3698" xr:uid="{00000000-0005-0000-0000-0000B40C0000}"/>
    <cellStyle name="40% - Accent4 2 6 4 4" xfId="4985" xr:uid="{00000000-0005-0000-0000-0000B50C0000}"/>
    <cellStyle name="40% - Accent4 2 6 5" xfId="1568" xr:uid="{00000000-0005-0000-0000-0000B60C0000}"/>
    <cellStyle name="40% - Accent4 2 6 6" xfId="2846" xr:uid="{00000000-0005-0000-0000-0000B70C0000}"/>
    <cellStyle name="40% - Accent4 2 6 7" xfId="4133" xr:uid="{00000000-0005-0000-0000-0000B80C0000}"/>
    <cellStyle name="40% - Accent4 2 7" xfId="394" xr:uid="{00000000-0005-0000-0000-0000B90C0000}"/>
    <cellStyle name="40% - Accent4 2 7 2" xfId="820" xr:uid="{00000000-0005-0000-0000-0000BA0C0000}"/>
    <cellStyle name="40% - Accent4 2 7 2 2" xfId="2112" xr:uid="{00000000-0005-0000-0000-0000BB0C0000}"/>
    <cellStyle name="40% - Accent4 2 7 2 3" xfId="3390" xr:uid="{00000000-0005-0000-0000-0000BC0C0000}"/>
    <cellStyle name="40% - Accent4 2 7 2 4" xfId="4677" xr:uid="{00000000-0005-0000-0000-0000BD0C0000}"/>
    <cellStyle name="40% - Accent4 2 7 3" xfId="1246" xr:uid="{00000000-0005-0000-0000-0000BE0C0000}"/>
    <cellStyle name="40% - Accent4 2 7 3 2" xfId="2538" xr:uid="{00000000-0005-0000-0000-0000BF0C0000}"/>
    <cellStyle name="40% - Accent4 2 7 3 3" xfId="3816" xr:uid="{00000000-0005-0000-0000-0000C00C0000}"/>
    <cellStyle name="40% - Accent4 2 7 3 4" xfId="5103" xr:uid="{00000000-0005-0000-0000-0000C10C0000}"/>
    <cellStyle name="40% - Accent4 2 7 4" xfId="1686" xr:uid="{00000000-0005-0000-0000-0000C20C0000}"/>
    <cellStyle name="40% - Accent4 2 7 5" xfId="2964" xr:uid="{00000000-0005-0000-0000-0000C30C0000}"/>
    <cellStyle name="40% - Accent4 2 7 6" xfId="4251" xr:uid="{00000000-0005-0000-0000-0000C40C0000}"/>
    <cellStyle name="40% - Accent4 2 8" xfId="607" xr:uid="{00000000-0005-0000-0000-0000C50C0000}"/>
    <cellStyle name="40% - Accent4 2 8 2" xfId="1899" xr:uid="{00000000-0005-0000-0000-0000C60C0000}"/>
    <cellStyle name="40% - Accent4 2 8 3" xfId="3177" xr:uid="{00000000-0005-0000-0000-0000C70C0000}"/>
    <cellStyle name="40% - Accent4 2 8 4" xfId="4464" xr:uid="{00000000-0005-0000-0000-0000C80C0000}"/>
    <cellStyle name="40% - Accent4 2 9" xfId="1033" xr:uid="{00000000-0005-0000-0000-0000C90C0000}"/>
    <cellStyle name="40% - Accent4 2 9 2" xfId="2325" xr:uid="{00000000-0005-0000-0000-0000CA0C0000}"/>
    <cellStyle name="40% - Accent4 2 9 3" xfId="3603" xr:uid="{00000000-0005-0000-0000-0000CB0C0000}"/>
    <cellStyle name="40% - Accent4 2 9 4" xfId="4890" xr:uid="{00000000-0005-0000-0000-0000CC0C0000}"/>
    <cellStyle name="40% - Accent4 3" xfId="179" xr:uid="{00000000-0005-0000-0000-0000CD0C0000}"/>
    <cellStyle name="40% - Accent4 3 2" xfId="180" xr:uid="{00000000-0005-0000-0000-0000CE0C0000}"/>
    <cellStyle name="40% - Accent4 3 2 2" xfId="401" xr:uid="{00000000-0005-0000-0000-0000CF0C0000}"/>
    <cellStyle name="40% - Accent4 3 2 2 2" xfId="827" xr:uid="{00000000-0005-0000-0000-0000D00C0000}"/>
    <cellStyle name="40% - Accent4 3 2 2 2 2" xfId="2119" xr:uid="{00000000-0005-0000-0000-0000D10C0000}"/>
    <cellStyle name="40% - Accent4 3 2 2 2 3" xfId="3397" xr:uid="{00000000-0005-0000-0000-0000D20C0000}"/>
    <cellStyle name="40% - Accent4 3 2 2 2 4" xfId="4684" xr:uid="{00000000-0005-0000-0000-0000D30C0000}"/>
    <cellStyle name="40% - Accent4 3 2 2 3" xfId="1253" xr:uid="{00000000-0005-0000-0000-0000D40C0000}"/>
    <cellStyle name="40% - Accent4 3 2 2 3 2" xfId="2545" xr:uid="{00000000-0005-0000-0000-0000D50C0000}"/>
    <cellStyle name="40% - Accent4 3 2 2 3 3" xfId="3823" xr:uid="{00000000-0005-0000-0000-0000D60C0000}"/>
    <cellStyle name="40% - Accent4 3 2 2 3 4" xfId="5110" xr:uid="{00000000-0005-0000-0000-0000D70C0000}"/>
    <cellStyle name="40% - Accent4 3 2 2 4" xfId="1693" xr:uid="{00000000-0005-0000-0000-0000D80C0000}"/>
    <cellStyle name="40% - Accent4 3 2 2 5" xfId="2971" xr:uid="{00000000-0005-0000-0000-0000D90C0000}"/>
    <cellStyle name="40% - Accent4 3 2 2 6" xfId="4258" xr:uid="{00000000-0005-0000-0000-0000DA0C0000}"/>
    <cellStyle name="40% - Accent4 3 2 3" xfId="614" xr:uid="{00000000-0005-0000-0000-0000DB0C0000}"/>
    <cellStyle name="40% - Accent4 3 2 3 2" xfId="1906" xr:uid="{00000000-0005-0000-0000-0000DC0C0000}"/>
    <cellStyle name="40% - Accent4 3 2 3 3" xfId="3184" xr:uid="{00000000-0005-0000-0000-0000DD0C0000}"/>
    <cellStyle name="40% - Accent4 3 2 3 4" xfId="4471" xr:uid="{00000000-0005-0000-0000-0000DE0C0000}"/>
    <cellStyle name="40% - Accent4 3 2 4" xfId="1040" xr:uid="{00000000-0005-0000-0000-0000DF0C0000}"/>
    <cellStyle name="40% - Accent4 3 2 4 2" xfId="2332" xr:uid="{00000000-0005-0000-0000-0000E00C0000}"/>
    <cellStyle name="40% - Accent4 3 2 4 3" xfId="3610" xr:uid="{00000000-0005-0000-0000-0000E10C0000}"/>
    <cellStyle name="40% - Accent4 3 2 4 4" xfId="4897" xr:uid="{00000000-0005-0000-0000-0000E20C0000}"/>
    <cellStyle name="40% - Accent4 3 2 5" xfId="1480" xr:uid="{00000000-0005-0000-0000-0000E30C0000}"/>
    <cellStyle name="40% - Accent4 3 2 6" xfId="2758" xr:uid="{00000000-0005-0000-0000-0000E40C0000}"/>
    <cellStyle name="40% - Accent4 3 2 7" xfId="4045" xr:uid="{00000000-0005-0000-0000-0000E50C0000}"/>
    <cellStyle name="40% - Accent4 3 2 8" xfId="5285" xr:uid="{00000000-0005-0000-0000-0000E60C0000}"/>
    <cellStyle name="40% - Accent4 3 3" xfId="400" xr:uid="{00000000-0005-0000-0000-0000E70C0000}"/>
    <cellStyle name="40% - Accent4 3 3 2" xfId="826" xr:uid="{00000000-0005-0000-0000-0000E80C0000}"/>
    <cellStyle name="40% - Accent4 3 3 2 2" xfId="2118" xr:uid="{00000000-0005-0000-0000-0000E90C0000}"/>
    <cellStyle name="40% - Accent4 3 3 2 3" xfId="3396" xr:uid="{00000000-0005-0000-0000-0000EA0C0000}"/>
    <cellStyle name="40% - Accent4 3 3 2 4" xfId="4683" xr:uid="{00000000-0005-0000-0000-0000EB0C0000}"/>
    <cellStyle name="40% - Accent4 3 3 3" xfId="1252" xr:uid="{00000000-0005-0000-0000-0000EC0C0000}"/>
    <cellStyle name="40% - Accent4 3 3 3 2" xfId="2544" xr:uid="{00000000-0005-0000-0000-0000ED0C0000}"/>
    <cellStyle name="40% - Accent4 3 3 3 3" xfId="3822" xr:uid="{00000000-0005-0000-0000-0000EE0C0000}"/>
    <cellStyle name="40% - Accent4 3 3 3 4" xfId="5109" xr:uid="{00000000-0005-0000-0000-0000EF0C0000}"/>
    <cellStyle name="40% - Accent4 3 3 4" xfId="1692" xr:uid="{00000000-0005-0000-0000-0000F00C0000}"/>
    <cellStyle name="40% - Accent4 3 3 5" xfId="2970" xr:uid="{00000000-0005-0000-0000-0000F10C0000}"/>
    <cellStyle name="40% - Accent4 3 3 6" xfId="4257" xr:uid="{00000000-0005-0000-0000-0000F20C0000}"/>
    <cellStyle name="40% - Accent4 3 4" xfId="613" xr:uid="{00000000-0005-0000-0000-0000F30C0000}"/>
    <cellStyle name="40% - Accent4 3 4 2" xfId="1905" xr:uid="{00000000-0005-0000-0000-0000F40C0000}"/>
    <cellStyle name="40% - Accent4 3 4 3" xfId="3183" xr:uid="{00000000-0005-0000-0000-0000F50C0000}"/>
    <cellStyle name="40% - Accent4 3 4 4" xfId="4470" xr:uid="{00000000-0005-0000-0000-0000F60C0000}"/>
    <cellStyle name="40% - Accent4 3 5" xfId="1039" xr:uid="{00000000-0005-0000-0000-0000F70C0000}"/>
    <cellStyle name="40% - Accent4 3 5 2" xfId="2331" xr:uid="{00000000-0005-0000-0000-0000F80C0000}"/>
    <cellStyle name="40% - Accent4 3 5 3" xfId="3609" xr:uid="{00000000-0005-0000-0000-0000F90C0000}"/>
    <cellStyle name="40% - Accent4 3 5 4" xfId="4896" xr:uid="{00000000-0005-0000-0000-0000FA0C0000}"/>
    <cellStyle name="40% - Accent4 3 6" xfId="1479" xr:uid="{00000000-0005-0000-0000-0000FB0C0000}"/>
    <cellStyle name="40% - Accent4 3 7" xfId="2757" xr:uid="{00000000-0005-0000-0000-0000FC0C0000}"/>
    <cellStyle name="40% - Accent4 3 8" xfId="4044" xr:uid="{00000000-0005-0000-0000-0000FD0C0000}"/>
    <cellStyle name="40% - Accent4 3 9" xfId="5284" xr:uid="{00000000-0005-0000-0000-0000FE0C0000}"/>
    <cellStyle name="40% - Accent4 4" xfId="181" xr:uid="{00000000-0005-0000-0000-0000FF0C0000}"/>
    <cellStyle name="40% - Accent4 4 2" xfId="402" xr:uid="{00000000-0005-0000-0000-0000000D0000}"/>
    <cellStyle name="40% - Accent4 4 2 2" xfId="828" xr:uid="{00000000-0005-0000-0000-0000010D0000}"/>
    <cellStyle name="40% - Accent4 4 2 2 2" xfId="2120" xr:uid="{00000000-0005-0000-0000-0000020D0000}"/>
    <cellStyle name="40% - Accent4 4 2 2 3" xfId="3398" xr:uid="{00000000-0005-0000-0000-0000030D0000}"/>
    <cellStyle name="40% - Accent4 4 2 2 4" xfId="4685" xr:uid="{00000000-0005-0000-0000-0000040D0000}"/>
    <cellStyle name="40% - Accent4 4 2 3" xfId="1254" xr:uid="{00000000-0005-0000-0000-0000050D0000}"/>
    <cellStyle name="40% - Accent4 4 2 3 2" xfId="2546" xr:uid="{00000000-0005-0000-0000-0000060D0000}"/>
    <cellStyle name="40% - Accent4 4 2 3 3" xfId="3824" xr:uid="{00000000-0005-0000-0000-0000070D0000}"/>
    <cellStyle name="40% - Accent4 4 2 3 4" xfId="5111" xr:uid="{00000000-0005-0000-0000-0000080D0000}"/>
    <cellStyle name="40% - Accent4 4 2 4" xfId="1694" xr:uid="{00000000-0005-0000-0000-0000090D0000}"/>
    <cellStyle name="40% - Accent4 4 2 5" xfId="2972" xr:uid="{00000000-0005-0000-0000-00000A0D0000}"/>
    <cellStyle name="40% - Accent4 4 2 6" xfId="4259" xr:uid="{00000000-0005-0000-0000-00000B0D0000}"/>
    <cellStyle name="40% - Accent4 4 3" xfId="615" xr:uid="{00000000-0005-0000-0000-00000C0D0000}"/>
    <cellStyle name="40% - Accent4 4 3 2" xfId="1907" xr:uid="{00000000-0005-0000-0000-00000D0D0000}"/>
    <cellStyle name="40% - Accent4 4 3 3" xfId="3185" xr:uid="{00000000-0005-0000-0000-00000E0D0000}"/>
    <cellStyle name="40% - Accent4 4 3 4" xfId="4472" xr:uid="{00000000-0005-0000-0000-00000F0D0000}"/>
    <cellStyle name="40% - Accent4 4 4" xfId="1041" xr:uid="{00000000-0005-0000-0000-0000100D0000}"/>
    <cellStyle name="40% - Accent4 4 4 2" xfId="2333" xr:uid="{00000000-0005-0000-0000-0000110D0000}"/>
    <cellStyle name="40% - Accent4 4 4 3" xfId="3611" xr:uid="{00000000-0005-0000-0000-0000120D0000}"/>
    <cellStyle name="40% - Accent4 4 4 4" xfId="4898" xr:uid="{00000000-0005-0000-0000-0000130D0000}"/>
    <cellStyle name="40% - Accent4 4 5" xfId="1481" xr:uid="{00000000-0005-0000-0000-0000140D0000}"/>
    <cellStyle name="40% - Accent4 4 6" xfId="2759" xr:uid="{00000000-0005-0000-0000-0000150D0000}"/>
    <cellStyle name="40% - Accent4 4 7" xfId="4046" xr:uid="{00000000-0005-0000-0000-0000160D0000}"/>
    <cellStyle name="40% - Accent4 4 8" xfId="5286" xr:uid="{00000000-0005-0000-0000-0000170D0000}"/>
    <cellStyle name="40% - Accent4 5" xfId="182" xr:uid="{00000000-0005-0000-0000-0000180D0000}"/>
    <cellStyle name="40% - Accent4 5 2" xfId="403" xr:uid="{00000000-0005-0000-0000-0000190D0000}"/>
    <cellStyle name="40% - Accent4 5 2 2" xfId="829" xr:uid="{00000000-0005-0000-0000-00001A0D0000}"/>
    <cellStyle name="40% - Accent4 5 2 2 2" xfId="2121" xr:uid="{00000000-0005-0000-0000-00001B0D0000}"/>
    <cellStyle name="40% - Accent4 5 2 2 3" xfId="3399" xr:uid="{00000000-0005-0000-0000-00001C0D0000}"/>
    <cellStyle name="40% - Accent4 5 2 2 4" xfId="4686" xr:uid="{00000000-0005-0000-0000-00001D0D0000}"/>
    <cellStyle name="40% - Accent4 5 2 3" xfId="1255" xr:uid="{00000000-0005-0000-0000-00001E0D0000}"/>
    <cellStyle name="40% - Accent4 5 2 3 2" xfId="2547" xr:uid="{00000000-0005-0000-0000-00001F0D0000}"/>
    <cellStyle name="40% - Accent4 5 2 3 3" xfId="3825" xr:uid="{00000000-0005-0000-0000-0000200D0000}"/>
    <cellStyle name="40% - Accent4 5 2 3 4" xfId="5112" xr:uid="{00000000-0005-0000-0000-0000210D0000}"/>
    <cellStyle name="40% - Accent4 5 2 4" xfId="1695" xr:uid="{00000000-0005-0000-0000-0000220D0000}"/>
    <cellStyle name="40% - Accent4 5 2 5" xfId="2973" xr:uid="{00000000-0005-0000-0000-0000230D0000}"/>
    <cellStyle name="40% - Accent4 5 2 6" xfId="4260" xr:uid="{00000000-0005-0000-0000-0000240D0000}"/>
    <cellStyle name="40% - Accent4 5 3" xfId="616" xr:uid="{00000000-0005-0000-0000-0000250D0000}"/>
    <cellStyle name="40% - Accent4 5 3 2" xfId="1908" xr:uid="{00000000-0005-0000-0000-0000260D0000}"/>
    <cellStyle name="40% - Accent4 5 3 3" xfId="3186" xr:uid="{00000000-0005-0000-0000-0000270D0000}"/>
    <cellStyle name="40% - Accent4 5 3 4" xfId="4473" xr:uid="{00000000-0005-0000-0000-0000280D0000}"/>
    <cellStyle name="40% - Accent4 5 4" xfId="1042" xr:uid="{00000000-0005-0000-0000-0000290D0000}"/>
    <cellStyle name="40% - Accent4 5 4 2" xfId="2334" xr:uid="{00000000-0005-0000-0000-00002A0D0000}"/>
    <cellStyle name="40% - Accent4 5 4 3" xfId="3612" xr:uid="{00000000-0005-0000-0000-00002B0D0000}"/>
    <cellStyle name="40% - Accent4 5 4 4" xfId="4899" xr:uid="{00000000-0005-0000-0000-00002C0D0000}"/>
    <cellStyle name="40% - Accent4 5 5" xfId="1482" xr:uid="{00000000-0005-0000-0000-00002D0D0000}"/>
    <cellStyle name="40% - Accent4 5 6" xfId="2760" xr:uid="{00000000-0005-0000-0000-00002E0D0000}"/>
    <cellStyle name="40% - Accent4 5 7" xfId="4047" xr:uid="{00000000-0005-0000-0000-00002F0D0000}"/>
    <cellStyle name="40% - Accent4 6" xfId="183" xr:uid="{00000000-0005-0000-0000-0000300D0000}"/>
    <cellStyle name="40% - Accent4 6 2" xfId="404" xr:uid="{00000000-0005-0000-0000-0000310D0000}"/>
    <cellStyle name="40% - Accent4 6 2 2" xfId="830" xr:uid="{00000000-0005-0000-0000-0000320D0000}"/>
    <cellStyle name="40% - Accent4 6 2 2 2" xfId="2122" xr:uid="{00000000-0005-0000-0000-0000330D0000}"/>
    <cellStyle name="40% - Accent4 6 2 2 3" xfId="3400" xr:uid="{00000000-0005-0000-0000-0000340D0000}"/>
    <cellStyle name="40% - Accent4 6 2 2 4" xfId="4687" xr:uid="{00000000-0005-0000-0000-0000350D0000}"/>
    <cellStyle name="40% - Accent4 6 2 3" xfId="1256" xr:uid="{00000000-0005-0000-0000-0000360D0000}"/>
    <cellStyle name="40% - Accent4 6 2 3 2" xfId="2548" xr:uid="{00000000-0005-0000-0000-0000370D0000}"/>
    <cellStyle name="40% - Accent4 6 2 3 3" xfId="3826" xr:uid="{00000000-0005-0000-0000-0000380D0000}"/>
    <cellStyle name="40% - Accent4 6 2 3 4" xfId="5113" xr:uid="{00000000-0005-0000-0000-0000390D0000}"/>
    <cellStyle name="40% - Accent4 6 2 4" xfId="1696" xr:uid="{00000000-0005-0000-0000-00003A0D0000}"/>
    <cellStyle name="40% - Accent4 6 2 5" xfId="2974" xr:uid="{00000000-0005-0000-0000-00003B0D0000}"/>
    <cellStyle name="40% - Accent4 6 2 6" xfId="4261" xr:uid="{00000000-0005-0000-0000-00003C0D0000}"/>
    <cellStyle name="40% - Accent4 6 3" xfId="617" xr:uid="{00000000-0005-0000-0000-00003D0D0000}"/>
    <cellStyle name="40% - Accent4 6 3 2" xfId="1909" xr:uid="{00000000-0005-0000-0000-00003E0D0000}"/>
    <cellStyle name="40% - Accent4 6 3 3" xfId="3187" xr:uid="{00000000-0005-0000-0000-00003F0D0000}"/>
    <cellStyle name="40% - Accent4 6 3 4" xfId="4474" xr:uid="{00000000-0005-0000-0000-0000400D0000}"/>
    <cellStyle name="40% - Accent4 6 4" xfId="1043" xr:uid="{00000000-0005-0000-0000-0000410D0000}"/>
    <cellStyle name="40% - Accent4 6 4 2" xfId="2335" xr:uid="{00000000-0005-0000-0000-0000420D0000}"/>
    <cellStyle name="40% - Accent4 6 4 3" xfId="3613" xr:uid="{00000000-0005-0000-0000-0000430D0000}"/>
    <cellStyle name="40% - Accent4 6 4 4" xfId="4900" xr:uid="{00000000-0005-0000-0000-0000440D0000}"/>
    <cellStyle name="40% - Accent4 6 5" xfId="1483" xr:uid="{00000000-0005-0000-0000-0000450D0000}"/>
    <cellStyle name="40% - Accent4 6 6" xfId="2761" xr:uid="{00000000-0005-0000-0000-0000460D0000}"/>
    <cellStyle name="40% - Accent4 6 7" xfId="4048" xr:uid="{00000000-0005-0000-0000-0000470D0000}"/>
    <cellStyle name="40% - Accent4 7" xfId="264" xr:uid="{00000000-0005-0000-0000-0000480D0000}"/>
    <cellStyle name="40% - Accent4 7 2" xfId="477" xr:uid="{00000000-0005-0000-0000-0000490D0000}"/>
    <cellStyle name="40% - Accent4 7 2 2" xfId="902" xr:uid="{00000000-0005-0000-0000-00004A0D0000}"/>
    <cellStyle name="40% - Accent4 7 2 2 2" xfId="2194" xr:uid="{00000000-0005-0000-0000-00004B0D0000}"/>
    <cellStyle name="40% - Accent4 7 2 2 3" xfId="3472" xr:uid="{00000000-0005-0000-0000-00004C0D0000}"/>
    <cellStyle name="40% - Accent4 7 2 2 4" xfId="4759" xr:uid="{00000000-0005-0000-0000-00004D0D0000}"/>
    <cellStyle name="40% - Accent4 7 2 3" xfId="1328" xr:uid="{00000000-0005-0000-0000-00004E0D0000}"/>
    <cellStyle name="40% - Accent4 7 2 3 2" xfId="2620" xr:uid="{00000000-0005-0000-0000-00004F0D0000}"/>
    <cellStyle name="40% - Accent4 7 2 3 3" xfId="3898" xr:uid="{00000000-0005-0000-0000-0000500D0000}"/>
    <cellStyle name="40% - Accent4 7 2 3 4" xfId="5185" xr:uid="{00000000-0005-0000-0000-0000510D0000}"/>
    <cellStyle name="40% - Accent4 7 2 4" xfId="1768" xr:uid="{00000000-0005-0000-0000-0000520D0000}"/>
    <cellStyle name="40% - Accent4 7 2 5" xfId="3046" xr:uid="{00000000-0005-0000-0000-0000530D0000}"/>
    <cellStyle name="40% - Accent4 7 2 6" xfId="4333" xr:uid="{00000000-0005-0000-0000-0000540D0000}"/>
    <cellStyle name="40% - Accent4 7 3" xfId="689" xr:uid="{00000000-0005-0000-0000-0000550D0000}"/>
    <cellStyle name="40% - Accent4 7 3 2" xfId="1981" xr:uid="{00000000-0005-0000-0000-0000560D0000}"/>
    <cellStyle name="40% - Accent4 7 3 3" xfId="3259" xr:uid="{00000000-0005-0000-0000-0000570D0000}"/>
    <cellStyle name="40% - Accent4 7 3 4" xfId="4546" xr:uid="{00000000-0005-0000-0000-0000580D0000}"/>
    <cellStyle name="40% - Accent4 7 4" xfId="1115" xr:uid="{00000000-0005-0000-0000-0000590D0000}"/>
    <cellStyle name="40% - Accent4 7 4 2" xfId="2407" xr:uid="{00000000-0005-0000-0000-00005A0D0000}"/>
    <cellStyle name="40% - Accent4 7 4 3" xfId="3685" xr:uid="{00000000-0005-0000-0000-00005B0D0000}"/>
    <cellStyle name="40% - Accent4 7 4 4" xfId="4972" xr:uid="{00000000-0005-0000-0000-00005C0D0000}"/>
    <cellStyle name="40% - Accent4 7 5" xfId="1555" xr:uid="{00000000-0005-0000-0000-00005D0D0000}"/>
    <cellStyle name="40% - Accent4 7 6" xfId="2833" xr:uid="{00000000-0005-0000-0000-00005E0D0000}"/>
    <cellStyle name="40% - Accent4 7 7" xfId="4120" xr:uid="{00000000-0005-0000-0000-00005F0D0000}"/>
    <cellStyle name="40% - Accent4 8" xfId="393" xr:uid="{00000000-0005-0000-0000-0000600D0000}"/>
    <cellStyle name="40% - Accent4 8 2" xfId="819" xr:uid="{00000000-0005-0000-0000-0000610D0000}"/>
    <cellStyle name="40% - Accent4 8 2 2" xfId="2111" xr:uid="{00000000-0005-0000-0000-0000620D0000}"/>
    <cellStyle name="40% - Accent4 8 2 3" xfId="3389" xr:uid="{00000000-0005-0000-0000-0000630D0000}"/>
    <cellStyle name="40% - Accent4 8 2 4" xfId="4676" xr:uid="{00000000-0005-0000-0000-0000640D0000}"/>
    <cellStyle name="40% - Accent4 8 3" xfId="1245" xr:uid="{00000000-0005-0000-0000-0000650D0000}"/>
    <cellStyle name="40% - Accent4 8 3 2" xfId="2537" xr:uid="{00000000-0005-0000-0000-0000660D0000}"/>
    <cellStyle name="40% - Accent4 8 3 3" xfId="3815" xr:uid="{00000000-0005-0000-0000-0000670D0000}"/>
    <cellStyle name="40% - Accent4 8 3 4" xfId="5102" xr:uid="{00000000-0005-0000-0000-0000680D0000}"/>
    <cellStyle name="40% - Accent4 8 4" xfId="1685" xr:uid="{00000000-0005-0000-0000-0000690D0000}"/>
    <cellStyle name="40% - Accent4 8 5" xfId="2963" xr:uid="{00000000-0005-0000-0000-00006A0D0000}"/>
    <cellStyle name="40% - Accent4 8 6" xfId="4250" xr:uid="{00000000-0005-0000-0000-00006B0D0000}"/>
    <cellStyle name="40% - Accent4 9" xfId="606" xr:uid="{00000000-0005-0000-0000-00006C0D0000}"/>
    <cellStyle name="40% - Accent4 9 2" xfId="1898" xr:uid="{00000000-0005-0000-0000-00006D0D0000}"/>
    <cellStyle name="40% - Accent4 9 3" xfId="3176" xr:uid="{00000000-0005-0000-0000-00006E0D0000}"/>
    <cellStyle name="40% - Accent4 9 4" xfId="4463" xr:uid="{00000000-0005-0000-0000-00006F0D0000}"/>
    <cellStyle name="40% - Accent5" xfId="75" builtinId="47" customBuiltin="1"/>
    <cellStyle name="40% - Accent5 10" xfId="1044" xr:uid="{00000000-0005-0000-0000-0000710D0000}"/>
    <cellStyle name="40% - Accent5 10 2" xfId="2336" xr:uid="{00000000-0005-0000-0000-0000720D0000}"/>
    <cellStyle name="40% - Accent5 10 3" xfId="3614" xr:uid="{00000000-0005-0000-0000-0000730D0000}"/>
    <cellStyle name="40% - Accent5 10 4" xfId="4901" xr:uid="{00000000-0005-0000-0000-0000740D0000}"/>
    <cellStyle name="40% - Accent5 11" xfId="1484" xr:uid="{00000000-0005-0000-0000-0000750D0000}"/>
    <cellStyle name="40% - Accent5 12" xfId="2762" xr:uid="{00000000-0005-0000-0000-0000760D0000}"/>
    <cellStyle name="40% - Accent5 13" xfId="4049" xr:uid="{00000000-0005-0000-0000-0000770D0000}"/>
    <cellStyle name="40% - Accent5 14" xfId="5287" xr:uid="{00000000-0005-0000-0000-0000780D0000}"/>
    <cellStyle name="40% - Accent5 2" xfId="20" xr:uid="{00000000-0005-0000-0000-0000790D0000}"/>
    <cellStyle name="40% - Accent5 2 10" xfId="1485" xr:uid="{00000000-0005-0000-0000-00007A0D0000}"/>
    <cellStyle name="40% - Accent5 2 11" xfId="2763" xr:uid="{00000000-0005-0000-0000-00007B0D0000}"/>
    <cellStyle name="40% - Accent5 2 12" xfId="4050" xr:uid="{00000000-0005-0000-0000-00007C0D0000}"/>
    <cellStyle name="40% - Accent5 2 13" xfId="5288" xr:uid="{00000000-0005-0000-0000-00007D0D0000}"/>
    <cellStyle name="40% - Accent5 2 2" xfId="184" xr:uid="{00000000-0005-0000-0000-00007E0D0000}"/>
    <cellStyle name="40% - Accent5 2 2 2" xfId="185" xr:uid="{00000000-0005-0000-0000-00007F0D0000}"/>
    <cellStyle name="40% - Accent5 2 2 2 2" xfId="408" xr:uid="{00000000-0005-0000-0000-0000800D0000}"/>
    <cellStyle name="40% - Accent5 2 2 2 2 2" xfId="834" xr:uid="{00000000-0005-0000-0000-0000810D0000}"/>
    <cellStyle name="40% - Accent5 2 2 2 2 2 2" xfId="2126" xr:uid="{00000000-0005-0000-0000-0000820D0000}"/>
    <cellStyle name="40% - Accent5 2 2 2 2 2 3" xfId="3404" xr:uid="{00000000-0005-0000-0000-0000830D0000}"/>
    <cellStyle name="40% - Accent5 2 2 2 2 2 4" xfId="4691" xr:uid="{00000000-0005-0000-0000-0000840D0000}"/>
    <cellStyle name="40% - Accent5 2 2 2 2 3" xfId="1260" xr:uid="{00000000-0005-0000-0000-0000850D0000}"/>
    <cellStyle name="40% - Accent5 2 2 2 2 3 2" xfId="2552" xr:uid="{00000000-0005-0000-0000-0000860D0000}"/>
    <cellStyle name="40% - Accent5 2 2 2 2 3 3" xfId="3830" xr:uid="{00000000-0005-0000-0000-0000870D0000}"/>
    <cellStyle name="40% - Accent5 2 2 2 2 3 4" xfId="5117" xr:uid="{00000000-0005-0000-0000-0000880D0000}"/>
    <cellStyle name="40% - Accent5 2 2 2 2 4" xfId="1700" xr:uid="{00000000-0005-0000-0000-0000890D0000}"/>
    <cellStyle name="40% - Accent5 2 2 2 2 5" xfId="2978" xr:uid="{00000000-0005-0000-0000-00008A0D0000}"/>
    <cellStyle name="40% - Accent5 2 2 2 2 6" xfId="4265" xr:uid="{00000000-0005-0000-0000-00008B0D0000}"/>
    <cellStyle name="40% - Accent5 2 2 2 3" xfId="621" xr:uid="{00000000-0005-0000-0000-00008C0D0000}"/>
    <cellStyle name="40% - Accent5 2 2 2 3 2" xfId="1913" xr:uid="{00000000-0005-0000-0000-00008D0D0000}"/>
    <cellStyle name="40% - Accent5 2 2 2 3 3" xfId="3191" xr:uid="{00000000-0005-0000-0000-00008E0D0000}"/>
    <cellStyle name="40% - Accent5 2 2 2 3 4" xfId="4478" xr:uid="{00000000-0005-0000-0000-00008F0D0000}"/>
    <cellStyle name="40% - Accent5 2 2 2 4" xfId="1047" xr:uid="{00000000-0005-0000-0000-0000900D0000}"/>
    <cellStyle name="40% - Accent5 2 2 2 4 2" xfId="2339" xr:uid="{00000000-0005-0000-0000-0000910D0000}"/>
    <cellStyle name="40% - Accent5 2 2 2 4 3" xfId="3617" xr:uid="{00000000-0005-0000-0000-0000920D0000}"/>
    <cellStyle name="40% - Accent5 2 2 2 4 4" xfId="4904" xr:uid="{00000000-0005-0000-0000-0000930D0000}"/>
    <cellStyle name="40% - Accent5 2 2 2 5" xfId="1487" xr:uid="{00000000-0005-0000-0000-0000940D0000}"/>
    <cellStyle name="40% - Accent5 2 2 2 6" xfId="2765" xr:uid="{00000000-0005-0000-0000-0000950D0000}"/>
    <cellStyle name="40% - Accent5 2 2 2 7" xfId="4052" xr:uid="{00000000-0005-0000-0000-0000960D0000}"/>
    <cellStyle name="40% - Accent5 2 2 2 8" xfId="5290" xr:uid="{00000000-0005-0000-0000-0000970D0000}"/>
    <cellStyle name="40% - Accent5 2 2 3" xfId="407" xr:uid="{00000000-0005-0000-0000-0000980D0000}"/>
    <cellStyle name="40% - Accent5 2 2 3 2" xfId="833" xr:uid="{00000000-0005-0000-0000-0000990D0000}"/>
    <cellStyle name="40% - Accent5 2 2 3 2 2" xfId="2125" xr:uid="{00000000-0005-0000-0000-00009A0D0000}"/>
    <cellStyle name="40% - Accent5 2 2 3 2 3" xfId="3403" xr:uid="{00000000-0005-0000-0000-00009B0D0000}"/>
    <cellStyle name="40% - Accent5 2 2 3 2 4" xfId="4690" xr:uid="{00000000-0005-0000-0000-00009C0D0000}"/>
    <cellStyle name="40% - Accent5 2 2 3 3" xfId="1259" xr:uid="{00000000-0005-0000-0000-00009D0D0000}"/>
    <cellStyle name="40% - Accent5 2 2 3 3 2" xfId="2551" xr:uid="{00000000-0005-0000-0000-00009E0D0000}"/>
    <cellStyle name="40% - Accent5 2 2 3 3 3" xfId="3829" xr:uid="{00000000-0005-0000-0000-00009F0D0000}"/>
    <cellStyle name="40% - Accent5 2 2 3 3 4" xfId="5116" xr:uid="{00000000-0005-0000-0000-0000A00D0000}"/>
    <cellStyle name="40% - Accent5 2 2 3 4" xfId="1699" xr:uid="{00000000-0005-0000-0000-0000A10D0000}"/>
    <cellStyle name="40% - Accent5 2 2 3 5" xfId="2977" xr:uid="{00000000-0005-0000-0000-0000A20D0000}"/>
    <cellStyle name="40% - Accent5 2 2 3 6" xfId="4264" xr:uid="{00000000-0005-0000-0000-0000A30D0000}"/>
    <cellStyle name="40% - Accent5 2 2 4" xfId="620" xr:uid="{00000000-0005-0000-0000-0000A40D0000}"/>
    <cellStyle name="40% - Accent5 2 2 4 2" xfId="1912" xr:uid="{00000000-0005-0000-0000-0000A50D0000}"/>
    <cellStyle name="40% - Accent5 2 2 4 3" xfId="3190" xr:uid="{00000000-0005-0000-0000-0000A60D0000}"/>
    <cellStyle name="40% - Accent5 2 2 4 4" xfId="4477" xr:uid="{00000000-0005-0000-0000-0000A70D0000}"/>
    <cellStyle name="40% - Accent5 2 2 5" xfId="1046" xr:uid="{00000000-0005-0000-0000-0000A80D0000}"/>
    <cellStyle name="40% - Accent5 2 2 5 2" xfId="2338" xr:uid="{00000000-0005-0000-0000-0000A90D0000}"/>
    <cellStyle name="40% - Accent5 2 2 5 3" xfId="3616" xr:uid="{00000000-0005-0000-0000-0000AA0D0000}"/>
    <cellStyle name="40% - Accent5 2 2 5 4" xfId="4903" xr:uid="{00000000-0005-0000-0000-0000AB0D0000}"/>
    <cellStyle name="40% - Accent5 2 2 6" xfId="1486" xr:uid="{00000000-0005-0000-0000-0000AC0D0000}"/>
    <cellStyle name="40% - Accent5 2 2 7" xfId="2764" xr:uid="{00000000-0005-0000-0000-0000AD0D0000}"/>
    <cellStyle name="40% - Accent5 2 2 8" xfId="4051" xr:uid="{00000000-0005-0000-0000-0000AE0D0000}"/>
    <cellStyle name="40% - Accent5 2 2 9" xfId="5289" xr:uid="{00000000-0005-0000-0000-0000AF0D0000}"/>
    <cellStyle name="40% - Accent5 2 3" xfId="186" xr:uid="{00000000-0005-0000-0000-0000B00D0000}"/>
    <cellStyle name="40% - Accent5 2 3 2" xfId="409" xr:uid="{00000000-0005-0000-0000-0000B10D0000}"/>
    <cellStyle name="40% - Accent5 2 3 2 2" xfId="835" xr:uid="{00000000-0005-0000-0000-0000B20D0000}"/>
    <cellStyle name="40% - Accent5 2 3 2 2 2" xfId="2127" xr:uid="{00000000-0005-0000-0000-0000B30D0000}"/>
    <cellStyle name="40% - Accent5 2 3 2 2 3" xfId="3405" xr:uid="{00000000-0005-0000-0000-0000B40D0000}"/>
    <cellStyle name="40% - Accent5 2 3 2 2 4" xfId="4692" xr:uid="{00000000-0005-0000-0000-0000B50D0000}"/>
    <cellStyle name="40% - Accent5 2 3 2 3" xfId="1261" xr:uid="{00000000-0005-0000-0000-0000B60D0000}"/>
    <cellStyle name="40% - Accent5 2 3 2 3 2" xfId="2553" xr:uid="{00000000-0005-0000-0000-0000B70D0000}"/>
    <cellStyle name="40% - Accent5 2 3 2 3 3" xfId="3831" xr:uid="{00000000-0005-0000-0000-0000B80D0000}"/>
    <cellStyle name="40% - Accent5 2 3 2 3 4" xfId="5118" xr:uid="{00000000-0005-0000-0000-0000B90D0000}"/>
    <cellStyle name="40% - Accent5 2 3 2 4" xfId="1701" xr:uid="{00000000-0005-0000-0000-0000BA0D0000}"/>
    <cellStyle name="40% - Accent5 2 3 2 5" xfId="2979" xr:uid="{00000000-0005-0000-0000-0000BB0D0000}"/>
    <cellStyle name="40% - Accent5 2 3 2 6" xfId="4266" xr:uid="{00000000-0005-0000-0000-0000BC0D0000}"/>
    <cellStyle name="40% - Accent5 2 3 3" xfId="622" xr:uid="{00000000-0005-0000-0000-0000BD0D0000}"/>
    <cellStyle name="40% - Accent5 2 3 3 2" xfId="1914" xr:uid="{00000000-0005-0000-0000-0000BE0D0000}"/>
    <cellStyle name="40% - Accent5 2 3 3 3" xfId="3192" xr:uid="{00000000-0005-0000-0000-0000BF0D0000}"/>
    <cellStyle name="40% - Accent5 2 3 3 4" xfId="4479" xr:uid="{00000000-0005-0000-0000-0000C00D0000}"/>
    <cellStyle name="40% - Accent5 2 3 4" xfId="1048" xr:uid="{00000000-0005-0000-0000-0000C10D0000}"/>
    <cellStyle name="40% - Accent5 2 3 4 2" xfId="2340" xr:uid="{00000000-0005-0000-0000-0000C20D0000}"/>
    <cellStyle name="40% - Accent5 2 3 4 3" xfId="3618" xr:uid="{00000000-0005-0000-0000-0000C30D0000}"/>
    <cellStyle name="40% - Accent5 2 3 4 4" xfId="4905" xr:uid="{00000000-0005-0000-0000-0000C40D0000}"/>
    <cellStyle name="40% - Accent5 2 3 5" xfId="1488" xr:uid="{00000000-0005-0000-0000-0000C50D0000}"/>
    <cellStyle name="40% - Accent5 2 3 6" xfId="2766" xr:uid="{00000000-0005-0000-0000-0000C60D0000}"/>
    <cellStyle name="40% - Accent5 2 3 7" xfId="4053" xr:uid="{00000000-0005-0000-0000-0000C70D0000}"/>
    <cellStyle name="40% - Accent5 2 3 8" xfId="5291" xr:uid="{00000000-0005-0000-0000-0000C80D0000}"/>
    <cellStyle name="40% - Accent5 2 4" xfId="187" xr:uid="{00000000-0005-0000-0000-0000C90D0000}"/>
    <cellStyle name="40% - Accent5 2 4 2" xfId="410" xr:uid="{00000000-0005-0000-0000-0000CA0D0000}"/>
    <cellStyle name="40% - Accent5 2 4 2 2" xfId="836" xr:uid="{00000000-0005-0000-0000-0000CB0D0000}"/>
    <cellStyle name="40% - Accent5 2 4 2 2 2" xfId="2128" xr:uid="{00000000-0005-0000-0000-0000CC0D0000}"/>
    <cellStyle name="40% - Accent5 2 4 2 2 3" xfId="3406" xr:uid="{00000000-0005-0000-0000-0000CD0D0000}"/>
    <cellStyle name="40% - Accent5 2 4 2 2 4" xfId="4693" xr:uid="{00000000-0005-0000-0000-0000CE0D0000}"/>
    <cellStyle name="40% - Accent5 2 4 2 3" xfId="1262" xr:uid="{00000000-0005-0000-0000-0000CF0D0000}"/>
    <cellStyle name="40% - Accent5 2 4 2 3 2" xfId="2554" xr:uid="{00000000-0005-0000-0000-0000D00D0000}"/>
    <cellStyle name="40% - Accent5 2 4 2 3 3" xfId="3832" xr:uid="{00000000-0005-0000-0000-0000D10D0000}"/>
    <cellStyle name="40% - Accent5 2 4 2 3 4" xfId="5119" xr:uid="{00000000-0005-0000-0000-0000D20D0000}"/>
    <cellStyle name="40% - Accent5 2 4 2 4" xfId="1702" xr:uid="{00000000-0005-0000-0000-0000D30D0000}"/>
    <cellStyle name="40% - Accent5 2 4 2 5" xfId="2980" xr:uid="{00000000-0005-0000-0000-0000D40D0000}"/>
    <cellStyle name="40% - Accent5 2 4 2 6" xfId="4267" xr:uid="{00000000-0005-0000-0000-0000D50D0000}"/>
    <cellStyle name="40% - Accent5 2 4 3" xfId="623" xr:uid="{00000000-0005-0000-0000-0000D60D0000}"/>
    <cellStyle name="40% - Accent5 2 4 3 2" xfId="1915" xr:uid="{00000000-0005-0000-0000-0000D70D0000}"/>
    <cellStyle name="40% - Accent5 2 4 3 3" xfId="3193" xr:uid="{00000000-0005-0000-0000-0000D80D0000}"/>
    <cellStyle name="40% - Accent5 2 4 3 4" xfId="4480" xr:uid="{00000000-0005-0000-0000-0000D90D0000}"/>
    <cellStyle name="40% - Accent5 2 4 4" xfId="1049" xr:uid="{00000000-0005-0000-0000-0000DA0D0000}"/>
    <cellStyle name="40% - Accent5 2 4 4 2" xfId="2341" xr:uid="{00000000-0005-0000-0000-0000DB0D0000}"/>
    <cellStyle name="40% - Accent5 2 4 4 3" xfId="3619" xr:uid="{00000000-0005-0000-0000-0000DC0D0000}"/>
    <cellStyle name="40% - Accent5 2 4 4 4" xfId="4906" xr:uid="{00000000-0005-0000-0000-0000DD0D0000}"/>
    <cellStyle name="40% - Accent5 2 4 5" xfId="1489" xr:uid="{00000000-0005-0000-0000-0000DE0D0000}"/>
    <cellStyle name="40% - Accent5 2 4 6" xfId="2767" xr:uid="{00000000-0005-0000-0000-0000DF0D0000}"/>
    <cellStyle name="40% - Accent5 2 4 7" xfId="4054" xr:uid="{00000000-0005-0000-0000-0000E00D0000}"/>
    <cellStyle name="40% - Accent5 2 5" xfId="188" xr:uid="{00000000-0005-0000-0000-0000E10D0000}"/>
    <cellStyle name="40% - Accent5 2 5 2" xfId="411" xr:uid="{00000000-0005-0000-0000-0000E20D0000}"/>
    <cellStyle name="40% - Accent5 2 5 2 2" xfId="837" xr:uid="{00000000-0005-0000-0000-0000E30D0000}"/>
    <cellStyle name="40% - Accent5 2 5 2 2 2" xfId="2129" xr:uid="{00000000-0005-0000-0000-0000E40D0000}"/>
    <cellStyle name="40% - Accent5 2 5 2 2 3" xfId="3407" xr:uid="{00000000-0005-0000-0000-0000E50D0000}"/>
    <cellStyle name="40% - Accent5 2 5 2 2 4" xfId="4694" xr:uid="{00000000-0005-0000-0000-0000E60D0000}"/>
    <cellStyle name="40% - Accent5 2 5 2 3" xfId="1263" xr:uid="{00000000-0005-0000-0000-0000E70D0000}"/>
    <cellStyle name="40% - Accent5 2 5 2 3 2" xfId="2555" xr:uid="{00000000-0005-0000-0000-0000E80D0000}"/>
    <cellStyle name="40% - Accent5 2 5 2 3 3" xfId="3833" xr:uid="{00000000-0005-0000-0000-0000E90D0000}"/>
    <cellStyle name="40% - Accent5 2 5 2 3 4" xfId="5120" xr:uid="{00000000-0005-0000-0000-0000EA0D0000}"/>
    <cellStyle name="40% - Accent5 2 5 2 4" xfId="1703" xr:uid="{00000000-0005-0000-0000-0000EB0D0000}"/>
    <cellStyle name="40% - Accent5 2 5 2 5" xfId="2981" xr:uid="{00000000-0005-0000-0000-0000EC0D0000}"/>
    <cellStyle name="40% - Accent5 2 5 2 6" xfId="4268" xr:uid="{00000000-0005-0000-0000-0000ED0D0000}"/>
    <cellStyle name="40% - Accent5 2 5 3" xfId="624" xr:uid="{00000000-0005-0000-0000-0000EE0D0000}"/>
    <cellStyle name="40% - Accent5 2 5 3 2" xfId="1916" xr:uid="{00000000-0005-0000-0000-0000EF0D0000}"/>
    <cellStyle name="40% - Accent5 2 5 3 3" xfId="3194" xr:uid="{00000000-0005-0000-0000-0000F00D0000}"/>
    <cellStyle name="40% - Accent5 2 5 3 4" xfId="4481" xr:uid="{00000000-0005-0000-0000-0000F10D0000}"/>
    <cellStyle name="40% - Accent5 2 5 4" xfId="1050" xr:uid="{00000000-0005-0000-0000-0000F20D0000}"/>
    <cellStyle name="40% - Accent5 2 5 4 2" xfId="2342" xr:uid="{00000000-0005-0000-0000-0000F30D0000}"/>
    <cellStyle name="40% - Accent5 2 5 4 3" xfId="3620" xr:uid="{00000000-0005-0000-0000-0000F40D0000}"/>
    <cellStyle name="40% - Accent5 2 5 4 4" xfId="4907" xr:uid="{00000000-0005-0000-0000-0000F50D0000}"/>
    <cellStyle name="40% - Accent5 2 5 5" xfId="1490" xr:uid="{00000000-0005-0000-0000-0000F60D0000}"/>
    <cellStyle name="40% - Accent5 2 5 6" xfId="2768" xr:uid="{00000000-0005-0000-0000-0000F70D0000}"/>
    <cellStyle name="40% - Accent5 2 5 7" xfId="4055" xr:uid="{00000000-0005-0000-0000-0000F80D0000}"/>
    <cellStyle name="40% - Accent5 2 6" xfId="279" xr:uid="{00000000-0005-0000-0000-0000F90D0000}"/>
    <cellStyle name="40% - Accent5 2 6 2" xfId="492" xr:uid="{00000000-0005-0000-0000-0000FA0D0000}"/>
    <cellStyle name="40% - Accent5 2 6 2 2" xfId="917" xr:uid="{00000000-0005-0000-0000-0000FB0D0000}"/>
    <cellStyle name="40% - Accent5 2 6 2 2 2" xfId="2209" xr:uid="{00000000-0005-0000-0000-0000FC0D0000}"/>
    <cellStyle name="40% - Accent5 2 6 2 2 3" xfId="3487" xr:uid="{00000000-0005-0000-0000-0000FD0D0000}"/>
    <cellStyle name="40% - Accent5 2 6 2 2 4" xfId="4774" xr:uid="{00000000-0005-0000-0000-0000FE0D0000}"/>
    <cellStyle name="40% - Accent5 2 6 2 3" xfId="1343" xr:uid="{00000000-0005-0000-0000-0000FF0D0000}"/>
    <cellStyle name="40% - Accent5 2 6 2 3 2" xfId="2635" xr:uid="{00000000-0005-0000-0000-0000000E0000}"/>
    <cellStyle name="40% - Accent5 2 6 2 3 3" xfId="3913" xr:uid="{00000000-0005-0000-0000-0000010E0000}"/>
    <cellStyle name="40% - Accent5 2 6 2 3 4" xfId="5200" xr:uid="{00000000-0005-0000-0000-0000020E0000}"/>
    <cellStyle name="40% - Accent5 2 6 2 4" xfId="1783" xr:uid="{00000000-0005-0000-0000-0000030E0000}"/>
    <cellStyle name="40% - Accent5 2 6 2 5" xfId="3061" xr:uid="{00000000-0005-0000-0000-0000040E0000}"/>
    <cellStyle name="40% - Accent5 2 6 2 6" xfId="4348" xr:uid="{00000000-0005-0000-0000-0000050E0000}"/>
    <cellStyle name="40% - Accent5 2 6 3" xfId="704" xr:uid="{00000000-0005-0000-0000-0000060E0000}"/>
    <cellStyle name="40% - Accent5 2 6 3 2" xfId="1996" xr:uid="{00000000-0005-0000-0000-0000070E0000}"/>
    <cellStyle name="40% - Accent5 2 6 3 3" xfId="3274" xr:uid="{00000000-0005-0000-0000-0000080E0000}"/>
    <cellStyle name="40% - Accent5 2 6 3 4" xfId="4561" xr:uid="{00000000-0005-0000-0000-0000090E0000}"/>
    <cellStyle name="40% - Accent5 2 6 4" xfId="1130" xr:uid="{00000000-0005-0000-0000-00000A0E0000}"/>
    <cellStyle name="40% - Accent5 2 6 4 2" xfId="2422" xr:uid="{00000000-0005-0000-0000-00000B0E0000}"/>
    <cellStyle name="40% - Accent5 2 6 4 3" xfId="3700" xr:uid="{00000000-0005-0000-0000-00000C0E0000}"/>
    <cellStyle name="40% - Accent5 2 6 4 4" xfId="4987" xr:uid="{00000000-0005-0000-0000-00000D0E0000}"/>
    <cellStyle name="40% - Accent5 2 6 5" xfId="1570" xr:uid="{00000000-0005-0000-0000-00000E0E0000}"/>
    <cellStyle name="40% - Accent5 2 6 6" xfId="2848" xr:uid="{00000000-0005-0000-0000-00000F0E0000}"/>
    <cellStyle name="40% - Accent5 2 6 7" xfId="4135" xr:uid="{00000000-0005-0000-0000-0000100E0000}"/>
    <cellStyle name="40% - Accent5 2 7" xfId="406" xr:uid="{00000000-0005-0000-0000-0000110E0000}"/>
    <cellStyle name="40% - Accent5 2 7 2" xfId="832" xr:uid="{00000000-0005-0000-0000-0000120E0000}"/>
    <cellStyle name="40% - Accent5 2 7 2 2" xfId="2124" xr:uid="{00000000-0005-0000-0000-0000130E0000}"/>
    <cellStyle name="40% - Accent5 2 7 2 3" xfId="3402" xr:uid="{00000000-0005-0000-0000-0000140E0000}"/>
    <cellStyle name="40% - Accent5 2 7 2 4" xfId="4689" xr:uid="{00000000-0005-0000-0000-0000150E0000}"/>
    <cellStyle name="40% - Accent5 2 7 3" xfId="1258" xr:uid="{00000000-0005-0000-0000-0000160E0000}"/>
    <cellStyle name="40% - Accent5 2 7 3 2" xfId="2550" xr:uid="{00000000-0005-0000-0000-0000170E0000}"/>
    <cellStyle name="40% - Accent5 2 7 3 3" xfId="3828" xr:uid="{00000000-0005-0000-0000-0000180E0000}"/>
    <cellStyle name="40% - Accent5 2 7 3 4" xfId="5115" xr:uid="{00000000-0005-0000-0000-0000190E0000}"/>
    <cellStyle name="40% - Accent5 2 7 4" xfId="1698" xr:uid="{00000000-0005-0000-0000-00001A0E0000}"/>
    <cellStyle name="40% - Accent5 2 7 5" xfId="2976" xr:uid="{00000000-0005-0000-0000-00001B0E0000}"/>
    <cellStyle name="40% - Accent5 2 7 6" xfId="4263" xr:uid="{00000000-0005-0000-0000-00001C0E0000}"/>
    <cellStyle name="40% - Accent5 2 8" xfId="619" xr:uid="{00000000-0005-0000-0000-00001D0E0000}"/>
    <cellStyle name="40% - Accent5 2 8 2" xfId="1911" xr:uid="{00000000-0005-0000-0000-00001E0E0000}"/>
    <cellStyle name="40% - Accent5 2 8 3" xfId="3189" xr:uid="{00000000-0005-0000-0000-00001F0E0000}"/>
    <cellStyle name="40% - Accent5 2 8 4" xfId="4476" xr:uid="{00000000-0005-0000-0000-0000200E0000}"/>
    <cellStyle name="40% - Accent5 2 9" xfId="1045" xr:uid="{00000000-0005-0000-0000-0000210E0000}"/>
    <cellStyle name="40% - Accent5 2 9 2" xfId="2337" xr:uid="{00000000-0005-0000-0000-0000220E0000}"/>
    <cellStyle name="40% - Accent5 2 9 3" xfId="3615" xr:uid="{00000000-0005-0000-0000-0000230E0000}"/>
    <cellStyle name="40% - Accent5 2 9 4" xfId="4902" xr:uid="{00000000-0005-0000-0000-0000240E0000}"/>
    <cellStyle name="40% - Accent5 3" xfId="189" xr:uid="{00000000-0005-0000-0000-0000250E0000}"/>
    <cellStyle name="40% - Accent5 3 2" xfId="190" xr:uid="{00000000-0005-0000-0000-0000260E0000}"/>
    <cellStyle name="40% - Accent5 3 2 2" xfId="413" xr:uid="{00000000-0005-0000-0000-0000270E0000}"/>
    <cellStyle name="40% - Accent5 3 2 2 2" xfId="839" xr:uid="{00000000-0005-0000-0000-0000280E0000}"/>
    <cellStyle name="40% - Accent5 3 2 2 2 2" xfId="2131" xr:uid="{00000000-0005-0000-0000-0000290E0000}"/>
    <cellStyle name="40% - Accent5 3 2 2 2 3" xfId="3409" xr:uid="{00000000-0005-0000-0000-00002A0E0000}"/>
    <cellStyle name="40% - Accent5 3 2 2 2 4" xfId="4696" xr:uid="{00000000-0005-0000-0000-00002B0E0000}"/>
    <cellStyle name="40% - Accent5 3 2 2 3" xfId="1265" xr:uid="{00000000-0005-0000-0000-00002C0E0000}"/>
    <cellStyle name="40% - Accent5 3 2 2 3 2" xfId="2557" xr:uid="{00000000-0005-0000-0000-00002D0E0000}"/>
    <cellStyle name="40% - Accent5 3 2 2 3 3" xfId="3835" xr:uid="{00000000-0005-0000-0000-00002E0E0000}"/>
    <cellStyle name="40% - Accent5 3 2 2 3 4" xfId="5122" xr:uid="{00000000-0005-0000-0000-00002F0E0000}"/>
    <cellStyle name="40% - Accent5 3 2 2 4" xfId="1705" xr:uid="{00000000-0005-0000-0000-0000300E0000}"/>
    <cellStyle name="40% - Accent5 3 2 2 5" xfId="2983" xr:uid="{00000000-0005-0000-0000-0000310E0000}"/>
    <cellStyle name="40% - Accent5 3 2 2 6" xfId="4270" xr:uid="{00000000-0005-0000-0000-0000320E0000}"/>
    <cellStyle name="40% - Accent5 3 2 3" xfId="626" xr:uid="{00000000-0005-0000-0000-0000330E0000}"/>
    <cellStyle name="40% - Accent5 3 2 3 2" xfId="1918" xr:uid="{00000000-0005-0000-0000-0000340E0000}"/>
    <cellStyle name="40% - Accent5 3 2 3 3" xfId="3196" xr:uid="{00000000-0005-0000-0000-0000350E0000}"/>
    <cellStyle name="40% - Accent5 3 2 3 4" xfId="4483" xr:uid="{00000000-0005-0000-0000-0000360E0000}"/>
    <cellStyle name="40% - Accent5 3 2 4" xfId="1052" xr:uid="{00000000-0005-0000-0000-0000370E0000}"/>
    <cellStyle name="40% - Accent5 3 2 4 2" xfId="2344" xr:uid="{00000000-0005-0000-0000-0000380E0000}"/>
    <cellStyle name="40% - Accent5 3 2 4 3" xfId="3622" xr:uid="{00000000-0005-0000-0000-0000390E0000}"/>
    <cellStyle name="40% - Accent5 3 2 4 4" xfId="4909" xr:uid="{00000000-0005-0000-0000-00003A0E0000}"/>
    <cellStyle name="40% - Accent5 3 2 5" xfId="1492" xr:uid="{00000000-0005-0000-0000-00003B0E0000}"/>
    <cellStyle name="40% - Accent5 3 2 6" xfId="2770" xr:uid="{00000000-0005-0000-0000-00003C0E0000}"/>
    <cellStyle name="40% - Accent5 3 2 7" xfId="4057" xr:uid="{00000000-0005-0000-0000-00003D0E0000}"/>
    <cellStyle name="40% - Accent5 3 2 8" xfId="5293" xr:uid="{00000000-0005-0000-0000-00003E0E0000}"/>
    <cellStyle name="40% - Accent5 3 3" xfId="412" xr:uid="{00000000-0005-0000-0000-00003F0E0000}"/>
    <cellStyle name="40% - Accent5 3 3 2" xfId="838" xr:uid="{00000000-0005-0000-0000-0000400E0000}"/>
    <cellStyle name="40% - Accent5 3 3 2 2" xfId="2130" xr:uid="{00000000-0005-0000-0000-0000410E0000}"/>
    <cellStyle name="40% - Accent5 3 3 2 3" xfId="3408" xr:uid="{00000000-0005-0000-0000-0000420E0000}"/>
    <cellStyle name="40% - Accent5 3 3 2 4" xfId="4695" xr:uid="{00000000-0005-0000-0000-0000430E0000}"/>
    <cellStyle name="40% - Accent5 3 3 3" xfId="1264" xr:uid="{00000000-0005-0000-0000-0000440E0000}"/>
    <cellStyle name="40% - Accent5 3 3 3 2" xfId="2556" xr:uid="{00000000-0005-0000-0000-0000450E0000}"/>
    <cellStyle name="40% - Accent5 3 3 3 3" xfId="3834" xr:uid="{00000000-0005-0000-0000-0000460E0000}"/>
    <cellStyle name="40% - Accent5 3 3 3 4" xfId="5121" xr:uid="{00000000-0005-0000-0000-0000470E0000}"/>
    <cellStyle name="40% - Accent5 3 3 4" xfId="1704" xr:uid="{00000000-0005-0000-0000-0000480E0000}"/>
    <cellStyle name="40% - Accent5 3 3 5" xfId="2982" xr:uid="{00000000-0005-0000-0000-0000490E0000}"/>
    <cellStyle name="40% - Accent5 3 3 6" xfId="4269" xr:uid="{00000000-0005-0000-0000-00004A0E0000}"/>
    <cellStyle name="40% - Accent5 3 4" xfId="625" xr:uid="{00000000-0005-0000-0000-00004B0E0000}"/>
    <cellStyle name="40% - Accent5 3 4 2" xfId="1917" xr:uid="{00000000-0005-0000-0000-00004C0E0000}"/>
    <cellStyle name="40% - Accent5 3 4 3" xfId="3195" xr:uid="{00000000-0005-0000-0000-00004D0E0000}"/>
    <cellStyle name="40% - Accent5 3 4 4" xfId="4482" xr:uid="{00000000-0005-0000-0000-00004E0E0000}"/>
    <cellStyle name="40% - Accent5 3 5" xfId="1051" xr:uid="{00000000-0005-0000-0000-00004F0E0000}"/>
    <cellStyle name="40% - Accent5 3 5 2" xfId="2343" xr:uid="{00000000-0005-0000-0000-0000500E0000}"/>
    <cellStyle name="40% - Accent5 3 5 3" xfId="3621" xr:uid="{00000000-0005-0000-0000-0000510E0000}"/>
    <cellStyle name="40% - Accent5 3 5 4" xfId="4908" xr:uid="{00000000-0005-0000-0000-0000520E0000}"/>
    <cellStyle name="40% - Accent5 3 6" xfId="1491" xr:uid="{00000000-0005-0000-0000-0000530E0000}"/>
    <cellStyle name="40% - Accent5 3 7" xfId="2769" xr:uid="{00000000-0005-0000-0000-0000540E0000}"/>
    <cellStyle name="40% - Accent5 3 8" xfId="4056" xr:uid="{00000000-0005-0000-0000-0000550E0000}"/>
    <cellStyle name="40% - Accent5 3 9" xfId="5292" xr:uid="{00000000-0005-0000-0000-0000560E0000}"/>
    <cellStyle name="40% - Accent5 4" xfId="191" xr:uid="{00000000-0005-0000-0000-0000570E0000}"/>
    <cellStyle name="40% - Accent5 4 2" xfId="414" xr:uid="{00000000-0005-0000-0000-0000580E0000}"/>
    <cellStyle name="40% - Accent5 4 2 2" xfId="840" xr:uid="{00000000-0005-0000-0000-0000590E0000}"/>
    <cellStyle name="40% - Accent5 4 2 2 2" xfId="2132" xr:uid="{00000000-0005-0000-0000-00005A0E0000}"/>
    <cellStyle name="40% - Accent5 4 2 2 3" xfId="3410" xr:uid="{00000000-0005-0000-0000-00005B0E0000}"/>
    <cellStyle name="40% - Accent5 4 2 2 4" xfId="4697" xr:uid="{00000000-0005-0000-0000-00005C0E0000}"/>
    <cellStyle name="40% - Accent5 4 2 3" xfId="1266" xr:uid="{00000000-0005-0000-0000-00005D0E0000}"/>
    <cellStyle name="40% - Accent5 4 2 3 2" xfId="2558" xr:uid="{00000000-0005-0000-0000-00005E0E0000}"/>
    <cellStyle name="40% - Accent5 4 2 3 3" xfId="3836" xr:uid="{00000000-0005-0000-0000-00005F0E0000}"/>
    <cellStyle name="40% - Accent5 4 2 3 4" xfId="5123" xr:uid="{00000000-0005-0000-0000-0000600E0000}"/>
    <cellStyle name="40% - Accent5 4 2 4" xfId="1706" xr:uid="{00000000-0005-0000-0000-0000610E0000}"/>
    <cellStyle name="40% - Accent5 4 2 5" xfId="2984" xr:uid="{00000000-0005-0000-0000-0000620E0000}"/>
    <cellStyle name="40% - Accent5 4 2 6" xfId="4271" xr:uid="{00000000-0005-0000-0000-0000630E0000}"/>
    <cellStyle name="40% - Accent5 4 3" xfId="627" xr:uid="{00000000-0005-0000-0000-0000640E0000}"/>
    <cellStyle name="40% - Accent5 4 3 2" xfId="1919" xr:uid="{00000000-0005-0000-0000-0000650E0000}"/>
    <cellStyle name="40% - Accent5 4 3 3" xfId="3197" xr:uid="{00000000-0005-0000-0000-0000660E0000}"/>
    <cellStyle name="40% - Accent5 4 3 4" xfId="4484" xr:uid="{00000000-0005-0000-0000-0000670E0000}"/>
    <cellStyle name="40% - Accent5 4 4" xfId="1053" xr:uid="{00000000-0005-0000-0000-0000680E0000}"/>
    <cellStyle name="40% - Accent5 4 4 2" xfId="2345" xr:uid="{00000000-0005-0000-0000-0000690E0000}"/>
    <cellStyle name="40% - Accent5 4 4 3" xfId="3623" xr:uid="{00000000-0005-0000-0000-00006A0E0000}"/>
    <cellStyle name="40% - Accent5 4 4 4" xfId="4910" xr:uid="{00000000-0005-0000-0000-00006B0E0000}"/>
    <cellStyle name="40% - Accent5 4 5" xfId="1493" xr:uid="{00000000-0005-0000-0000-00006C0E0000}"/>
    <cellStyle name="40% - Accent5 4 6" xfId="2771" xr:uid="{00000000-0005-0000-0000-00006D0E0000}"/>
    <cellStyle name="40% - Accent5 4 7" xfId="4058" xr:uid="{00000000-0005-0000-0000-00006E0E0000}"/>
    <cellStyle name="40% - Accent5 4 8" xfId="5294" xr:uid="{00000000-0005-0000-0000-00006F0E0000}"/>
    <cellStyle name="40% - Accent5 5" xfId="192" xr:uid="{00000000-0005-0000-0000-0000700E0000}"/>
    <cellStyle name="40% - Accent5 5 2" xfId="415" xr:uid="{00000000-0005-0000-0000-0000710E0000}"/>
    <cellStyle name="40% - Accent5 5 2 2" xfId="841" xr:uid="{00000000-0005-0000-0000-0000720E0000}"/>
    <cellStyle name="40% - Accent5 5 2 2 2" xfId="2133" xr:uid="{00000000-0005-0000-0000-0000730E0000}"/>
    <cellStyle name="40% - Accent5 5 2 2 3" xfId="3411" xr:uid="{00000000-0005-0000-0000-0000740E0000}"/>
    <cellStyle name="40% - Accent5 5 2 2 4" xfId="4698" xr:uid="{00000000-0005-0000-0000-0000750E0000}"/>
    <cellStyle name="40% - Accent5 5 2 3" xfId="1267" xr:uid="{00000000-0005-0000-0000-0000760E0000}"/>
    <cellStyle name="40% - Accent5 5 2 3 2" xfId="2559" xr:uid="{00000000-0005-0000-0000-0000770E0000}"/>
    <cellStyle name="40% - Accent5 5 2 3 3" xfId="3837" xr:uid="{00000000-0005-0000-0000-0000780E0000}"/>
    <cellStyle name="40% - Accent5 5 2 3 4" xfId="5124" xr:uid="{00000000-0005-0000-0000-0000790E0000}"/>
    <cellStyle name="40% - Accent5 5 2 4" xfId="1707" xr:uid="{00000000-0005-0000-0000-00007A0E0000}"/>
    <cellStyle name="40% - Accent5 5 2 5" xfId="2985" xr:uid="{00000000-0005-0000-0000-00007B0E0000}"/>
    <cellStyle name="40% - Accent5 5 2 6" xfId="4272" xr:uid="{00000000-0005-0000-0000-00007C0E0000}"/>
    <cellStyle name="40% - Accent5 5 3" xfId="628" xr:uid="{00000000-0005-0000-0000-00007D0E0000}"/>
    <cellStyle name="40% - Accent5 5 3 2" xfId="1920" xr:uid="{00000000-0005-0000-0000-00007E0E0000}"/>
    <cellStyle name="40% - Accent5 5 3 3" xfId="3198" xr:uid="{00000000-0005-0000-0000-00007F0E0000}"/>
    <cellStyle name="40% - Accent5 5 3 4" xfId="4485" xr:uid="{00000000-0005-0000-0000-0000800E0000}"/>
    <cellStyle name="40% - Accent5 5 4" xfId="1054" xr:uid="{00000000-0005-0000-0000-0000810E0000}"/>
    <cellStyle name="40% - Accent5 5 4 2" xfId="2346" xr:uid="{00000000-0005-0000-0000-0000820E0000}"/>
    <cellStyle name="40% - Accent5 5 4 3" xfId="3624" xr:uid="{00000000-0005-0000-0000-0000830E0000}"/>
    <cellStyle name="40% - Accent5 5 4 4" xfId="4911" xr:uid="{00000000-0005-0000-0000-0000840E0000}"/>
    <cellStyle name="40% - Accent5 5 5" xfId="1494" xr:uid="{00000000-0005-0000-0000-0000850E0000}"/>
    <cellStyle name="40% - Accent5 5 6" xfId="2772" xr:uid="{00000000-0005-0000-0000-0000860E0000}"/>
    <cellStyle name="40% - Accent5 5 7" xfId="4059" xr:uid="{00000000-0005-0000-0000-0000870E0000}"/>
    <cellStyle name="40% - Accent5 6" xfId="193" xr:uid="{00000000-0005-0000-0000-0000880E0000}"/>
    <cellStyle name="40% - Accent5 6 2" xfId="416" xr:uid="{00000000-0005-0000-0000-0000890E0000}"/>
    <cellStyle name="40% - Accent5 6 2 2" xfId="842" xr:uid="{00000000-0005-0000-0000-00008A0E0000}"/>
    <cellStyle name="40% - Accent5 6 2 2 2" xfId="2134" xr:uid="{00000000-0005-0000-0000-00008B0E0000}"/>
    <cellStyle name="40% - Accent5 6 2 2 3" xfId="3412" xr:uid="{00000000-0005-0000-0000-00008C0E0000}"/>
    <cellStyle name="40% - Accent5 6 2 2 4" xfId="4699" xr:uid="{00000000-0005-0000-0000-00008D0E0000}"/>
    <cellStyle name="40% - Accent5 6 2 3" xfId="1268" xr:uid="{00000000-0005-0000-0000-00008E0E0000}"/>
    <cellStyle name="40% - Accent5 6 2 3 2" xfId="2560" xr:uid="{00000000-0005-0000-0000-00008F0E0000}"/>
    <cellStyle name="40% - Accent5 6 2 3 3" xfId="3838" xr:uid="{00000000-0005-0000-0000-0000900E0000}"/>
    <cellStyle name="40% - Accent5 6 2 3 4" xfId="5125" xr:uid="{00000000-0005-0000-0000-0000910E0000}"/>
    <cellStyle name="40% - Accent5 6 2 4" xfId="1708" xr:uid="{00000000-0005-0000-0000-0000920E0000}"/>
    <cellStyle name="40% - Accent5 6 2 5" xfId="2986" xr:uid="{00000000-0005-0000-0000-0000930E0000}"/>
    <cellStyle name="40% - Accent5 6 2 6" xfId="4273" xr:uid="{00000000-0005-0000-0000-0000940E0000}"/>
    <cellStyle name="40% - Accent5 6 3" xfId="629" xr:uid="{00000000-0005-0000-0000-0000950E0000}"/>
    <cellStyle name="40% - Accent5 6 3 2" xfId="1921" xr:uid="{00000000-0005-0000-0000-0000960E0000}"/>
    <cellStyle name="40% - Accent5 6 3 3" xfId="3199" xr:uid="{00000000-0005-0000-0000-0000970E0000}"/>
    <cellStyle name="40% - Accent5 6 3 4" xfId="4486" xr:uid="{00000000-0005-0000-0000-0000980E0000}"/>
    <cellStyle name="40% - Accent5 6 4" xfId="1055" xr:uid="{00000000-0005-0000-0000-0000990E0000}"/>
    <cellStyle name="40% - Accent5 6 4 2" xfId="2347" xr:uid="{00000000-0005-0000-0000-00009A0E0000}"/>
    <cellStyle name="40% - Accent5 6 4 3" xfId="3625" xr:uid="{00000000-0005-0000-0000-00009B0E0000}"/>
    <cellStyle name="40% - Accent5 6 4 4" xfId="4912" xr:uid="{00000000-0005-0000-0000-00009C0E0000}"/>
    <cellStyle name="40% - Accent5 6 5" xfId="1495" xr:uid="{00000000-0005-0000-0000-00009D0E0000}"/>
    <cellStyle name="40% - Accent5 6 6" xfId="2773" xr:uid="{00000000-0005-0000-0000-00009E0E0000}"/>
    <cellStyle name="40% - Accent5 6 7" xfId="4060" xr:uid="{00000000-0005-0000-0000-00009F0E0000}"/>
    <cellStyle name="40% - Accent5 7" xfId="265" xr:uid="{00000000-0005-0000-0000-0000A00E0000}"/>
    <cellStyle name="40% - Accent5 7 2" xfId="478" xr:uid="{00000000-0005-0000-0000-0000A10E0000}"/>
    <cellStyle name="40% - Accent5 7 2 2" xfId="903" xr:uid="{00000000-0005-0000-0000-0000A20E0000}"/>
    <cellStyle name="40% - Accent5 7 2 2 2" xfId="2195" xr:uid="{00000000-0005-0000-0000-0000A30E0000}"/>
    <cellStyle name="40% - Accent5 7 2 2 3" xfId="3473" xr:uid="{00000000-0005-0000-0000-0000A40E0000}"/>
    <cellStyle name="40% - Accent5 7 2 2 4" xfId="4760" xr:uid="{00000000-0005-0000-0000-0000A50E0000}"/>
    <cellStyle name="40% - Accent5 7 2 3" xfId="1329" xr:uid="{00000000-0005-0000-0000-0000A60E0000}"/>
    <cellStyle name="40% - Accent5 7 2 3 2" xfId="2621" xr:uid="{00000000-0005-0000-0000-0000A70E0000}"/>
    <cellStyle name="40% - Accent5 7 2 3 3" xfId="3899" xr:uid="{00000000-0005-0000-0000-0000A80E0000}"/>
    <cellStyle name="40% - Accent5 7 2 3 4" xfId="5186" xr:uid="{00000000-0005-0000-0000-0000A90E0000}"/>
    <cellStyle name="40% - Accent5 7 2 4" xfId="1769" xr:uid="{00000000-0005-0000-0000-0000AA0E0000}"/>
    <cellStyle name="40% - Accent5 7 2 5" xfId="3047" xr:uid="{00000000-0005-0000-0000-0000AB0E0000}"/>
    <cellStyle name="40% - Accent5 7 2 6" xfId="4334" xr:uid="{00000000-0005-0000-0000-0000AC0E0000}"/>
    <cellStyle name="40% - Accent5 7 3" xfId="690" xr:uid="{00000000-0005-0000-0000-0000AD0E0000}"/>
    <cellStyle name="40% - Accent5 7 3 2" xfId="1982" xr:uid="{00000000-0005-0000-0000-0000AE0E0000}"/>
    <cellStyle name="40% - Accent5 7 3 3" xfId="3260" xr:uid="{00000000-0005-0000-0000-0000AF0E0000}"/>
    <cellStyle name="40% - Accent5 7 3 4" xfId="4547" xr:uid="{00000000-0005-0000-0000-0000B00E0000}"/>
    <cellStyle name="40% - Accent5 7 4" xfId="1116" xr:uid="{00000000-0005-0000-0000-0000B10E0000}"/>
    <cellStyle name="40% - Accent5 7 4 2" xfId="2408" xr:uid="{00000000-0005-0000-0000-0000B20E0000}"/>
    <cellStyle name="40% - Accent5 7 4 3" xfId="3686" xr:uid="{00000000-0005-0000-0000-0000B30E0000}"/>
    <cellStyle name="40% - Accent5 7 4 4" xfId="4973" xr:uid="{00000000-0005-0000-0000-0000B40E0000}"/>
    <cellStyle name="40% - Accent5 7 5" xfId="1556" xr:uid="{00000000-0005-0000-0000-0000B50E0000}"/>
    <cellStyle name="40% - Accent5 7 6" xfId="2834" xr:uid="{00000000-0005-0000-0000-0000B60E0000}"/>
    <cellStyle name="40% - Accent5 7 7" xfId="4121" xr:uid="{00000000-0005-0000-0000-0000B70E0000}"/>
    <cellStyle name="40% - Accent5 8" xfId="405" xr:uid="{00000000-0005-0000-0000-0000B80E0000}"/>
    <cellStyle name="40% - Accent5 8 2" xfId="831" xr:uid="{00000000-0005-0000-0000-0000B90E0000}"/>
    <cellStyle name="40% - Accent5 8 2 2" xfId="2123" xr:uid="{00000000-0005-0000-0000-0000BA0E0000}"/>
    <cellStyle name="40% - Accent5 8 2 3" xfId="3401" xr:uid="{00000000-0005-0000-0000-0000BB0E0000}"/>
    <cellStyle name="40% - Accent5 8 2 4" xfId="4688" xr:uid="{00000000-0005-0000-0000-0000BC0E0000}"/>
    <cellStyle name="40% - Accent5 8 3" xfId="1257" xr:uid="{00000000-0005-0000-0000-0000BD0E0000}"/>
    <cellStyle name="40% - Accent5 8 3 2" xfId="2549" xr:uid="{00000000-0005-0000-0000-0000BE0E0000}"/>
    <cellStyle name="40% - Accent5 8 3 3" xfId="3827" xr:uid="{00000000-0005-0000-0000-0000BF0E0000}"/>
    <cellStyle name="40% - Accent5 8 3 4" xfId="5114" xr:uid="{00000000-0005-0000-0000-0000C00E0000}"/>
    <cellStyle name="40% - Accent5 8 4" xfId="1697" xr:uid="{00000000-0005-0000-0000-0000C10E0000}"/>
    <cellStyle name="40% - Accent5 8 5" xfId="2975" xr:uid="{00000000-0005-0000-0000-0000C20E0000}"/>
    <cellStyle name="40% - Accent5 8 6" xfId="4262" xr:uid="{00000000-0005-0000-0000-0000C30E0000}"/>
    <cellStyle name="40% - Accent5 9" xfId="618" xr:uid="{00000000-0005-0000-0000-0000C40E0000}"/>
    <cellStyle name="40% - Accent5 9 2" xfId="1910" xr:uid="{00000000-0005-0000-0000-0000C50E0000}"/>
    <cellStyle name="40% - Accent5 9 3" xfId="3188" xr:uid="{00000000-0005-0000-0000-0000C60E0000}"/>
    <cellStyle name="40% - Accent5 9 4" xfId="4475" xr:uid="{00000000-0005-0000-0000-0000C70E0000}"/>
    <cellStyle name="40% - Accent6" xfId="79" builtinId="51" customBuiltin="1"/>
    <cellStyle name="40% - Accent6 10" xfId="1056" xr:uid="{00000000-0005-0000-0000-0000C90E0000}"/>
    <cellStyle name="40% - Accent6 10 2" xfId="2348" xr:uid="{00000000-0005-0000-0000-0000CA0E0000}"/>
    <cellStyle name="40% - Accent6 10 3" xfId="3626" xr:uid="{00000000-0005-0000-0000-0000CB0E0000}"/>
    <cellStyle name="40% - Accent6 10 4" xfId="4913" xr:uid="{00000000-0005-0000-0000-0000CC0E0000}"/>
    <cellStyle name="40% - Accent6 11" xfId="1496" xr:uid="{00000000-0005-0000-0000-0000CD0E0000}"/>
    <cellStyle name="40% - Accent6 12" xfId="2774" xr:uid="{00000000-0005-0000-0000-0000CE0E0000}"/>
    <cellStyle name="40% - Accent6 13" xfId="4061" xr:uid="{00000000-0005-0000-0000-0000CF0E0000}"/>
    <cellStyle name="40% - Accent6 14" xfId="5295" xr:uid="{00000000-0005-0000-0000-0000D00E0000}"/>
    <cellStyle name="40% - Accent6 2" xfId="21" xr:uid="{00000000-0005-0000-0000-0000D10E0000}"/>
    <cellStyle name="40% - Accent6 2 10" xfId="1497" xr:uid="{00000000-0005-0000-0000-0000D20E0000}"/>
    <cellStyle name="40% - Accent6 2 11" xfId="2775" xr:uid="{00000000-0005-0000-0000-0000D30E0000}"/>
    <cellStyle name="40% - Accent6 2 12" xfId="4062" xr:uid="{00000000-0005-0000-0000-0000D40E0000}"/>
    <cellStyle name="40% - Accent6 2 13" xfId="5296" xr:uid="{00000000-0005-0000-0000-0000D50E0000}"/>
    <cellStyle name="40% - Accent6 2 2" xfId="194" xr:uid="{00000000-0005-0000-0000-0000D60E0000}"/>
    <cellStyle name="40% - Accent6 2 2 2" xfId="195" xr:uid="{00000000-0005-0000-0000-0000D70E0000}"/>
    <cellStyle name="40% - Accent6 2 2 2 2" xfId="420" xr:uid="{00000000-0005-0000-0000-0000D80E0000}"/>
    <cellStyle name="40% - Accent6 2 2 2 2 2" xfId="846" xr:uid="{00000000-0005-0000-0000-0000D90E0000}"/>
    <cellStyle name="40% - Accent6 2 2 2 2 2 2" xfId="2138" xr:uid="{00000000-0005-0000-0000-0000DA0E0000}"/>
    <cellStyle name="40% - Accent6 2 2 2 2 2 3" xfId="3416" xr:uid="{00000000-0005-0000-0000-0000DB0E0000}"/>
    <cellStyle name="40% - Accent6 2 2 2 2 2 4" xfId="4703" xr:uid="{00000000-0005-0000-0000-0000DC0E0000}"/>
    <cellStyle name="40% - Accent6 2 2 2 2 3" xfId="1272" xr:uid="{00000000-0005-0000-0000-0000DD0E0000}"/>
    <cellStyle name="40% - Accent6 2 2 2 2 3 2" xfId="2564" xr:uid="{00000000-0005-0000-0000-0000DE0E0000}"/>
    <cellStyle name="40% - Accent6 2 2 2 2 3 3" xfId="3842" xr:uid="{00000000-0005-0000-0000-0000DF0E0000}"/>
    <cellStyle name="40% - Accent6 2 2 2 2 3 4" xfId="5129" xr:uid="{00000000-0005-0000-0000-0000E00E0000}"/>
    <cellStyle name="40% - Accent6 2 2 2 2 4" xfId="1712" xr:uid="{00000000-0005-0000-0000-0000E10E0000}"/>
    <cellStyle name="40% - Accent6 2 2 2 2 5" xfId="2990" xr:uid="{00000000-0005-0000-0000-0000E20E0000}"/>
    <cellStyle name="40% - Accent6 2 2 2 2 6" xfId="4277" xr:uid="{00000000-0005-0000-0000-0000E30E0000}"/>
    <cellStyle name="40% - Accent6 2 2 2 3" xfId="633" xr:uid="{00000000-0005-0000-0000-0000E40E0000}"/>
    <cellStyle name="40% - Accent6 2 2 2 3 2" xfId="1925" xr:uid="{00000000-0005-0000-0000-0000E50E0000}"/>
    <cellStyle name="40% - Accent6 2 2 2 3 3" xfId="3203" xr:uid="{00000000-0005-0000-0000-0000E60E0000}"/>
    <cellStyle name="40% - Accent6 2 2 2 3 4" xfId="4490" xr:uid="{00000000-0005-0000-0000-0000E70E0000}"/>
    <cellStyle name="40% - Accent6 2 2 2 4" xfId="1059" xr:uid="{00000000-0005-0000-0000-0000E80E0000}"/>
    <cellStyle name="40% - Accent6 2 2 2 4 2" xfId="2351" xr:uid="{00000000-0005-0000-0000-0000E90E0000}"/>
    <cellStyle name="40% - Accent6 2 2 2 4 3" xfId="3629" xr:uid="{00000000-0005-0000-0000-0000EA0E0000}"/>
    <cellStyle name="40% - Accent6 2 2 2 4 4" xfId="4916" xr:uid="{00000000-0005-0000-0000-0000EB0E0000}"/>
    <cellStyle name="40% - Accent6 2 2 2 5" xfId="1499" xr:uid="{00000000-0005-0000-0000-0000EC0E0000}"/>
    <cellStyle name="40% - Accent6 2 2 2 6" xfId="2777" xr:uid="{00000000-0005-0000-0000-0000ED0E0000}"/>
    <cellStyle name="40% - Accent6 2 2 2 7" xfId="4064" xr:uid="{00000000-0005-0000-0000-0000EE0E0000}"/>
    <cellStyle name="40% - Accent6 2 2 2 8" xfId="5298" xr:uid="{00000000-0005-0000-0000-0000EF0E0000}"/>
    <cellStyle name="40% - Accent6 2 2 3" xfId="419" xr:uid="{00000000-0005-0000-0000-0000F00E0000}"/>
    <cellStyle name="40% - Accent6 2 2 3 2" xfId="845" xr:uid="{00000000-0005-0000-0000-0000F10E0000}"/>
    <cellStyle name="40% - Accent6 2 2 3 2 2" xfId="2137" xr:uid="{00000000-0005-0000-0000-0000F20E0000}"/>
    <cellStyle name="40% - Accent6 2 2 3 2 3" xfId="3415" xr:uid="{00000000-0005-0000-0000-0000F30E0000}"/>
    <cellStyle name="40% - Accent6 2 2 3 2 4" xfId="4702" xr:uid="{00000000-0005-0000-0000-0000F40E0000}"/>
    <cellStyle name="40% - Accent6 2 2 3 3" xfId="1271" xr:uid="{00000000-0005-0000-0000-0000F50E0000}"/>
    <cellStyle name="40% - Accent6 2 2 3 3 2" xfId="2563" xr:uid="{00000000-0005-0000-0000-0000F60E0000}"/>
    <cellStyle name="40% - Accent6 2 2 3 3 3" xfId="3841" xr:uid="{00000000-0005-0000-0000-0000F70E0000}"/>
    <cellStyle name="40% - Accent6 2 2 3 3 4" xfId="5128" xr:uid="{00000000-0005-0000-0000-0000F80E0000}"/>
    <cellStyle name="40% - Accent6 2 2 3 4" xfId="1711" xr:uid="{00000000-0005-0000-0000-0000F90E0000}"/>
    <cellStyle name="40% - Accent6 2 2 3 5" xfId="2989" xr:uid="{00000000-0005-0000-0000-0000FA0E0000}"/>
    <cellStyle name="40% - Accent6 2 2 3 6" xfId="4276" xr:uid="{00000000-0005-0000-0000-0000FB0E0000}"/>
    <cellStyle name="40% - Accent6 2 2 4" xfId="632" xr:uid="{00000000-0005-0000-0000-0000FC0E0000}"/>
    <cellStyle name="40% - Accent6 2 2 4 2" xfId="1924" xr:uid="{00000000-0005-0000-0000-0000FD0E0000}"/>
    <cellStyle name="40% - Accent6 2 2 4 3" xfId="3202" xr:uid="{00000000-0005-0000-0000-0000FE0E0000}"/>
    <cellStyle name="40% - Accent6 2 2 4 4" xfId="4489" xr:uid="{00000000-0005-0000-0000-0000FF0E0000}"/>
    <cellStyle name="40% - Accent6 2 2 5" xfId="1058" xr:uid="{00000000-0005-0000-0000-0000000F0000}"/>
    <cellStyle name="40% - Accent6 2 2 5 2" xfId="2350" xr:uid="{00000000-0005-0000-0000-0000010F0000}"/>
    <cellStyle name="40% - Accent6 2 2 5 3" xfId="3628" xr:uid="{00000000-0005-0000-0000-0000020F0000}"/>
    <cellStyle name="40% - Accent6 2 2 5 4" xfId="4915" xr:uid="{00000000-0005-0000-0000-0000030F0000}"/>
    <cellStyle name="40% - Accent6 2 2 6" xfId="1498" xr:uid="{00000000-0005-0000-0000-0000040F0000}"/>
    <cellStyle name="40% - Accent6 2 2 7" xfId="2776" xr:uid="{00000000-0005-0000-0000-0000050F0000}"/>
    <cellStyle name="40% - Accent6 2 2 8" xfId="4063" xr:uid="{00000000-0005-0000-0000-0000060F0000}"/>
    <cellStyle name="40% - Accent6 2 2 9" xfId="5297" xr:uid="{00000000-0005-0000-0000-0000070F0000}"/>
    <cellStyle name="40% - Accent6 2 3" xfId="196" xr:uid="{00000000-0005-0000-0000-0000080F0000}"/>
    <cellStyle name="40% - Accent6 2 3 2" xfId="421" xr:uid="{00000000-0005-0000-0000-0000090F0000}"/>
    <cellStyle name="40% - Accent6 2 3 2 2" xfId="847" xr:uid="{00000000-0005-0000-0000-00000A0F0000}"/>
    <cellStyle name="40% - Accent6 2 3 2 2 2" xfId="2139" xr:uid="{00000000-0005-0000-0000-00000B0F0000}"/>
    <cellStyle name="40% - Accent6 2 3 2 2 3" xfId="3417" xr:uid="{00000000-0005-0000-0000-00000C0F0000}"/>
    <cellStyle name="40% - Accent6 2 3 2 2 4" xfId="4704" xr:uid="{00000000-0005-0000-0000-00000D0F0000}"/>
    <cellStyle name="40% - Accent6 2 3 2 3" xfId="1273" xr:uid="{00000000-0005-0000-0000-00000E0F0000}"/>
    <cellStyle name="40% - Accent6 2 3 2 3 2" xfId="2565" xr:uid="{00000000-0005-0000-0000-00000F0F0000}"/>
    <cellStyle name="40% - Accent6 2 3 2 3 3" xfId="3843" xr:uid="{00000000-0005-0000-0000-0000100F0000}"/>
    <cellStyle name="40% - Accent6 2 3 2 3 4" xfId="5130" xr:uid="{00000000-0005-0000-0000-0000110F0000}"/>
    <cellStyle name="40% - Accent6 2 3 2 4" xfId="1713" xr:uid="{00000000-0005-0000-0000-0000120F0000}"/>
    <cellStyle name="40% - Accent6 2 3 2 5" xfId="2991" xr:uid="{00000000-0005-0000-0000-0000130F0000}"/>
    <cellStyle name="40% - Accent6 2 3 2 6" xfId="4278" xr:uid="{00000000-0005-0000-0000-0000140F0000}"/>
    <cellStyle name="40% - Accent6 2 3 3" xfId="634" xr:uid="{00000000-0005-0000-0000-0000150F0000}"/>
    <cellStyle name="40% - Accent6 2 3 3 2" xfId="1926" xr:uid="{00000000-0005-0000-0000-0000160F0000}"/>
    <cellStyle name="40% - Accent6 2 3 3 3" xfId="3204" xr:uid="{00000000-0005-0000-0000-0000170F0000}"/>
    <cellStyle name="40% - Accent6 2 3 3 4" xfId="4491" xr:uid="{00000000-0005-0000-0000-0000180F0000}"/>
    <cellStyle name="40% - Accent6 2 3 4" xfId="1060" xr:uid="{00000000-0005-0000-0000-0000190F0000}"/>
    <cellStyle name="40% - Accent6 2 3 4 2" xfId="2352" xr:uid="{00000000-0005-0000-0000-00001A0F0000}"/>
    <cellStyle name="40% - Accent6 2 3 4 3" xfId="3630" xr:uid="{00000000-0005-0000-0000-00001B0F0000}"/>
    <cellStyle name="40% - Accent6 2 3 4 4" xfId="4917" xr:uid="{00000000-0005-0000-0000-00001C0F0000}"/>
    <cellStyle name="40% - Accent6 2 3 5" xfId="1500" xr:uid="{00000000-0005-0000-0000-00001D0F0000}"/>
    <cellStyle name="40% - Accent6 2 3 6" xfId="2778" xr:uid="{00000000-0005-0000-0000-00001E0F0000}"/>
    <cellStyle name="40% - Accent6 2 3 7" xfId="4065" xr:uid="{00000000-0005-0000-0000-00001F0F0000}"/>
    <cellStyle name="40% - Accent6 2 3 8" xfId="5299" xr:uid="{00000000-0005-0000-0000-0000200F0000}"/>
    <cellStyle name="40% - Accent6 2 4" xfId="197" xr:uid="{00000000-0005-0000-0000-0000210F0000}"/>
    <cellStyle name="40% - Accent6 2 4 2" xfId="422" xr:uid="{00000000-0005-0000-0000-0000220F0000}"/>
    <cellStyle name="40% - Accent6 2 4 2 2" xfId="848" xr:uid="{00000000-0005-0000-0000-0000230F0000}"/>
    <cellStyle name="40% - Accent6 2 4 2 2 2" xfId="2140" xr:uid="{00000000-0005-0000-0000-0000240F0000}"/>
    <cellStyle name="40% - Accent6 2 4 2 2 3" xfId="3418" xr:uid="{00000000-0005-0000-0000-0000250F0000}"/>
    <cellStyle name="40% - Accent6 2 4 2 2 4" xfId="4705" xr:uid="{00000000-0005-0000-0000-0000260F0000}"/>
    <cellStyle name="40% - Accent6 2 4 2 3" xfId="1274" xr:uid="{00000000-0005-0000-0000-0000270F0000}"/>
    <cellStyle name="40% - Accent6 2 4 2 3 2" xfId="2566" xr:uid="{00000000-0005-0000-0000-0000280F0000}"/>
    <cellStyle name="40% - Accent6 2 4 2 3 3" xfId="3844" xr:uid="{00000000-0005-0000-0000-0000290F0000}"/>
    <cellStyle name="40% - Accent6 2 4 2 3 4" xfId="5131" xr:uid="{00000000-0005-0000-0000-00002A0F0000}"/>
    <cellStyle name="40% - Accent6 2 4 2 4" xfId="1714" xr:uid="{00000000-0005-0000-0000-00002B0F0000}"/>
    <cellStyle name="40% - Accent6 2 4 2 5" xfId="2992" xr:uid="{00000000-0005-0000-0000-00002C0F0000}"/>
    <cellStyle name="40% - Accent6 2 4 2 6" xfId="4279" xr:uid="{00000000-0005-0000-0000-00002D0F0000}"/>
    <cellStyle name="40% - Accent6 2 4 3" xfId="635" xr:uid="{00000000-0005-0000-0000-00002E0F0000}"/>
    <cellStyle name="40% - Accent6 2 4 3 2" xfId="1927" xr:uid="{00000000-0005-0000-0000-00002F0F0000}"/>
    <cellStyle name="40% - Accent6 2 4 3 3" xfId="3205" xr:uid="{00000000-0005-0000-0000-0000300F0000}"/>
    <cellStyle name="40% - Accent6 2 4 3 4" xfId="4492" xr:uid="{00000000-0005-0000-0000-0000310F0000}"/>
    <cellStyle name="40% - Accent6 2 4 4" xfId="1061" xr:uid="{00000000-0005-0000-0000-0000320F0000}"/>
    <cellStyle name="40% - Accent6 2 4 4 2" xfId="2353" xr:uid="{00000000-0005-0000-0000-0000330F0000}"/>
    <cellStyle name="40% - Accent6 2 4 4 3" xfId="3631" xr:uid="{00000000-0005-0000-0000-0000340F0000}"/>
    <cellStyle name="40% - Accent6 2 4 4 4" xfId="4918" xr:uid="{00000000-0005-0000-0000-0000350F0000}"/>
    <cellStyle name="40% - Accent6 2 4 5" xfId="1501" xr:uid="{00000000-0005-0000-0000-0000360F0000}"/>
    <cellStyle name="40% - Accent6 2 4 6" xfId="2779" xr:uid="{00000000-0005-0000-0000-0000370F0000}"/>
    <cellStyle name="40% - Accent6 2 4 7" xfId="4066" xr:uid="{00000000-0005-0000-0000-0000380F0000}"/>
    <cellStyle name="40% - Accent6 2 5" xfId="198" xr:uid="{00000000-0005-0000-0000-0000390F0000}"/>
    <cellStyle name="40% - Accent6 2 5 2" xfId="423" xr:uid="{00000000-0005-0000-0000-00003A0F0000}"/>
    <cellStyle name="40% - Accent6 2 5 2 2" xfId="849" xr:uid="{00000000-0005-0000-0000-00003B0F0000}"/>
    <cellStyle name="40% - Accent6 2 5 2 2 2" xfId="2141" xr:uid="{00000000-0005-0000-0000-00003C0F0000}"/>
    <cellStyle name="40% - Accent6 2 5 2 2 3" xfId="3419" xr:uid="{00000000-0005-0000-0000-00003D0F0000}"/>
    <cellStyle name="40% - Accent6 2 5 2 2 4" xfId="4706" xr:uid="{00000000-0005-0000-0000-00003E0F0000}"/>
    <cellStyle name="40% - Accent6 2 5 2 3" xfId="1275" xr:uid="{00000000-0005-0000-0000-00003F0F0000}"/>
    <cellStyle name="40% - Accent6 2 5 2 3 2" xfId="2567" xr:uid="{00000000-0005-0000-0000-0000400F0000}"/>
    <cellStyle name="40% - Accent6 2 5 2 3 3" xfId="3845" xr:uid="{00000000-0005-0000-0000-0000410F0000}"/>
    <cellStyle name="40% - Accent6 2 5 2 3 4" xfId="5132" xr:uid="{00000000-0005-0000-0000-0000420F0000}"/>
    <cellStyle name="40% - Accent6 2 5 2 4" xfId="1715" xr:uid="{00000000-0005-0000-0000-0000430F0000}"/>
    <cellStyle name="40% - Accent6 2 5 2 5" xfId="2993" xr:uid="{00000000-0005-0000-0000-0000440F0000}"/>
    <cellStyle name="40% - Accent6 2 5 2 6" xfId="4280" xr:uid="{00000000-0005-0000-0000-0000450F0000}"/>
    <cellStyle name="40% - Accent6 2 5 3" xfId="636" xr:uid="{00000000-0005-0000-0000-0000460F0000}"/>
    <cellStyle name="40% - Accent6 2 5 3 2" xfId="1928" xr:uid="{00000000-0005-0000-0000-0000470F0000}"/>
    <cellStyle name="40% - Accent6 2 5 3 3" xfId="3206" xr:uid="{00000000-0005-0000-0000-0000480F0000}"/>
    <cellStyle name="40% - Accent6 2 5 3 4" xfId="4493" xr:uid="{00000000-0005-0000-0000-0000490F0000}"/>
    <cellStyle name="40% - Accent6 2 5 4" xfId="1062" xr:uid="{00000000-0005-0000-0000-00004A0F0000}"/>
    <cellStyle name="40% - Accent6 2 5 4 2" xfId="2354" xr:uid="{00000000-0005-0000-0000-00004B0F0000}"/>
    <cellStyle name="40% - Accent6 2 5 4 3" xfId="3632" xr:uid="{00000000-0005-0000-0000-00004C0F0000}"/>
    <cellStyle name="40% - Accent6 2 5 4 4" xfId="4919" xr:uid="{00000000-0005-0000-0000-00004D0F0000}"/>
    <cellStyle name="40% - Accent6 2 5 5" xfId="1502" xr:uid="{00000000-0005-0000-0000-00004E0F0000}"/>
    <cellStyle name="40% - Accent6 2 5 6" xfId="2780" xr:uid="{00000000-0005-0000-0000-00004F0F0000}"/>
    <cellStyle name="40% - Accent6 2 5 7" xfId="4067" xr:uid="{00000000-0005-0000-0000-0000500F0000}"/>
    <cellStyle name="40% - Accent6 2 6" xfId="281" xr:uid="{00000000-0005-0000-0000-0000510F0000}"/>
    <cellStyle name="40% - Accent6 2 6 2" xfId="494" xr:uid="{00000000-0005-0000-0000-0000520F0000}"/>
    <cellStyle name="40% - Accent6 2 6 2 2" xfId="919" xr:uid="{00000000-0005-0000-0000-0000530F0000}"/>
    <cellStyle name="40% - Accent6 2 6 2 2 2" xfId="2211" xr:uid="{00000000-0005-0000-0000-0000540F0000}"/>
    <cellStyle name="40% - Accent6 2 6 2 2 3" xfId="3489" xr:uid="{00000000-0005-0000-0000-0000550F0000}"/>
    <cellStyle name="40% - Accent6 2 6 2 2 4" xfId="4776" xr:uid="{00000000-0005-0000-0000-0000560F0000}"/>
    <cellStyle name="40% - Accent6 2 6 2 3" xfId="1345" xr:uid="{00000000-0005-0000-0000-0000570F0000}"/>
    <cellStyle name="40% - Accent6 2 6 2 3 2" xfId="2637" xr:uid="{00000000-0005-0000-0000-0000580F0000}"/>
    <cellStyle name="40% - Accent6 2 6 2 3 3" xfId="3915" xr:uid="{00000000-0005-0000-0000-0000590F0000}"/>
    <cellStyle name="40% - Accent6 2 6 2 3 4" xfId="5202" xr:uid="{00000000-0005-0000-0000-00005A0F0000}"/>
    <cellStyle name="40% - Accent6 2 6 2 4" xfId="1785" xr:uid="{00000000-0005-0000-0000-00005B0F0000}"/>
    <cellStyle name="40% - Accent6 2 6 2 5" xfId="3063" xr:uid="{00000000-0005-0000-0000-00005C0F0000}"/>
    <cellStyle name="40% - Accent6 2 6 2 6" xfId="4350" xr:uid="{00000000-0005-0000-0000-00005D0F0000}"/>
    <cellStyle name="40% - Accent6 2 6 3" xfId="706" xr:uid="{00000000-0005-0000-0000-00005E0F0000}"/>
    <cellStyle name="40% - Accent6 2 6 3 2" xfId="1998" xr:uid="{00000000-0005-0000-0000-00005F0F0000}"/>
    <cellStyle name="40% - Accent6 2 6 3 3" xfId="3276" xr:uid="{00000000-0005-0000-0000-0000600F0000}"/>
    <cellStyle name="40% - Accent6 2 6 3 4" xfId="4563" xr:uid="{00000000-0005-0000-0000-0000610F0000}"/>
    <cellStyle name="40% - Accent6 2 6 4" xfId="1132" xr:uid="{00000000-0005-0000-0000-0000620F0000}"/>
    <cellStyle name="40% - Accent6 2 6 4 2" xfId="2424" xr:uid="{00000000-0005-0000-0000-0000630F0000}"/>
    <cellStyle name="40% - Accent6 2 6 4 3" xfId="3702" xr:uid="{00000000-0005-0000-0000-0000640F0000}"/>
    <cellStyle name="40% - Accent6 2 6 4 4" xfId="4989" xr:uid="{00000000-0005-0000-0000-0000650F0000}"/>
    <cellStyle name="40% - Accent6 2 6 5" xfId="1572" xr:uid="{00000000-0005-0000-0000-0000660F0000}"/>
    <cellStyle name="40% - Accent6 2 6 6" xfId="2850" xr:uid="{00000000-0005-0000-0000-0000670F0000}"/>
    <cellStyle name="40% - Accent6 2 6 7" xfId="4137" xr:uid="{00000000-0005-0000-0000-0000680F0000}"/>
    <cellStyle name="40% - Accent6 2 7" xfId="418" xr:uid="{00000000-0005-0000-0000-0000690F0000}"/>
    <cellStyle name="40% - Accent6 2 7 2" xfId="844" xr:uid="{00000000-0005-0000-0000-00006A0F0000}"/>
    <cellStyle name="40% - Accent6 2 7 2 2" xfId="2136" xr:uid="{00000000-0005-0000-0000-00006B0F0000}"/>
    <cellStyle name="40% - Accent6 2 7 2 3" xfId="3414" xr:uid="{00000000-0005-0000-0000-00006C0F0000}"/>
    <cellStyle name="40% - Accent6 2 7 2 4" xfId="4701" xr:uid="{00000000-0005-0000-0000-00006D0F0000}"/>
    <cellStyle name="40% - Accent6 2 7 3" xfId="1270" xr:uid="{00000000-0005-0000-0000-00006E0F0000}"/>
    <cellStyle name="40% - Accent6 2 7 3 2" xfId="2562" xr:uid="{00000000-0005-0000-0000-00006F0F0000}"/>
    <cellStyle name="40% - Accent6 2 7 3 3" xfId="3840" xr:uid="{00000000-0005-0000-0000-0000700F0000}"/>
    <cellStyle name="40% - Accent6 2 7 3 4" xfId="5127" xr:uid="{00000000-0005-0000-0000-0000710F0000}"/>
    <cellStyle name="40% - Accent6 2 7 4" xfId="1710" xr:uid="{00000000-0005-0000-0000-0000720F0000}"/>
    <cellStyle name="40% - Accent6 2 7 5" xfId="2988" xr:uid="{00000000-0005-0000-0000-0000730F0000}"/>
    <cellStyle name="40% - Accent6 2 7 6" xfId="4275" xr:uid="{00000000-0005-0000-0000-0000740F0000}"/>
    <cellStyle name="40% - Accent6 2 8" xfId="631" xr:uid="{00000000-0005-0000-0000-0000750F0000}"/>
    <cellStyle name="40% - Accent6 2 8 2" xfId="1923" xr:uid="{00000000-0005-0000-0000-0000760F0000}"/>
    <cellStyle name="40% - Accent6 2 8 3" xfId="3201" xr:uid="{00000000-0005-0000-0000-0000770F0000}"/>
    <cellStyle name="40% - Accent6 2 8 4" xfId="4488" xr:uid="{00000000-0005-0000-0000-0000780F0000}"/>
    <cellStyle name="40% - Accent6 2 9" xfId="1057" xr:uid="{00000000-0005-0000-0000-0000790F0000}"/>
    <cellStyle name="40% - Accent6 2 9 2" xfId="2349" xr:uid="{00000000-0005-0000-0000-00007A0F0000}"/>
    <cellStyle name="40% - Accent6 2 9 3" xfId="3627" xr:uid="{00000000-0005-0000-0000-00007B0F0000}"/>
    <cellStyle name="40% - Accent6 2 9 4" xfId="4914" xr:uid="{00000000-0005-0000-0000-00007C0F0000}"/>
    <cellStyle name="40% - Accent6 3" xfId="199" xr:uid="{00000000-0005-0000-0000-00007D0F0000}"/>
    <cellStyle name="40% - Accent6 3 2" xfId="200" xr:uid="{00000000-0005-0000-0000-00007E0F0000}"/>
    <cellStyle name="40% - Accent6 3 2 2" xfId="425" xr:uid="{00000000-0005-0000-0000-00007F0F0000}"/>
    <cellStyle name="40% - Accent6 3 2 2 2" xfId="851" xr:uid="{00000000-0005-0000-0000-0000800F0000}"/>
    <cellStyle name="40% - Accent6 3 2 2 2 2" xfId="2143" xr:uid="{00000000-0005-0000-0000-0000810F0000}"/>
    <cellStyle name="40% - Accent6 3 2 2 2 3" xfId="3421" xr:uid="{00000000-0005-0000-0000-0000820F0000}"/>
    <cellStyle name="40% - Accent6 3 2 2 2 4" xfId="4708" xr:uid="{00000000-0005-0000-0000-0000830F0000}"/>
    <cellStyle name="40% - Accent6 3 2 2 3" xfId="1277" xr:uid="{00000000-0005-0000-0000-0000840F0000}"/>
    <cellStyle name="40% - Accent6 3 2 2 3 2" xfId="2569" xr:uid="{00000000-0005-0000-0000-0000850F0000}"/>
    <cellStyle name="40% - Accent6 3 2 2 3 3" xfId="3847" xr:uid="{00000000-0005-0000-0000-0000860F0000}"/>
    <cellStyle name="40% - Accent6 3 2 2 3 4" xfId="5134" xr:uid="{00000000-0005-0000-0000-0000870F0000}"/>
    <cellStyle name="40% - Accent6 3 2 2 4" xfId="1717" xr:uid="{00000000-0005-0000-0000-0000880F0000}"/>
    <cellStyle name="40% - Accent6 3 2 2 5" xfId="2995" xr:uid="{00000000-0005-0000-0000-0000890F0000}"/>
    <cellStyle name="40% - Accent6 3 2 2 6" xfId="4282" xr:uid="{00000000-0005-0000-0000-00008A0F0000}"/>
    <cellStyle name="40% - Accent6 3 2 3" xfId="638" xr:uid="{00000000-0005-0000-0000-00008B0F0000}"/>
    <cellStyle name="40% - Accent6 3 2 3 2" xfId="1930" xr:uid="{00000000-0005-0000-0000-00008C0F0000}"/>
    <cellStyle name="40% - Accent6 3 2 3 3" xfId="3208" xr:uid="{00000000-0005-0000-0000-00008D0F0000}"/>
    <cellStyle name="40% - Accent6 3 2 3 4" xfId="4495" xr:uid="{00000000-0005-0000-0000-00008E0F0000}"/>
    <cellStyle name="40% - Accent6 3 2 4" xfId="1064" xr:uid="{00000000-0005-0000-0000-00008F0F0000}"/>
    <cellStyle name="40% - Accent6 3 2 4 2" xfId="2356" xr:uid="{00000000-0005-0000-0000-0000900F0000}"/>
    <cellStyle name="40% - Accent6 3 2 4 3" xfId="3634" xr:uid="{00000000-0005-0000-0000-0000910F0000}"/>
    <cellStyle name="40% - Accent6 3 2 4 4" xfId="4921" xr:uid="{00000000-0005-0000-0000-0000920F0000}"/>
    <cellStyle name="40% - Accent6 3 2 5" xfId="1504" xr:uid="{00000000-0005-0000-0000-0000930F0000}"/>
    <cellStyle name="40% - Accent6 3 2 6" xfId="2782" xr:uid="{00000000-0005-0000-0000-0000940F0000}"/>
    <cellStyle name="40% - Accent6 3 2 7" xfId="4069" xr:uid="{00000000-0005-0000-0000-0000950F0000}"/>
    <cellStyle name="40% - Accent6 3 2 8" xfId="5301" xr:uid="{00000000-0005-0000-0000-0000960F0000}"/>
    <cellStyle name="40% - Accent6 3 3" xfId="424" xr:uid="{00000000-0005-0000-0000-0000970F0000}"/>
    <cellStyle name="40% - Accent6 3 3 2" xfId="850" xr:uid="{00000000-0005-0000-0000-0000980F0000}"/>
    <cellStyle name="40% - Accent6 3 3 2 2" xfId="2142" xr:uid="{00000000-0005-0000-0000-0000990F0000}"/>
    <cellStyle name="40% - Accent6 3 3 2 3" xfId="3420" xr:uid="{00000000-0005-0000-0000-00009A0F0000}"/>
    <cellStyle name="40% - Accent6 3 3 2 4" xfId="4707" xr:uid="{00000000-0005-0000-0000-00009B0F0000}"/>
    <cellStyle name="40% - Accent6 3 3 3" xfId="1276" xr:uid="{00000000-0005-0000-0000-00009C0F0000}"/>
    <cellStyle name="40% - Accent6 3 3 3 2" xfId="2568" xr:uid="{00000000-0005-0000-0000-00009D0F0000}"/>
    <cellStyle name="40% - Accent6 3 3 3 3" xfId="3846" xr:uid="{00000000-0005-0000-0000-00009E0F0000}"/>
    <cellStyle name="40% - Accent6 3 3 3 4" xfId="5133" xr:uid="{00000000-0005-0000-0000-00009F0F0000}"/>
    <cellStyle name="40% - Accent6 3 3 4" xfId="1716" xr:uid="{00000000-0005-0000-0000-0000A00F0000}"/>
    <cellStyle name="40% - Accent6 3 3 5" xfId="2994" xr:uid="{00000000-0005-0000-0000-0000A10F0000}"/>
    <cellStyle name="40% - Accent6 3 3 6" xfId="4281" xr:uid="{00000000-0005-0000-0000-0000A20F0000}"/>
    <cellStyle name="40% - Accent6 3 4" xfId="637" xr:uid="{00000000-0005-0000-0000-0000A30F0000}"/>
    <cellStyle name="40% - Accent6 3 4 2" xfId="1929" xr:uid="{00000000-0005-0000-0000-0000A40F0000}"/>
    <cellStyle name="40% - Accent6 3 4 3" xfId="3207" xr:uid="{00000000-0005-0000-0000-0000A50F0000}"/>
    <cellStyle name="40% - Accent6 3 4 4" xfId="4494" xr:uid="{00000000-0005-0000-0000-0000A60F0000}"/>
    <cellStyle name="40% - Accent6 3 5" xfId="1063" xr:uid="{00000000-0005-0000-0000-0000A70F0000}"/>
    <cellStyle name="40% - Accent6 3 5 2" xfId="2355" xr:uid="{00000000-0005-0000-0000-0000A80F0000}"/>
    <cellStyle name="40% - Accent6 3 5 3" xfId="3633" xr:uid="{00000000-0005-0000-0000-0000A90F0000}"/>
    <cellStyle name="40% - Accent6 3 5 4" xfId="4920" xr:uid="{00000000-0005-0000-0000-0000AA0F0000}"/>
    <cellStyle name="40% - Accent6 3 6" xfId="1503" xr:uid="{00000000-0005-0000-0000-0000AB0F0000}"/>
    <cellStyle name="40% - Accent6 3 7" xfId="2781" xr:uid="{00000000-0005-0000-0000-0000AC0F0000}"/>
    <cellStyle name="40% - Accent6 3 8" xfId="4068" xr:uid="{00000000-0005-0000-0000-0000AD0F0000}"/>
    <cellStyle name="40% - Accent6 3 9" xfId="5300" xr:uid="{00000000-0005-0000-0000-0000AE0F0000}"/>
    <cellStyle name="40% - Accent6 4" xfId="201" xr:uid="{00000000-0005-0000-0000-0000AF0F0000}"/>
    <cellStyle name="40% - Accent6 4 2" xfId="426" xr:uid="{00000000-0005-0000-0000-0000B00F0000}"/>
    <cellStyle name="40% - Accent6 4 2 2" xfId="852" xr:uid="{00000000-0005-0000-0000-0000B10F0000}"/>
    <cellStyle name="40% - Accent6 4 2 2 2" xfId="2144" xr:uid="{00000000-0005-0000-0000-0000B20F0000}"/>
    <cellStyle name="40% - Accent6 4 2 2 3" xfId="3422" xr:uid="{00000000-0005-0000-0000-0000B30F0000}"/>
    <cellStyle name="40% - Accent6 4 2 2 4" xfId="4709" xr:uid="{00000000-0005-0000-0000-0000B40F0000}"/>
    <cellStyle name="40% - Accent6 4 2 3" xfId="1278" xr:uid="{00000000-0005-0000-0000-0000B50F0000}"/>
    <cellStyle name="40% - Accent6 4 2 3 2" xfId="2570" xr:uid="{00000000-0005-0000-0000-0000B60F0000}"/>
    <cellStyle name="40% - Accent6 4 2 3 3" xfId="3848" xr:uid="{00000000-0005-0000-0000-0000B70F0000}"/>
    <cellStyle name="40% - Accent6 4 2 3 4" xfId="5135" xr:uid="{00000000-0005-0000-0000-0000B80F0000}"/>
    <cellStyle name="40% - Accent6 4 2 4" xfId="1718" xr:uid="{00000000-0005-0000-0000-0000B90F0000}"/>
    <cellStyle name="40% - Accent6 4 2 5" xfId="2996" xr:uid="{00000000-0005-0000-0000-0000BA0F0000}"/>
    <cellStyle name="40% - Accent6 4 2 6" xfId="4283" xr:uid="{00000000-0005-0000-0000-0000BB0F0000}"/>
    <cellStyle name="40% - Accent6 4 3" xfId="639" xr:uid="{00000000-0005-0000-0000-0000BC0F0000}"/>
    <cellStyle name="40% - Accent6 4 3 2" xfId="1931" xr:uid="{00000000-0005-0000-0000-0000BD0F0000}"/>
    <cellStyle name="40% - Accent6 4 3 3" xfId="3209" xr:uid="{00000000-0005-0000-0000-0000BE0F0000}"/>
    <cellStyle name="40% - Accent6 4 3 4" xfId="4496" xr:uid="{00000000-0005-0000-0000-0000BF0F0000}"/>
    <cellStyle name="40% - Accent6 4 4" xfId="1065" xr:uid="{00000000-0005-0000-0000-0000C00F0000}"/>
    <cellStyle name="40% - Accent6 4 4 2" xfId="2357" xr:uid="{00000000-0005-0000-0000-0000C10F0000}"/>
    <cellStyle name="40% - Accent6 4 4 3" xfId="3635" xr:uid="{00000000-0005-0000-0000-0000C20F0000}"/>
    <cellStyle name="40% - Accent6 4 4 4" xfId="4922" xr:uid="{00000000-0005-0000-0000-0000C30F0000}"/>
    <cellStyle name="40% - Accent6 4 5" xfId="1505" xr:uid="{00000000-0005-0000-0000-0000C40F0000}"/>
    <cellStyle name="40% - Accent6 4 6" xfId="2783" xr:uid="{00000000-0005-0000-0000-0000C50F0000}"/>
    <cellStyle name="40% - Accent6 4 7" xfId="4070" xr:uid="{00000000-0005-0000-0000-0000C60F0000}"/>
    <cellStyle name="40% - Accent6 4 8" xfId="5302" xr:uid="{00000000-0005-0000-0000-0000C70F0000}"/>
    <cellStyle name="40% - Accent6 5" xfId="202" xr:uid="{00000000-0005-0000-0000-0000C80F0000}"/>
    <cellStyle name="40% - Accent6 5 2" xfId="427" xr:uid="{00000000-0005-0000-0000-0000C90F0000}"/>
    <cellStyle name="40% - Accent6 5 2 2" xfId="853" xr:uid="{00000000-0005-0000-0000-0000CA0F0000}"/>
    <cellStyle name="40% - Accent6 5 2 2 2" xfId="2145" xr:uid="{00000000-0005-0000-0000-0000CB0F0000}"/>
    <cellStyle name="40% - Accent6 5 2 2 3" xfId="3423" xr:uid="{00000000-0005-0000-0000-0000CC0F0000}"/>
    <cellStyle name="40% - Accent6 5 2 2 4" xfId="4710" xr:uid="{00000000-0005-0000-0000-0000CD0F0000}"/>
    <cellStyle name="40% - Accent6 5 2 3" xfId="1279" xr:uid="{00000000-0005-0000-0000-0000CE0F0000}"/>
    <cellStyle name="40% - Accent6 5 2 3 2" xfId="2571" xr:uid="{00000000-0005-0000-0000-0000CF0F0000}"/>
    <cellStyle name="40% - Accent6 5 2 3 3" xfId="3849" xr:uid="{00000000-0005-0000-0000-0000D00F0000}"/>
    <cellStyle name="40% - Accent6 5 2 3 4" xfId="5136" xr:uid="{00000000-0005-0000-0000-0000D10F0000}"/>
    <cellStyle name="40% - Accent6 5 2 4" xfId="1719" xr:uid="{00000000-0005-0000-0000-0000D20F0000}"/>
    <cellStyle name="40% - Accent6 5 2 5" xfId="2997" xr:uid="{00000000-0005-0000-0000-0000D30F0000}"/>
    <cellStyle name="40% - Accent6 5 2 6" xfId="4284" xr:uid="{00000000-0005-0000-0000-0000D40F0000}"/>
    <cellStyle name="40% - Accent6 5 3" xfId="640" xr:uid="{00000000-0005-0000-0000-0000D50F0000}"/>
    <cellStyle name="40% - Accent6 5 3 2" xfId="1932" xr:uid="{00000000-0005-0000-0000-0000D60F0000}"/>
    <cellStyle name="40% - Accent6 5 3 3" xfId="3210" xr:uid="{00000000-0005-0000-0000-0000D70F0000}"/>
    <cellStyle name="40% - Accent6 5 3 4" xfId="4497" xr:uid="{00000000-0005-0000-0000-0000D80F0000}"/>
    <cellStyle name="40% - Accent6 5 4" xfId="1066" xr:uid="{00000000-0005-0000-0000-0000D90F0000}"/>
    <cellStyle name="40% - Accent6 5 4 2" xfId="2358" xr:uid="{00000000-0005-0000-0000-0000DA0F0000}"/>
    <cellStyle name="40% - Accent6 5 4 3" xfId="3636" xr:uid="{00000000-0005-0000-0000-0000DB0F0000}"/>
    <cellStyle name="40% - Accent6 5 4 4" xfId="4923" xr:uid="{00000000-0005-0000-0000-0000DC0F0000}"/>
    <cellStyle name="40% - Accent6 5 5" xfId="1506" xr:uid="{00000000-0005-0000-0000-0000DD0F0000}"/>
    <cellStyle name="40% - Accent6 5 6" xfId="2784" xr:uid="{00000000-0005-0000-0000-0000DE0F0000}"/>
    <cellStyle name="40% - Accent6 5 7" xfId="4071" xr:uid="{00000000-0005-0000-0000-0000DF0F0000}"/>
    <cellStyle name="40% - Accent6 6" xfId="203" xr:uid="{00000000-0005-0000-0000-0000E00F0000}"/>
    <cellStyle name="40% - Accent6 6 2" xfId="428" xr:uid="{00000000-0005-0000-0000-0000E10F0000}"/>
    <cellStyle name="40% - Accent6 6 2 2" xfId="854" xr:uid="{00000000-0005-0000-0000-0000E20F0000}"/>
    <cellStyle name="40% - Accent6 6 2 2 2" xfId="2146" xr:uid="{00000000-0005-0000-0000-0000E30F0000}"/>
    <cellStyle name="40% - Accent6 6 2 2 3" xfId="3424" xr:uid="{00000000-0005-0000-0000-0000E40F0000}"/>
    <cellStyle name="40% - Accent6 6 2 2 4" xfId="4711" xr:uid="{00000000-0005-0000-0000-0000E50F0000}"/>
    <cellStyle name="40% - Accent6 6 2 3" xfId="1280" xr:uid="{00000000-0005-0000-0000-0000E60F0000}"/>
    <cellStyle name="40% - Accent6 6 2 3 2" xfId="2572" xr:uid="{00000000-0005-0000-0000-0000E70F0000}"/>
    <cellStyle name="40% - Accent6 6 2 3 3" xfId="3850" xr:uid="{00000000-0005-0000-0000-0000E80F0000}"/>
    <cellStyle name="40% - Accent6 6 2 3 4" xfId="5137" xr:uid="{00000000-0005-0000-0000-0000E90F0000}"/>
    <cellStyle name="40% - Accent6 6 2 4" xfId="1720" xr:uid="{00000000-0005-0000-0000-0000EA0F0000}"/>
    <cellStyle name="40% - Accent6 6 2 5" xfId="2998" xr:uid="{00000000-0005-0000-0000-0000EB0F0000}"/>
    <cellStyle name="40% - Accent6 6 2 6" xfId="4285" xr:uid="{00000000-0005-0000-0000-0000EC0F0000}"/>
    <cellStyle name="40% - Accent6 6 3" xfId="641" xr:uid="{00000000-0005-0000-0000-0000ED0F0000}"/>
    <cellStyle name="40% - Accent6 6 3 2" xfId="1933" xr:uid="{00000000-0005-0000-0000-0000EE0F0000}"/>
    <cellStyle name="40% - Accent6 6 3 3" xfId="3211" xr:uid="{00000000-0005-0000-0000-0000EF0F0000}"/>
    <cellStyle name="40% - Accent6 6 3 4" xfId="4498" xr:uid="{00000000-0005-0000-0000-0000F00F0000}"/>
    <cellStyle name="40% - Accent6 6 4" xfId="1067" xr:uid="{00000000-0005-0000-0000-0000F10F0000}"/>
    <cellStyle name="40% - Accent6 6 4 2" xfId="2359" xr:uid="{00000000-0005-0000-0000-0000F20F0000}"/>
    <cellStyle name="40% - Accent6 6 4 3" xfId="3637" xr:uid="{00000000-0005-0000-0000-0000F30F0000}"/>
    <cellStyle name="40% - Accent6 6 4 4" xfId="4924" xr:uid="{00000000-0005-0000-0000-0000F40F0000}"/>
    <cellStyle name="40% - Accent6 6 5" xfId="1507" xr:uid="{00000000-0005-0000-0000-0000F50F0000}"/>
    <cellStyle name="40% - Accent6 6 6" xfId="2785" xr:uid="{00000000-0005-0000-0000-0000F60F0000}"/>
    <cellStyle name="40% - Accent6 6 7" xfId="4072" xr:uid="{00000000-0005-0000-0000-0000F70F0000}"/>
    <cellStyle name="40% - Accent6 7" xfId="266" xr:uid="{00000000-0005-0000-0000-0000F80F0000}"/>
    <cellStyle name="40% - Accent6 7 2" xfId="479" xr:uid="{00000000-0005-0000-0000-0000F90F0000}"/>
    <cellStyle name="40% - Accent6 7 2 2" xfId="904" xr:uid="{00000000-0005-0000-0000-0000FA0F0000}"/>
    <cellStyle name="40% - Accent6 7 2 2 2" xfId="2196" xr:uid="{00000000-0005-0000-0000-0000FB0F0000}"/>
    <cellStyle name="40% - Accent6 7 2 2 3" xfId="3474" xr:uid="{00000000-0005-0000-0000-0000FC0F0000}"/>
    <cellStyle name="40% - Accent6 7 2 2 4" xfId="4761" xr:uid="{00000000-0005-0000-0000-0000FD0F0000}"/>
    <cellStyle name="40% - Accent6 7 2 3" xfId="1330" xr:uid="{00000000-0005-0000-0000-0000FE0F0000}"/>
    <cellStyle name="40% - Accent6 7 2 3 2" xfId="2622" xr:uid="{00000000-0005-0000-0000-0000FF0F0000}"/>
    <cellStyle name="40% - Accent6 7 2 3 3" xfId="3900" xr:uid="{00000000-0005-0000-0000-000000100000}"/>
    <cellStyle name="40% - Accent6 7 2 3 4" xfId="5187" xr:uid="{00000000-0005-0000-0000-000001100000}"/>
    <cellStyle name="40% - Accent6 7 2 4" xfId="1770" xr:uid="{00000000-0005-0000-0000-000002100000}"/>
    <cellStyle name="40% - Accent6 7 2 5" xfId="3048" xr:uid="{00000000-0005-0000-0000-000003100000}"/>
    <cellStyle name="40% - Accent6 7 2 6" xfId="4335" xr:uid="{00000000-0005-0000-0000-000004100000}"/>
    <cellStyle name="40% - Accent6 7 3" xfId="691" xr:uid="{00000000-0005-0000-0000-000005100000}"/>
    <cellStyle name="40% - Accent6 7 3 2" xfId="1983" xr:uid="{00000000-0005-0000-0000-000006100000}"/>
    <cellStyle name="40% - Accent6 7 3 3" xfId="3261" xr:uid="{00000000-0005-0000-0000-000007100000}"/>
    <cellStyle name="40% - Accent6 7 3 4" xfId="4548" xr:uid="{00000000-0005-0000-0000-000008100000}"/>
    <cellStyle name="40% - Accent6 7 4" xfId="1117" xr:uid="{00000000-0005-0000-0000-000009100000}"/>
    <cellStyle name="40% - Accent6 7 4 2" xfId="2409" xr:uid="{00000000-0005-0000-0000-00000A100000}"/>
    <cellStyle name="40% - Accent6 7 4 3" xfId="3687" xr:uid="{00000000-0005-0000-0000-00000B100000}"/>
    <cellStyle name="40% - Accent6 7 4 4" xfId="4974" xr:uid="{00000000-0005-0000-0000-00000C100000}"/>
    <cellStyle name="40% - Accent6 7 5" xfId="1557" xr:uid="{00000000-0005-0000-0000-00000D100000}"/>
    <cellStyle name="40% - Accent6 7 6" xfId="2835" xr:uid="{00000000-0005-0000-0000-00000E100000}"/>
    <cellStyle name="40% - Accent6 7 7" xfId="4122" xr:uid="{00000000-0005-0000-0000-00000F100000}"/>
    <cellStyle name="40% - Accent6 8" xfId="417" xr:uid="{00000000-0005-0000-0000-000010100000}"/>
    <cellStyle name="40% - Accent6 8 2" xfId="843" xr:uid="{00000000-0005-0000-0000-000011100000}"/>
    <cellStyle name="40% - Accent6 8 2 2" xfId="2135" xr:uid="{00000000-0005-0000-0000-000012100000}"/>
    <cellStyle name="40% - Accent6 8 2 3" xfId="3413" xr:uid="{00000000-0005-0000-0000-000013100000}"/>
    <cellStyle name="40% - Accent6 8 2 4" xfId="4700" xr:uid="{00000000-0005-0000-0000-000014100000}"/>
    <cellStyle name="40% - Accent6 8 3" xfId="1269" xr:uid="{00000000-0005-0000-0000-000015100000}"/>
    <cellStyle name="40% - Accent6 8 3 2" xfId="2561" xr:uid="{00000000-0005-0000-0000-000016100000}"/>
    <cellStyle name="40% - Accent6 8 3 3" xfId="3839" xr:uid="{00000000-0005-0000-0000-000017100000}"/>
    <cellStyle name="40% - Accent6 8 3 4" xfId="5126" xr:uid="{00000000-0005-0000-0000-000018100000}"/>
    <cellStyle name="40% - Accent6 8 4" xfId="1709" xr:uid="{00000000-0005-0000-0000-000019100000}"/>
    <cellStyle name="40% - Accent6 8 5" xfId="2987" xr:uid="{00000000-0005-0000-0000-00001A100000}"/>
    <cellStyle name="40% - Accent6 8 6" xfId="4274" xr:uid="{00000000-0005-0000-0000-00001B100000}"/>
    <cellStyle name="40% - Accent6 9" xfId="630" xr:uid="{00000000-0005-0000-0000-00001C100000}"/>
    <cellStyle name="40% - Accent6 9 2" xfId="1922" xr:uid="{00000000-0005-0000-0000-00001D100000}"/>
    <cellStyle name="40% - Accent6 9 3" xfId="3200" xr:uid="{00000000-0005-0000-0000-00001E100000}"/>
    <cellStyle name="40% - Accent6 9 4" xfId="4487" xr:uid="{00000000-0005-0000-0000-00001F100000}"/>
    <cellStyle name="60% - Accent1" xfId="61" builtinId="32" customBuiltin="1"/>
    <cellStyle name="60% - Accent2" xfId="65" builtinId="36" customBuiltin="1"/>
    <cellStyle name="60% - Accent3" xfId="69" builtinId="40" customBuiltin="1"/>
    <cellStyle name="60% - Accent4" xfId="72" builtinId="44" customBuiltin="1"/>
    <cellStyle name="60% - Accent5" xfId="76" builtinId="48" customBuiltin="1"/>
    <cellStyle name="60% - Accent6" xfId="80" builtinId="52" customBuiltin="1"/>
    <cellStyle name="Accent1" xfId="58" builtinId="29" customBuiltin="1"/>
    <cellStyle name="Accent2" xfId="62" builtinId="33" customBuiltin="1"/>
    <cellStyle name="Accent3" xfId="66" builtinId="37" customBuiltin="1"/>
    <cellStyle name="Accent4" xfId="70" builtinId="41" customBuiltin="1"/>
    <cellStyle name="Accent5" xfId="73" builtinId="45" customBuiltin="1"/>
    <cellStyle name="Accent6" xfId="77" builtinId="49" customBuiltin="1"/>
    <cellStyle name="Bad" xfId="49" builtinId="27" customBuiltin="1"/>
    <cellStyle name="Calculation" xfId="52" builtinId="22" customBuiltin="1"/>
    <cellStyle name="Check Cell" xfId="54" builtinId="23" customBuiltin="1"/>
    <cellStyle name="Comma" xfId="9" builtinId="3"/>
    <cellStyle name="Comma 2" xfId="7" xr:uid="{00000000-0005-0000-0000-000030100000}"/>
    <cellStyle name="Comma 2 2" xfId="204" xr:uid="{00000000-0005-0000-0000-000031100000}"/>
    <cellStyle name="Comma 2 3" xfId="83" xr:uid="{00000000-0005-0000-0000-000032100000}"/>
    <cellStyle name="Comma 3" xfId="22" xr:uid="{00000000-0005-0000-0000-000033100000}"/>
    <cellStyle name="Comma 3 2" xfId="205" xr:uid="{00000000-0005-0000-0000-000034100000}"/>
    <cellStyle name="Comma 3 2 2" xfId="251" xr:uid="{00000000-0005-0000-0000-000035100000}"/>
    <cellStyle name="Comma 3 2 2 2" xfId="923" xr:uid="{00000000-0005-0000-0000-000036100000}"/>
    <cellStyle name="Comma 3 2 2 2 2" xfId="2215" xr:uid="{00000000-0005-0000-0000-000037100000}"/>
    <cellStyle name="Comma 3 2 2 2 3" xfId="3493" xr:uid="{00000000-0005-0000-0000-000038100000}"/>
    <cellStyle name="Comma 3 2 2 2 4" xfId="4780" xr:uid="{00000000-0005-0000-0000-000039100000}"/>
    <cellStyle name="Comma 3 2 2 3" xfId="1349" xr:uid="{00000000-0005-0000-0000-00003A100000}"/>
    <cellStyle name="Comma 3 2 2 3 2" xfId="2641" xr:uid="{00000000-0005-0000-0000-00003B100000}"/>
    <cellStyle name="Comma 3 2 2 3 3" xfId="3919" xr:uid="{00000000-0005-0000-0000-00003C100000}"/>
    <cellStyle name="Comma 3 2 2 3 4" xfId="5206" xr:uid="{00000000-0005-0000-0000-00003D100000}"/>
    <cellStyle name="Comma 3 2 2 4" xfId="1789" xr:uid="{00000000-0005-0000-0000-00003E100000}"/>
    <cellStyle name="Comma 3 2 2 5" xfId="3067" xr:uid="{00000000-0005-0000-0000-00003F100000}"/>
    <cellStyle name="Comma 3 2 2 6" xfId="4354" xr:uid="{00000000-0005-0000-0000-000040100000}"/>
    <cellStyle name="Comma 3 2 2 7" xfId="5334" xr:uid="{00000000-0005-0000-0000-000041100000}"/>
    <cellStyle name="Comma 3 2 3" xfId="710" xr:uid="{00000000-0005-0000-0000-000042100000}"/>
    <cellStyle name="Comma 3 2 3 2" xfId="2002" xr:uid="{00000000-0005-0000-0000-000043100000}"/>
    <cellStyle name="Comma 3 2 3 3" xfId="3280" xr:uid="{00000000-0005-0000-0000-000044100000}"/>
    <cellStyle name="Comma 3 2 3 4" xfId="4567" xr:uid="{00000000-0005-0000-0000-000045100000}"/>
    <cellStyle name="Comma 3 2 4" xfId="1136" xr:uid="{00000000-0005-0000-0000-000046100000}"/>
    <cellStyle name="Comma 3 2 4 2" xfId="2428" xr:uid="{00000000-0005-0000-0000-000047100000}"/>
    <cellStyle name="Comma 3 2 4 3" xfId="3706" xr:uid="{00000000-0005-0000-0000-000048100000}"/>
    <cellStyle name="Comma 3 2 4 4" xfId="4993" xr:uid="{00000000-0005-0000-0000-000049100000}"/>
    <cellStyle name="Comma 3 2 5" xfId="1576" xr:uid="{00000000-0005-0000-0000-00004A100000}"/>
    <cellStyle name="Comma 3 2 6" xfId="2854" xr:uid="{00000000-0005-0000-0000-00004B100000}"/>
    <cellStyle name="Comma 3 2 7" xfId="4141" xr:uid="{00000000-0005-0000-0000-00004C100000}"/>
    <cellStyle name="Comma 3 2 8" xfId="5333" xr:uid="{00000000-0005-0000-0000-00004D100000}"/>
    <cellStyle name="Comma 3 3" xfId="1359" xr:uid="{00000000-0005-0000-0000-00004E100000}"/>
    <cellStyle name="Comma 3 4" xfId="5303" xr:uid="{00000000-0005-0000-0000-00004F100000}"/>
    <cellStyle name="Comma 4" xfId="1356" xr:uid="{00000000-0005-0000-0000-000050100000}"/>
    <cellStyle name="Comma 5" xfId="1353" xr:uid="{00000000-0005-0000-0000-000051100000}"/>
    <cellStyle name="Comma 6" xfId="3927" xr:uid="{00000000-0005-0000-0000-000052100000}"/>
    <cellStyle name="Currency" xfId="1" builtinId="4"/>
    <cellStyle name="Currency 2" xfId="206" xr:uid="{00000000-0005-0000-0000-000054100000}"/>
    <cellStyle name="Currency 2 2" xfId="249" xr:uid="{00000000-0005-0000-0000-000055100000}"/>
    <cellStyle name="Currency 2 2 2" xfId="5304" xr:uid="{00000000-0005-0000-0000-000056100000}"/>
    <cellStyle name="Currency 3" xfId="1357" xr:uid="{00000000-0005-0000-0000-000057100000}"/>
    <cellStyle name="Explanatory Text" xfId="56" builtinId="53" customBuiltin="1"/>
    <cellStyle name="Good" xfId="48" builtinId="26" customBuiltin="1"/>
    <cellStyle name="Heading 1" xfId="44" builtinId="16" customBuiltin="1"/>
    <cellStyle name="Heading 2" xfId="45" builtinId="17" customBuiltin="1"/>
    <cellStyle name="Heading 3" xfId="46" builtinId="18" customBuiltin="1"/>
    <cellStyle name="Heading 4" xfId="47" builtinId="19" customBuiltin="1"/>
    <cellStyle name="Hyperlink" xfId="5" builtinId="8"/>
    <cellStyle name="Hyperlink 2" xfId="246" xr:uid="{00000000-0005-0000-0000-00005F100000}"/>
    <cellStyle name="Input" xfId="51" builtinId="20" customBuiltin="1"/>
    <cellStyle name="Linked Cell" xfId="53" builtinId="24" customBuiltin="1"/>
    <cellStyle name="Neutral" xfId="50" builtinId="28" customBuiltin="1"/>
    <cellStyle name="Normal" xfId="0" builtinId="0"/>
    <cellStyle name="Normal 10" xfId="1355" xr:uid="{00000000-0005-0000-0000-000064100000}"/>
    <cellStyle name="Normal 10 2" xfId="3925" xr:uid="{00000000-0005-0000-0000-000065100000}"/>
    <cellStyle name="Normal 11" xfId="1352" xr:uid="{00000000-0005-0000-0000-000066100000}"/>
    <cellStyle name="Normal 12" xfId="3920" xr:uid="{00000000-0005-0000-0000-000067100000}"/>
    <cellStyle name="Normal 12 2" xfId="3928" xr:uid="{00000000-0005-0000-0000-000068100000}"/>
    <cellStyle name="Normal 13" xfId="5339" xr:uid="{541B4E07-E577-46C8-B4B3-8F345E16E051}"/>
    <cellStyle name="Normal 2" xfId="6" xr:uid="{00000000-0005-0000-0000-000069100000}"/>
    <cellStyle name="Normal 2 2" xfId="23" xr:uid="{00000000-0005-0000-0000-00006A100000}"/>
    <cellStyle name="Normal 2 2 2 2 2" xfId="5337" xr:uid="{797D6A6C-4BE2-4D45-B3EC-12D696687133}"/>
    <cellStyle name="Normal 2 2 2 2 2 2" xfId="5338" xr:uid="{A3BD22F7-723C-4588-8494-5F5F8AB8FCB5}"/>
    <cellStyle name="Normal 2 2 2 2 3" xfId="5342" xr:uid="{3FCEF959-8EDD-4618-A6FE-76B7BFBC8F24}"/>
    <cellStyle name="Normal 2 3" xfId="24" xr:uid="{00000000-0005-0000-0000-00006B100000}"/>
    <cellStyle name="Normal 2 3 2" xfId="208" xr:uid="{00000000-0005-0000-0000-00006C100000}"/>
    <cellStyle name="Normal 2 4" xfId="25" xr:uid="{00000000-0005-0000-0000-00006D100000}"/>
    <cellStyle name="Normal 2 4 2" xfId="26" xr:uid="{00000000-0005-0000-0000-00006E100000}"/>
    <cellStyle name="Normal 2 4 3" xfId="3922" xr:uid="{00000000-0005-0000-0000-00006F100000}"/>
    <cellStyle name="Normal 2 5" xfId="27" xr:uid="{00000000-0005-0000-0000-000070100000}"/>
    <cellStyle name="Normal 2 5 2" xfId="28" xr:uid="{00000000-0005-0000-0000-000071100000}"/>
    <cellStyle name="Normal 2 6" xfId="29" xr:uid="{00000000-0005-0000-0000-000072100000}"/>
    <cellStyle name="Normal 2 7" xfId="207" xr:uid="{00000000-0005-0000-0000-000073100000}"/>
    <cellStyle name="Normal 2 8" xfId="82" xr:uid="{00000000-0005-0000-0000-000074100000}"/>
    <cellStyle name="Normal 2 9" xfId="3923" xr:uid="{00000000-0005-0000-0000-000075100000}"/>
    <cellStyle name="Normal 3" xfId="30" xr:uid="{00000000-0005-0000-0000-000076100000}"/>
    <cellStyle name="Normal 3 2" xfId="209" xr:uid="{00000000-0005-0000-0000-000077100000}"/>
    <cellStyle name="Normal 3 2 2" xfId="3924" xr:uid="{00000000-0005-0000-0000-000078100000}"/>
    <cellStyle name="Normal 3 2 3" xfId="5340" xr:uid="{19AD957C-B6FA-43FE-81C9-8B9546E71DAF}"/>
    <cellStyle name="Normal 3 3" xfId="3921" xr:uid="{00000000-0005-0000-0000-000079100000}"/>
    <cellStyle name="Normal 4" xfId="31" xr:uid="{00000000-0005-0000-0000-00007A100000}"/>
    <cellStyle name="Normal 4 2" xfId="247" xr:uid="{00000000-0005-0000-0000-00007B100000}"/>
    <cellStyle name="Normal 4 2 2" xfId="1360" xr:uid="{00000000-0005-0000-0000-00007C100000}"/>
    <cellStyle name="Normal 4 3" xfId="252" xr:uid="{00000000-0005-0000-0000-00007D100000}"/>
    <cellStyle name="Normal 4 3 2" xfId="1361" xr:uid="{00000000-0005-0000-0000-00007E100000}"/>
    <cellStyle name="Normal 4 4" xfId="253" xr:uid="{00000000-0005-0000-0000-00007F100000}"/>
    <cellStyle name="Normal 4 4 2" xfId="1363" xr:uid="{00000000-0005-0000-0000-000080100000}"/>
    <cellStyle name="Normal 4 5" xfId="1350" xr:uid="{00000000-0005-0000-0000-000081100000}"/>
    <cellStyle name="Normal 4 5 2" xfId="1351" xr:uid="{00000000-0005-0000-0000-000082100000}"/>
    <cellStyle name="Normal 4 6" xfId="3926" xr:uid="{00000000-0005-0000-0000-000083100000}"/>
    <cellStyle name="Normal 4 6 2" xfId="5335" xr:uid="{00000000-0005-0000-0000-000084100000}"/>
    <cellStyle name="Normal 5" xfId="32" xr:uid="{00000000-0005-0000-0000-000085100000}"/>
    <cellStyle name="Normal 5 2" xfId="5341" xr:uid="{E6088253-DF7C-4C6C-A382-A18E72199282}"/>
    <cellStyle name="Normal 6" xfId="33" xr:uid="{00000000-0005-0000-0000-000086100000}"/>
    <cellStyle name="Normal 6 2" xfId="210" xr:uid="{00000000-0005-0000-0000-000087100000}"/>
    <cellStyle name="Normal 7" xfId="34" xr:uid="{00000000-0005-0000-0000-000088100000}"/>
    <cellStyle name="Normal 7 10" xfId="429" xr:uid="{00000000-0005-0000-0000-000089100000}"/>
    <cellStyle name="Normal 7 10 2" xfId="855" xr:uid="{00000000-0005-0000-0000-00008A100000}"/>
    <cellStyle name="Normal 7 10 2 2" xfId="2147" xr:uid="{00000000-0005-0000-0000-00008B100000}"/>
    <cellStyle name="Normal 7 10 2 3" xfId="3425" xr:uid="{00000000-0005-0000-0000-00008C100000}"/>
    <cellStyle name="Normal 7 10 2 4" xfId="4712" xr:uid="{00000000-0005-0000-0000-00008D100000}"/>
    <cellStyle name="Normal 7 10 3" xfId="1281" xr:uid="{00000000-0005-0000-0000-00008E100000}"/>
    <cellStyle name="Normal 7 10 3 2" xfId="2573" xr:uid="{00000000-0005-0000-0000-00008F100000}"/>
    <cellStyle name="Normal 7 10 3 3" xfId="3851" xr:uid="{00000000-0005-0000-0000-000090100000}"/>
    <cellStyle name="Normal 7 10 3 4" xfId="5138" xr:uid="{00000000-0005-0000-0000-000091100000}"/>
    <cellStyle name="Normal 7 10 4" xfId="1721" xr:uid="{00000000-0005-0000-0000-000092100000}"/>
    <cellStyle name="Normal 7 10 5" xfId="2999" xr:uid="{00000000-0005-0000-0000-000093100000}"/>
    <cellStyle name="Normal 7 10 6" xfId="4286" xr:uid="{00000000-0005-0000-0000-000094100000}"/>
    <cellStyle name="Normal 7 11" xfId="642" xr:uid="{00000000-0005-0000-0000-000095100000}"/>
    <cellStyle name="Normal 7 11 2" xfId="1934" xr:uid="{00000000-0005-0000-0000-000096100000}"/>
    <cellStyle name="Normal 7 11 3" xfId="3212" xr:uid="{00000000-0005-0000-0000-000097100000}"/>
    <cellStyle name="Normal 7 11 4" xfId="4499" xr:uid="{00000000-0005-0000-0000-000098100000}"/>
    <cellStyle name="Normal 7 12" xfId="1068" xr:uid="{00000000-0005-0000-0000-000099100000}"/>
    <cellStyle name="Normal 7 12 2" xfId="2360" xr:uid="{00000000-0005-0000-0000-00009A100000}"/>
    <cellStyle name="Normal 7 12 3" xfId="3638" xr:uid="{00000000-0005-0000-0000-00009B100000}"/>
    <cellStyle name="Normal 7 12 4" xfId="4925" xr:uid="{00000000-0005-0000-0000-00009C100000}"/>
    <cellStyle name="Normal 7 13" xfId="1508" xr:uid="{00000000-0005-0000-0000-00009D100000}"/>
    <cellStyle name="Normal 7 14" xfId="2786" xr:uid="{00000000-0005-0000-0000-00009E100000}"/>
    <cellStyle name="Normal 7 15" xfId="4073" xr:uid="{00000000-0005-0000-0000-00009F100000}"/>
    <cellStyle name="Normal 7 16" xfId="5305" xr:uid="{00000000-0005-0000-0000-0000A0100000}"/>
    <cellStyle name="Normal 7 2" xfId="35" xr:uid="{00000000-0005-0000-0000-0000A1100000}"/>
    <cellStyle name="Normal 7 2 10" xfId="1509" xr:uid="{00000000-0005-0000-0000-0000A2100000}"/>
    <cellStyle name="Normal 7 2 11" xfId="2787" xr:uid="{00000000-0005-0000-0000-0000A3100000}"/>
    <cellStyle name="Normal 7 2 12" xfId="4074" xr:uid="{00000000-0005-0000-0000-0000A4100000}"/>
    <cellStyle name="Normal 7 2 13" xfId="5306" xr:uid="{00000000-0005-0000-0000-0000A5100000}"/>
    <cellStyle name="Normal 7 2 2" xfId="211" xr:uid="{00000000-0005-0000-0000-0000A6100000}"/>
    <cellStyle name="Normal 7 2 2 2" xfId="212" xr:uid="{00000000-0005-0000-0000-0000A7100000}"/>
    <cellStyle name="Normal 7 2 2 2 2" xfId="432" xr:uid="{00000000-0005-0000-0000-0000A8100000}"/>
    <cellStyle name="Normal 7 2 2 2 2 2" xfId="858" xr:uid="{00000000-0005-0000-0000-0000A9100000}"/>
    <cellStyle name="Normal 7 2 2 2 2 2 2" xfId="2150" xr:uid="{00000000-0005-0000-0000-0000AA100000}"/>
    <cellStyle name="Normal 7 2 2 2 2 2 3" xfId="3428" xr:uid="{00000000-0005-0000-0000-0000AB100000}"/>
    <cellStyle name="Normal 7 2 2 2 2 2 4" xfId="4715" xr:uid="{00000000-0005-0000-0000-0000AC100000}"/>
    <cellStyle name="Normal 7 2 2 2 2 3" xfId="1284" xr:uid="{00000000-0005-0000-0000-0000AD100000}"/>
    <cellStyle name="Normal 7 2 2 2 2 3 2" xfId="2576" xr:uid="{00000000-0005-0000-0000-0000AE100000}"/>
    <cellStyle name="Normal 7 2 2 2 2 3 3" xfId="3854" xr:uid="{00000000-0005-0000-0000-0000AF100000}"/>
    <cellStyle name="Normal 7 2 2 2 2 3 4" xfId="5141" xr:uid="{00000000-0005-0000-0000-0000B0100000}"/>
    <cellStyle name="Normal 7 2 2 2 2 4" xfId="1724" xr:uid="{00000000-0005-0000-0000-0000B1100000}"/>
    <cellStyle name="Normal 7 2 2 2 2 5" xfId="3002" xr:uid="{00000000-0005-0000-0000-0000B2100000}"/>
    <cellStyle name="Normal 7 2 2 2 2 6" xfId="4289" xr:uid="{00000000-0005-0000-0000-0000B3100000}"/>
    <cellStyle name="Normal 7 2 2 2 3" xfId="645" xr:uid="{00000000-0005-0000-0000-0000B4100000}"/>
    <cellStyle name="Normal 7 2 2 2 3 2" xfId="1937" xr:uid="{00000000-0005-0000-0000-0000B5100000}"/>
    <cellStyle name="Normal 7 2 2 2 3 3" xfId="3215" xr:uid="{00000000-0005-0000-0000-0000B6100000}"/>
    <cellStyle name="Normal 7 2 2 2 3 4" xfId="4502" xr:uid="{00000000-0005-0000-0000-0000B7100000}"/>
    <cellStyle name="Normal 7 2 2 2 4" xfId="1071" xr:uid="{00000000-0005-0000-0000-0000B8100000}"/>
    <cellStyle name="Normal 7 2 2 2 4 2" xfId="2363" xr:uid="{00000000-0005-0000-0000-0000B9100000}"/>
    <cellStyle name="Normal 7 2 2 2 4 3" xfId="3641" xr:uid="{00000000-0005-0000-0000-0000BA100000}"/>
    <cellStyle name="Normal 7 2 2 2 4 4" xfId="4928" xr:uid="{00000000-0005-0000-0000-0000BB100000}"/>
    <cellStyle name="Normal 7 2 2 2 5" xfId="1511" xr:uid="{00000000-0005-0000-0000-0000BC100000}"/>
    <cellStyle name="Normal 7 2 2 2 6" xfId="2789" xr:uid="{00000000-0005-0000-0000-0000BD100000}"/>
    <cellStyle name="Normal 7 2 2 2 7" xfId="4076" xr:uid="{00000000-0005-0000-0000-0000BE100000}"/>
    <cellStyle name="Normal 7 2 2 2 8" xfId="5308" xr:uid="{00000000-0005-0000-0000-0000BF100000}"/>
    <cellStyle name="Normal 7 2 2 3" xfId="431" xr:uid="{00000000-0005-0000-0000-0000C0100000}"/>
    <cellStyle name="Normal 7 2 2 3 2" xfId="857" xr:uid="{00000000-0005-0000-0000-0000C1100000}"/>
    <cellStyle name="Normal 7 2 2 3 2 2" xfId="2149" xr:uid="{00000000-0005-0000-0000-0000C2100000}"/>
    <cellStyle name="Normal 7 2 2 3 2 3" xfId="3427" xr:uid="{00000000-0005-0000-0000-0000C3100000}"/>
    <cellStyle name="Normal 7 2 2 3 2 4" xfId="4714" xr:uid="{00000000-0005-0000-0000-0000C4100000}"/>
    <cellStyle name="Normal 7 2 2 3 3" xfId="1283" xr:uid="{00000000-0005-0000-0000-0000C5100000}"/>
    <cellStyle name="Normal 7 2 2 3 3 2" xfId="2575" xr:uid="{00000000-0005-0000-0000-0000C6100000}"/>
    <cellStyle name="Normal 7 2 2 3 3 3" xfId="3853" xr:uid="{00000000-0005-0000-0000-0000C7100000}"/>
    <cellStyle name="Normal 7 2 2 3 3 4" xfId="5140" xr:uid="{00000000-0005-0000-0000-0000C8100000}"/>
    <cellStyle name="Normal 7 2 2 3 4" xfId="1723" xr:uid="{00000000-0005-0000-0000-0000C9100000}"/>
    <cellStyle name="Normal 7 2 2 3 5" xfId="3001" xr:uid="{00000000-0005-0000-0000-0000CA100000}"/>
    <cellStyle name="Normal 7 2 2 3 6" xfId="4288" xr:uid="{00000000-0005-0000-0000-0000CB100000}"/>
    <cellStyle name="Normal 7 2 2 4" xfId="644" xr:uid="{00000000-0005-0000-0000-0000CC100000}"/>
    <cellStyle name="Normal 7 2 2 4 2" xfId="1936" xr:uid="{00000000-0005-0000-0000-0000CD100000}"/>
    <cellStyle name="Normal 7 2 2 4 3" xfId="3214" xr:uid="{00000000-0005-0000-0000-0000CE100000}"/>
    <cellStyle name="Normal 7 2 2 4 4" xfId="4501" xr:uid="{00000000-0005-0000-0000-0000CF100000}"/>
    <cellStyle name="Normal 7 2 2 5" xfId="1070" xr:uid="{00000000-0005-0000-0000-0000D0100000}"/>
    <cellStyle name="Normal 7 2 2 5 2" xfId="2362" xr:uid="{00000000-0005-0000-0000-0000D1100000}"/>
    <cellStyle name="Normal 7 2 2 5 3" xfId="3640" xr:uid="{00000000-0005-0000-0000-0000D2100000}"/>
    <cellStyle name="Normal 7 2 2 5 4" xfId="4927" xr:uid="{00000000-0005-0000-0000-0000D3100000}"/>
    <cellStyle name="Normal 7 2 2 6" xfId="1510" xr:uid="{00000000-0005-0000-0000-0000D4100000}"/>
    <cellStyle name="Normal 7 2 2 7" xfId="2788" xr:uid="{00000000-0005-0000-0000-0000D5100000}"/>
    <cellStyle name="Normal 7 2 2 8" xfId="4075" xr:uid="{00000000-0005-0000-0000-0000D6100000}"/>
    <cellStyle name="Normal 7 2 2 9" xfId="5307" xr:uid="{00000000-0005-0000-0000-0000D7100000}"/>
    <cellStyle name="Normal 7 2 3" xfId="213" xr:uid="{00000000-0005-0000-0000-0000D8100000}"/>
    <cellStyle name="Normal 7 2 3 2" xfId="433" xr:uid="{00000000-0005-0000-0000-0000D9100000}"/>
    <cellStyle name="Normal 7 2 3 2 2" xfId="859" xr:uid="{00000000-0005-0000-0000-0000DA100000}"/>
    <cellStyle name="Normal 7 2 3 2 2 2" xfId="2151" xr:uid="{00000000-0005-0000-0000-0000DB100000}"/>
    <cellStyle name="Normal 7 2 3 2 2 3" xfId="3429" xr:uid="{00000000-0005-0000-0000-0000DC100000}"/>
    <cellStyle name="Normal 7 2 3 2 2 4" xfId="4716" xr:uid="{00000000-0005-0000-0000-0000DD100000}"/>
    <cellStyle name="Normal 7 2 3 2 3" xfId="1285" xr:uid="{00000000-0005-0000-0000-0000DE100000}"/>
    <cellStyle name="Normal 7 2 3 2 3 2" xfId="2577" xr:uid="{00000000-0005-0000-0000-0000DF100000}"/>
    <cellStyle name="Normal 7 2 3 2 3 3" xfId="3855" xr:uid="{00000000-0005-0000-0000-0000E0100000}"/>
    <cellStyle name="Normal 7 2 3 2 3 4" xfId="5142" xr:uid="{00000000-0005-0000-0000-0000E1100000}"/>
    <cellStyle name="Normal 7 2 3 2 4" xfId="1725" xr:uid="{00000000-0005-0000-0000-0000E2100000}"/>
    <cellStyle name="Normal 7 2 3 2 5" xfId="3003" xr:uid="{00000000-0005-0000-0000-0000E3100000}"/>
    <cellStyle name="Normal 7 2 3 2 6" xfId="4290" xr:uid="{00000000-0005-0000-0000-0000E4100000}"/>
    <cellStyle name="Normal 7 2 3 3" xfId="646" xr:uid="{00000000-0005-0000-0000-0000E5100000}"/>
    <cellStyle name="Normal 7 2 3 3 2" xfId="1938" xr:uid="{00000000-0005-0000-0000-0000E6100000}"/>
    <cellStyle name="Normal 7 2 3 3 3" xfId="3216" xr:uid="{00000000-0005-0000-0000-0000E7100000}"/>
    <cellStyle name="Normal 7 2 3 3 4" xfId="4503" xr:uid="{00000000-0005-0000-0000-0000E8100000}"/>
    <cellStyle name="Normal 7 2 3 4" xfId="1072" xr:uid="{00000000-0005-0000-0000-0000E9100000}"/>
    <cellStyle name="Normal 7 2 3 4 2" xfId="2364" xr:uid="{00000000-0005-0000-0000-0000EA100000}"/>
    <cellStyle name="Normal 7 2 3 4 3" xfId="3642" xr:uid="{00000000-0005-0000-0000-0000EB100000}"/>
    <cellStyle name="Normal 7 2 3 4 4" xfId="4929" xr:uid="{00000000-0005-0000-0000-0000EC100000}"/>
    <cellStyle name="Normal 7 2 3 5" xfId="1512" xr:uid="{00000000-0005-0000-0000-0000ED100000}"/>
    <cellStyle name="Normal 7 2 3 6" xfId="2790" xr:uid="{00000000-0005-0000-0000-0000EE100000}"/>
    <cellStyle name="Normal 7 2 3 7" xfId="4077" xr:uid="{00000000-0005-0000-0000-0000EF100000}"/>
    <cellStyle name="Normal 7 2 3 8" xfId="5309" xr:uid="{00000000-0005-0000-0000-0000F0100000}"/>
    <cellStyle name="Normal 7 2 4" xfId="214" xr:uid="{00000000-0005-0000-0000-0000F1100000}"/>
    <cellStyle name="Normal 7 2 4 2" xfId="434" xr:uid="{00000000-0005-0000-0000-0000F2100000}"/>
    <cellStyle name="Normal 7 2 4 2 2" xfId="860" xr:uid="{00000000-0005-0000-0000-0000F3100000}"/>
    <cellStyle name="Normal 7 2 4 2 2 2" xfId="2152" xr:uid="{00000000-0005-0000-0000-0000F4100000}"/>
    <cellStyle name="Normal 7 2 4 2 2 3" xfId="3430" xr:uid="{00000000-0005-0000-0000-0000F5100000}"/>
    <cellStyle name="Normal 7 2 4 2 2 4" xfId="4717" xr:uid="{00000000-0005-0000-0000-0000F6100000}"/>
    <cellStyle name="Normal 7 2 4 2 3" xfId="1286" xr:uid="{00000000-0005-0000-0000-0000F7100000}"/>
    <cellStyle name="Normal 7 2 4 2 3 2" xfId="2578" xr:uid="{00000000-0005-0000-0000-0000F8100000}"/>
    <cellStyle name="Normal 7 2 4 2 3 3" xfId="3856" xr:uid="{00000000-0005-0000-0000-0000F9100000}"/>
    <cellStyle name="Normal 7 2 4 2 3 4" xfId="5143" xr:uid="{00000000-0005-0000-0000-0000FA100000}"/>
    <cellStyle name="Normal 7 2 4 2 4" xfId="1726" xr:uid="{00000000-0005-0000-0000-0000FB100000}"/>
    <cellStyle name="Normal 7 2 4 2 5" xfId="3004" xr:uid="{00000000-0005-0000-0000-0000FC100000}"/>
    <cellStyle name="Normal 7 2 4 2 6" xfId="4291" xr:uid="{00000000-0005-0000-0000-0000FD100000}"/>
    <cellStyle name="Normal 7 2 4 3" xfId="647" xr:uid="{00000000-0005-0000-0000-0000FE100000}"/>
    <cellStyle name="Normal 7 2 4 3 2" xfId="1939" xr:uid="{00000000-0005-0000-0000-0000FF100000}"/>
    <cellStyle name="Normal 7 2 4 3 3" xfId="3217" xr:uid="{00000000-0005-0000-0000-000000110000}"/>
    <cellStyle name="Normal 7 2 4 3 4" xfId="4504" xr:uid="{00000000-0005-0000-0000-000001110000}"/>
    <cellStyle name="Normal 7 2 4 4" xfId="1073" xr:uid="{00000000-0005-0000-0000-000002110000}"/>
    <cellStyle name="Normal 7 2 4 4 2" xfId="2365" xr:uid="{00000000-0005-0000-0000-000003110000}"/>
    <cellStyle name="Normal 7 2 4 4 3" xfId="3643" xr:uid="{00000000-0005-0000-0000-000004110000}"/>
    <cellStyle name="Normal 7 2 4 4 4" xfId="4930" xr:uid="{00000000-0005-0000-0000-000005110000}"/>
    <cellStyle name="Normal 7 2 4 5" xfId="1513" xr:uid="{00000000-0005-0000-0000-000006110000}"/>
    <cellStyle name="Normal 7 2 4 6" xfId="2791" xr:uid="{00000000-0005-0000-0000-000007110000}"/>
    <cellStyle name="Normal 7 2 4 7" xfId="4078" xr:uid="{00000000-0005-0000-0000-000008110000}"/>
    <cellStyle name="Normal 7 2 5" xfId="215" xr:uid="{00000000-0005-0000-0000-000009110000}"/>
    <cellStyle name="Normal 7 2 5 2" xfId="435" xr:uid="{00000000-0005-0000-0000-00000A110000}"/>
    <cellStyle name="Normal 7 2 5 2 2" xfId="861" xr:uid="{00000000-0005-0000-0000-00000B110000}"/>
    <cellStyle name="Normal 7 2 5 2 2 2" xfId="2153" xr:uid="{00000000-0005-0000-0000-00000C110000}"/>
    <cellStyle name="Normal 7 2 5 2 2 3" xfId="3431" xr:uid="{00000000-0005-0000-0000-00000D110000}"/>
    <cellStyle name="Normal 7 2 5 2 2 4" xfId="4718" xr:uid="{00000000-0005-0000-0000-00000E110000}"/>
    <cellStyle name="Normal 7 2 5 2 3" xfId="1287" xr:uid="{00000000-0005-0000-0000-00000F110000}"/>
    <cellStyle name="Normal 7 2 5 2 3 2" xfId="2579" xr:uid="{00000000-0005-0000-0000-000010110000}"/>
    <cellStyle name="Normal 7 2 5 2 3 3" xfId="3857" xr:uid="{00000000-0005-0000-0000-000011110000}"/>
    <cellStyle name="Normal 7 2 5 2 3 4" xfId="5144" xr:uid="{00000000-0005-0000-0000-000012110000}"/>
    <cellStyle name="Normal 7 2 5 2 4" xfId="1727" xr:uid="{00000000-0005-0000-0000-000013110000}"/>
    <cellStyle name="Normal 7 2 5 2 5" xfId="3005" xr:uid="{00000000-0005-0000-0000-000014110000}"/>
    <cellStyle name="Normal 7 2 5 2 6" xfId="4292" xr:uid="{00000000-0005-0000-0000-000015110000}"/>
    <cellStyle name="Normal 7 2 5 3" xfId="648" xr:uid="{00000000-0005-0000-0000-000016110000}"/>
    <cellStyle name="Normal 7 2 5 3 2" xfId="1940" xr:uid="{00000000-0005-0000-0000-000017110000}"/>
    <cellStyle name="Normal 7 2 5 3 3" xfId="3218" xr:uid="{00000000-0005-0000-0000-000018110000}"/>
    <cellStyle name="Normal 7 2 5 3 4" xfId="4505" xr:uid="{00000000-0005-0000-0000-000019110000}"/>
    <cellStyle name="Normal 7 2 5 4" xfId="1074" xr:uid="{00000000-0005-0000-0000-00001A110000}"/>
    <cellStyle name="Normal 7 2 5 4 2" xfId="2366" xr:uid="{00000000-0005-0000-0000-00001B110000}"/>
    <cellStyle name="Normal 7 2 5 4 3" xfId="3644" xr:uid="{00000000-0005-0000-0000-00001C110000}"/>
    <cellStyle name="Normal 7 2 5 4 4" xfId="4931" xr:uid="{00000000-0005-0000-0000-00001D110000}"/>
    <cellStyle name="Normal 7 2 5 5" xfId="1514" xr:uid="{00000000-0005-0000-0000-00001E110000}"/>
    <cellStyle name="Normal 7 2 5 6" xfId="2792" xr:uid="{00000000-0005-0000-0000-00001F110000}"/>
    <cellStyle name="Normal 7 2 5 7" xfId="4079" xr:uid="{00000000-0005-0000-0000-000020110000}"/>
    <cellStyle name="Normal 7 2 6" xfId="282" xr:uid="{00000000-0005-0000-0000-000021110000}"/>
    <cellStyle name="Normal 7 2 6 2" xfId="495" xr:uid="{00000000-0005-0000-0000-000022110000}"/>
    <cellStyle name="Normal 7 2 6 2 2" xfId="920" xr:uid="{00000000-0005-0000-0000-000023110000}"/>
    <cellStyle name="Normal 7 2 6 2 2 2" xfId="2212" xr:uid="{00000000-0005-0000-0000-000024110000}"/>
    <cellStyle name="Normal 7 2 6 2 2 3" xfId="3490" xr:uid="{00000000-0005-0000-0000-000025110000}"/>
    <cellStyle name="Normal 7 2 6 2 2 4" xfId="4777" xr:uid="{00000000-0005-0000-0000-000026110000}"/>
    <cellStyle name="Normal 7 2 6 2 3" xfId="1346" xr:uid="{00000000-0005-0000-0000-000027110000}"/>
    <cellStyle name="Normal 7 2 6 2 3 2" xfId="2638" xr:uid="{00000000-0005-0000-0000-000028110000}"/>
    <cellStyle name="Normal 7 2 6 2 3 3" xfId="3916" xr:uid="{00000000-0005-0000-0000-000029110000}"/>
    <cellStyle name="Normal 7 2 6 2 3 4" xfId="5203" xr:uid="{00000000-0005-0000-0000-00002A110000}"/>
    <cellStyle name="Normal 7 2 6 2 4" xfId="1786" xr:uid="{00000000-0005-0000-0000-00002B110000}"/>
    <cellStyle name="Normal 7 2 6 2 5" xfId="3064" xr:uid="{00000000-0005-0000-0000-00002C110000}"/>
    <cellStyle name="Normal 7 2 6 2 6" xfId="4351" xr:uid="{00000000-0005-0000-0000-00002D110000}"/>
    <cellStyle name="Normal 7 2 6 3" xfId="707" xr:uid="{00000000-0005-0000-0000-00002E110000}"/>
    <cellStyle name="Normal 7 2 6 3 2" xfId="1999" xr:uid="{00000000-0005-0000-0000-00002F110000}"/>
    <cellStyle name="Normal 7 2 6 3 3" xfId="3277" xr:uid="{00000000-0005-0000-0000-000030110000}"/>
    <cellStyle name="Normal 7 2 6 3 4" xfId="4564" xr:uid="{00000000-0005-0000-0000-000031110000}"/>
    <cellStyle name="Normal 7 2 6 4" xfId="1133" xr:uid="{00000000-0005-0000-0000-000032110000}"/>
    <cellStyle name="Normal 7 2 6 4 2" xfId="2425" xr:uid="{00000000-0005-0000-0000-000033110000}"/>
    <cellStyle name="Normal 7 2 6 4 3" xfId="3703" xr:uid="{00000000-0005-0000-0000-000034110000}"/>
    <cellStyle name="Normal 7 2 6 4 4" xfId="4990" xr:uid="{00000000-0005-0000-0000-000035110000}"/>
    <cellStyle name="Normal 7 2 6 5" xfId="1573" xr:uid="{00000000-0005-0000-0000-000036110000}"/>
    <cellStyle name="Normal 7 2 6 6" xfId="2851" xr:uid="{00000000-0005-0000-0000-000037110000}"/>
    <cellStyle name="Normal 7 2 6 7" xfId="4138" xr:uid="{00000000-0005-0000-0000-000038110000}"/>
    <cellStyle name="Normal 7 2 7" xfId="430" xr:uid="{00000000-0005-0000-0000-000039110000}"/>
    <cellStyle name="Normal 7 2 7 2" xfId="856" xr:uid="{00000000-0005-0000-0000-00003A110000}"/>
    <cellStyle name="Normal 7 2 7 2 2" xfId="2148" xr:uid="{00000000-0005-0000-0000-00003B110000}"/>
    <cellStyle name="Normal 7 2 7 2 3" xfId="3426" xr:uid="{00000000-0005-0000-0000-00003C110000}"/>
    <cellStyle name="Normal 7 2 7 2 4" xfId="4713" xr:uid="{00000000-0005-0000-0000-00003D110000}"/>
    <cellStyle name="Normal 7 2 7 3" xfId="1282" xr:uid="{00000000-0005-0000-0000-00003E110000}"/>
    <cellStyle name="Normal 7 2 7 3 2" xfId="2574" xr:uid="{00000000-0005-0000-0000-00003F110000}"/>
    <cellStyle name="Normal 7 2 7 3 3" xfId="3852" xr:uid="{00000000-0005-0000-0000-000040110000}"/>
    <cellStyle name="Normal 7 2 7 3 4" xfId="5139" xr:uid="{00000000-0005-0000-0000-000041110000}"/>
    <cellStyle name="Normal 7 2 7 4" xfId="1722" xr:uid="{00000000-0005-0000-0000-000042110000}"/>
    <cellStyle name="Normal 7 2 7 5" xfId="3000" xr:uid="{00000000-0005-0000-0000-000043110000}"/>
    <cellStyle name="Normal 7 2 7 6" xfId="4287" xr:uid="{00000000-0005-0000-0000-000044110000}"/>
    <cellStyle name="Normal 7 2 8" xfId="643" xr:uid="{00000000-0005-0000-0000-000045110000}"/>
    <cellStyle name="Normal 7 2 8 2" xfId="1935" xr:uid="{00000000-0005-0000-0000-000046110000}"/>
    <cellStyle name="Normal 7 2 8 3" xfId="3213" xr:uid="{00000000-0005-0000-0000-000047110000}"/>
    <cellStyle name="Normal 7 2 8 4" xfId="4500" xr:uid="{00000000-0005-0000-0000-000048110000}"/>
    <cellStyle name="Normal 7 2 9" xfId="1069" xr:uid="{00000000-0005-0000-0000-000049110000}"/>
    <cellStyle name="Normal 7 2 9 2" xfId="2361" xr:uid="{00000000-0005-0000-0000-00004A110000}"/>
    <cellStyle name="Normal 7 2 9 3" xfId="3639" xr:uid="{00000000-0005-0000-0000-00004B110000}"/>
    <cellStyle name="Normal 7 2 9 4" xfId="4926" xr:uid="{00000000-0005-0000-0000-00004C110000}"/>
    <cellStyle name="Normal 7 3" xfId="216" xr:uid="{00000000-0005-0000-0000-00004D110000}"/>
    <cellStyle name="Normal 7 3 2" xfId="217" xr:uid="{00000000-0005-0000-0000-00004E110000}"/>
    <cellStyle name="Normal 7 3 2 2" xfId="437" xr:uid="{00000000-0005-0000-0000-00004F110000}"/>
    <cellStyle name="Normal 7 3 2 2 2" xfId="863" xr:uid="{00000000-0005-0000-0000-000050110000}"/>
    <cellStyle name="Normal 7 3 2 2 2 2" xfId="2155" xr:uid="{00000000-0005-0000-0000-000051110000}"/>
    <cellStyle name="Normal 7 3 2 2 2 3" xfId="3433" xr:uid="{00000000-0005-0000-0000-000052110000}"/>
    <cellStyle name="Normal 7 3 2 2 2 4" xfId="4720" xr:uid="{00000000-0005-0000-0000-000053110000}"/>
    <cellStyle name="Normal 7 3 2 2 3" xfId="1289" xr:uid="{00000000-0005-0000-0000-000054110000}"/>
    <cellStyle name="Normal 7 3 2 2 3 2" xfId="2581" xr:uid="{00000000-0005-0000-0000-000055110000}"/>
    <cellStyle name="Normal 7 3 2 2 3 3" xfId="3859" xr:uid="{00000000-0005-0000-0000-000056110000}"/>
    <cellStyle name="Normal 7 3 2 2 3 4" xfId="5146" xr:uid="{00000000-0005-0000-0000-000057110000}"/>
    <cellStyle name="Normal 7 3 2 2 4" xfId="1729" xr:uid="{00000000-0005-0000-0000-000058110000}"/>
    <cellStyle name="Normal 7 3 2 2 5" xfId="3007" xr:uid="{00000000-0005-0000-0000-000059110000}"/>
    <cellStyle name="Normal 7 3 2 2 6" xfId="4294" xr:uid="{00000000-0005-0000-0000-00005A110000}"/>
    <cellStyle name="Normal 7 3 2 3" xfId="650" xr:uid="{00000000-0005-0000-0000-00005B110000}"/>
    <cellStyle name="Normal 7 3 2 3 2" xfId="1942" xr:uid="{00000000-0005-0000-0000-00005C110000}"/>
    <cellStyle name="Normal 7 3 2 3 3" xfId="3220" xr:uid="{00000000-0005-0000-0000-00005D110000}"/>
    <cellStyle name="Normal 7 3 2 3 4" xfId="4507" xr:uid="{00000000-0005-0000-0000-00005E110000}"/>
    <cellStyle name="Normal 7 3 2 4" xfId="1076" xr:uid="{00000000-0005-0000-0000-00005F110000}"/>
    <cellStyle name="Normal 7 3 2 4 2" xfId="2368" xr:uid="{00000000-0005-0000-0000-000060110000}"/>
    <cellStyle name="Normal 7 3 2 4 3" xfId="3646" xr:uid="{00000000-0005-0000-0000-000061110000}"/>
    <cellStyle name="Normal 7 3 2 4 4" xfId="4933" xr:uid="{00000000-0005-0000-0000-000062110000}"/>
    <cellStyle name="Normal 7 3 2 5" xfId="1516" xr:uid="{00000000-0005-0000-0000-000063110000}"/>
    <cellStyle name="Normal 7 3 2 6" xfId="2794" xr:uid="{00000000-0005-0000-0000-000064110000}"/>
    <cellStyle name="Normal 7 3 2 7" xfId="4081" xr:uid="{00000000-0005-0000-0000-000065110000}"/>
    <cellStyle name="Normal 7 3 2 8" xfId="5311" xr:uid="{00000000-0005-0000-0000-000066110000}"/>
    <cellStyle name="Normal 7 3 3" xfId="436" xr:uid="{00000000-0005-0000-0000-000067110000}"/>
    <cellStyle name="Normal 7 3 3 2" xfId="862" xr:uid="{00000000-0005-0000-0000-000068110000}"/>
    <cellStyle name="Normal 7 3 3 2 2" xfId="2154" xr:uid="{00000000-0005-0000-0000-000069110000}"/>
    <cellStyle name="Normal 7 3 3 2 3" xfId="3432" xr:uid="{00000000-0005-0000-0000-00006A110000}"/>
    <cellStyle name="Normal 7 3 3 2 4" xfId="4719" xr:uid="{00000000-0005-0000-0000-00006B110000}"/>
    <cellStyle name="Normal 7 3 3 3" xfId="1288" xr:uid="{00000000-0005-0000-0000-00006C110000}"/>
    <cellStyle name="Normal 7 3 3 3 2" xfId="2580" xr:uid="{00000000-0005-0000-0000-00006D110000}"/>
    <cellStyle name="Normal 7 3 3 3 3" xfId="3858" xr:uid="{00000000-0005-0000-0000-00006E110000}"/>
    <cellStyle name="Normal 7 3 3 3 4" xfId="5145" xr:uid="{00000000-0005-0000-0000-00006F110000}"/>
    <cellStyle name="Normal 7 3 3 4" xfId="1728" xr:uid="{00000000-0005-0000-0000-000070110000}"/>
    <cellStyle name="Normal 7 3 3 5" xfId="3006" xr:uid="{00000000-0005-0000-0000-000071110000}"/>
    <cellStyle name="Normal 7 3 3 6" xfId="4293" xr:uid="{00000000-0005-0000-0000-000072110000}"/>
    <cellStyle name="Normal 7 3 4" xfId="649" xr:uid="{00000000-0005-0000-0000-000073110000}"/>
    <cellStyle name="Normal 7 3 4 2" xfId="1941" xr:uid="{00000000-0005-0000-0000-000074110000}"/>
    <cellStyle name="Normal 7 3 4 3" xfId="3219" xr:uid="{00000000-0005-0000-0000-000075110000}"/>
    <cellStyle name="Normal 7 3 4 4" xfId="4506" xr:uid="{00000000-0005-0000-0000-000076110000}"/>
    <cellStyle name="Normal 7 3 5" xfId="1075" xr:uid="{00000000-0005-0000-0000-000077110000}"/>
    <cellStyle name="Normal 7 3 5 2" xfId="2367" xr:uid="{00000000-0005-0000-0000-000078110000}"/>
    <cellStyle name="Normal 7 3 5 3" xfId="3645" xr:uid="{00000000-0005-0000-0000-000079110000}"/>
    <cellStyle name="Normal 7 3 5 4" xfId="4932" xr:uid="{00000000-0005-0000-0000-00007A110000}"/>
    <cellStyle name="Normal 7 3 6" xfId="1515" xr:uid="{00000000-0005-0000-0000-00007B110000}"/>
    <cellStyle name="Normal 7 3 7" xfId="2793" xr:uid="{00000000-0005-0000-0000-00007C110000}"/>
    <cellStyle name="Normal 7 3 8" xfId="4080" xr:uid="{00000000-0005-0000-0000-00007D110000}"/>
    <cellStyle name="Normal 7 3 9" xfId="5310" xr:uid="{00000000-0005-0000-0000-00007E110000}"/>
    <cellStyle name="Normal 7 4" xfId="218" xr:uid="{00000000-0005-0000-0000-00007F110000}"/>
    <cellStyle name="Normal 7 4 2" xfId="438" xr:uid="{00000000-0005-0000-0000-000080110000}"/>
    <cellStyle name="Normal 7 4 2 2" xfId="864" xr:uid="{00000000-0005-0000-0000-000081110000}"/>
    <cellStyle name="Normal 7 4 2 2 2" xfId="2156" xr:uid="{00000000-0005-0000-0000-000082110000}"/>
    <cellStyle name="Normal 7 4 2 2 3" xfId="3434" xr:uid="{00000000-0005-0000-0000-000083110000}"/>
    <cellStyle name="Normal 7 4 2 2 4" xfId="4721" xr:uid="{00000000-0005-0000-0000-000084110000}"/>
    <cellStyle name="Normal 7 4 2 3" xfId="1290" xr:uid="{00000000-0005-0000-0000-000085110000}"/>
    <cellStyle name="Normal 7 4 2 3 2" xfId="2582" xr:uid="{00000000-0005-0000-0000-000086110000}"/>
    <cellStyle name="Normal 7 4 2 3 3" xfId="3860" xr:uid="{00000000-0005-0000-0000-000087110000}"/>
    <cellStyle name="Normal 7 4 2 3 4" xfId="5147" xr:uid="{00000000-0005-0000-0000-000088110000}"/>
    <cellStyle name="Normal 7 4 2 4" xfId="1730" xr:uid="{00000000-0005-0000-0000-000089110000}"/>
    <cellStyle name="Normal 7 4 2 5" xfId="3008" xr:uid="{00000000-0005-0000-0000-00008A110000}"/>
    <cellStyle name="Normal 7 4 2 6" xfId="4295" xr:uid="{00000000-0005-0000-0000-00008B110000}"/>
    <cellStyle name="Normal 7 4 3" xfId="651" xr:uid="{00000000-0005-0000-0000-00008C110000}"/>
    <cellStyle name="Normal 7 4 3 2" xfId="1943" xr:uid="{00000000-0005-0000-0000-00008D110000}"/>
    <cellStyle name="Normal 7 4 3 3" xfId="3221" xr:uid="{00000000-0005-0000-0000-00008E110000}"/>
    <cellStyle name="Normal 7 4 3 4" xfId="4508" xr:uid="{00000000-0005-0000-0000-00008F110000}"/>
    <cellStyle name="Normal 7 4 4" xfId="1077" xr:uid="{00000000-0005-0000-0000-000090110000}"/>
    <cellStyle name="Normal 7 4 4 2" xfId="2369" xr:uid="{00000000-0005-0000-0000-000091110000}"/>
    <cellStyle name="Normal 7 4 4 3" xfId="3647" xr:uid="{00000000-0005-0000-0000-000092110000}"/>
    <cellStyle name="Normal 7 4 4 4" xfId="4934" xr:uid="{00000000-0005-0000-0000-000093110000}"/>
    <cellStyle name="Normal 7 4 5" xfId="1517" xr:uid="{00000000-0005-0000-0000-000094110000}"/>
    <cellStyle name="Normal 7 4 6" xfId="2795" xr:uid="{00000000-0005-0000-0000-000095110000}"/>
    <cellStyle name="Normal 7 4 7" xfId="4082" xr:uid="{00000000-0005-0000-0000-000096110000}"/>
    <cellStyle name="Normal 7 4 8" xfId="5312" xr:uid="{00000000-0005-0000-0000-000097110000}"/>
    <cellStyle name="Normal 7 5" xfId="219" xr:uid="{00000000-0005-0000-0000-000098110000}"/>
    <cellStyle name="Normal 7 5 2" xfId="439" xr:uid="{00000000-0005-0000-0000-000099110000}"/>
    <cellStyle name="Normal 7 5 2 2" xfId="865" xr:uid="{00000000-0005-0000-0000-00009A110000}"/>
    <cellStyle name="Normal 7 5 2 2 2" xfId="2157" xr:uid="{00000000-0005-0000-0000-00009B110000}"/>
    <cellStyle name="Normal 7 5 2 2 3" xfId="3435" xr:uid="{00000000-0005-0000-0000-00009C110000}"/>
    <cellStyle name="Normal 7 5 2 2 4" xfId="4722" xr:uid="{00000000-0005-0000-0000-00009D110000}"/>
    <cellStyle name="Normal 7 5 2 3" xfId="1291" xr:uid="{00000000-0005-0000-0000-00009E110000}"/>
    <cellStyle name="Normal 7 5 2 3 2" xfId="2583" xr:uid="{00000000-0005-0000-0000-00009F110000}"/>
    <cellStyle name="Normal 7 5 2 3 3" xfId="3861" xr:uid="{00000000-0005-0000-0000-0000A0110000}"/>
    <cellStyle name="Normal 7 5 2 3 4" xfId="5148" xr:uid="{00000000-0005-0000-0000-0000A1110000}"/>
    <cellStyle name="Normal 7 5 2 4" xfId="1731" xr:uid="{00000000-0005-0000-0000-0000A2110000}"/>
    <cellStyle name="Normal 7 5 2 5" xfId="3009" xr:uid="{00000000-0005-0000-0000-0000A3110000}"/>
    <cellStyle name="Normal 7 5 2 6" xfId="4296" xr:uid="{00000000-0005-0000-0000-0000A4110000}"/>
    <cellStyle name="Normal 7 5 3" xfId="652" xr:uid="{00000000-0005-0000-0000-0000A5110000}"/>
    <cellStyle name="Normal 7 5 3 2" xfId="1944" xr:uid="{00000000-0005-0000-0000-0000A6110000}"/>
    <cellStyle name="Normal 7 5 3 3" xfId="3222" xr:uid="{00000000-0005-0000-0000-0000A7110000}"/>
    <cellStyle name="Normal 7 5 3 4" xfId="4509" xr:uid="{00000000-0005-0000-0000-0000A8110000}"/>
    <cellStyle name="Normal 7 5 4" xfId="1078" xr:uid="{00000000-0005-0000-0000-0000A9110000}"/>
    <cellStyle name="Normal 7 5 4 2" xfId="2370" xr:uid="{00000000-0005-0000-0000-0000AA110000}"/>
    <cellStyle name="Normal 7 5 4 3" xfId="3648" xr:uid="{00000000-0005-0000-0000-0000AB110000}"/>
    <cellStyle name="Normal 7 5 4 4" xfId="4935" xr:uid="{00000000-0005-0000-0000-0000AC110000}"/>
    <cellStyle name="Normal 7 5 5" xfId="1518" xr:uid="{00000000-0005-0000-0000-0000AD110000}"/>
    <cellStyle name="Normal 7 5 6" xfId="2796" xr:uid="{00000000-0005-0000-0000-0000AE110000}"/>
    <cellStyle name="Normal 7 5 7" xfId="4083" xr:uid="{00000000-0005-0000-0000-0000AF110000}"/>
    <cellStyle name="Normal 7 6" xfId="220" xr:uid="{00000000-0005-0000-0000-0000B0110000}"/>
    <cellStyle name="Normal 7 6 2" xfId="440" xr:uid="{00000000-0005-0000-0000-0000B1110000}"/>
    <cellStyle name="Normal 7 6 2 2" xfId="866" xr:uid="{00000000-0005-0000-0000-0000B2110000}"/>
    <cellStyle name="Normal 7 6 2 2 2" xfId="2158" xr:uid="{00000000-0005-0000-0000-0000B3110000}"/>
    <cellStyle name="Normal 7 6 2 2 3" xfId="3436" xr:uid="{00000000-0005-0000-0000-0000B4110000}"/>
    <cellStyle name="Normal 7 6 2 2 4" xfId="4723" xr:uid="{00000000-0005-0000-0000-0000B5110000}"/>
    <cellStyle name="Normal 7 6 2 3" xfId="1292" xr:uid="{00000000-0005-0000-0000-0000B6110000}"/>
    <cellStyle name="Normal 7 6 2 3 2" xfId="2584" xr:uid="{00000000-0005-0000-0000-0000B7110000}"/>
    <cellStyle name="Normal 7 6 2 3 3" xfId="3862" xr:uid="{00000000-0005-0000-0000-0000B8110000}"/>
    <cellStyle name="Normal 7 6 2 3 4" xfId="5149" xr:uid="{00000000-0005-0000-0000-0000B9110000}"/>
    <cellStyle name="Normal 7 6 2 4" xfId="1732" xr:uid="{00000000-0005-0000-0000-0000BA110000}"/>
    <cellStyle name="Normal 7 6 2 5" xfId="3010" xr:uid="{00000000-0005-0000-0000-0000BB110000}"/>
    <cellStyle name="Normal 7 6 2 6" xfId="4297" xr:uid="{00000000-0005-0000-0000-0000BC110000}"/>
    <cellStyle name="Normal 7 6 3" xfId="653" xr:uid="{00000000-0005-0000-0000-0000BD110000}"/>
    <cellStyle name="Normal 7 6 3 2" xfId="1945" xr:uid="{00000000-0005-0000-0000-0000BE110000}"/>
    <cellStyle name="Normal 7 6 3 3" xfId="3223" xr:uid="{00000000-0005-0000-0000-0000BF110000}"/>
    <cellStyle name="Normal 7 6 3 4" xfId="4510" xr:uid="{00000000-0005-0000-0000-0000C0110000}"/>
    <cellStyle name="Normal 7 6 4" xfId="1079" xr:uid="{00000000-0005-0000-0000-0000C1110000}"/>
    <cellStyle name="Normal 7 6 4 2" xfId="2371" xr:uid="{00000000-0005-0000-0000-0000C2110000}"/>
    <cellStyle name="Normal 7 6 4 3" xfId="3649" xr:uid="{00000000-0005-0000-0000-0000C3110000}"/>
    <cellStyle name="Normal 7 6 4 4" xfId="4936" xr:uid="{00000000-0005-0000-0000-0000C4110000}"/>
    <cellStyle name="Normal 7 6 5" xfId="1519" xr:uid="{00000000-0005-0000-0000-0000C5110000}"/>
    <cellStyle name="Normal 7 6 6" xfId="2797" xr:uid="{00000000-0005-0000-0000-0000C6110000}"/>
    <cellStyle name="Normal 7 6 7" xfId="4084" xr:uid="{00000000-0005-0000-0000-0000C7110000}"/>
    <cellStyle name="Normal 7 7" xfId="221" xr:uid="{00000000-0005-0000-0000-0000C8110000}"/>
    <cellStyle name="Normal 7 7 2" xfId="441" xr:uid="{00000000-0005-0000-0000-0000C9110000}"/>
    <cellStyle name="Normal 7 7 2 2" xfId="867" xr:uid="{00000000-0005-0000-0000-0000CA110000}"/>
    <cellStyle name="Normal 7 7 2 2 2" xfId="2159" xr:uid="{00000000-0005-0000-0000-0000CB110000}"/>
    <cellStyle name="Normal 7 7 2 2 3" xfId="3437" xr:uid="{00000000-0005-0000-0000-0000CC110000}"/>
    <cellStyle name="Normal 7 7 2 2 4" xfId="4724" xr:uid="{00000000-0005-0000-0000-0000CD110000}"/>
    <cellStyle name="Normal 7 7 2 3" xfId="1293" xr:uid="{00000000-0005-0000-0000-0000CE110000}"/>
    <cellStyle name="Normal 7 7 2 3 2" xfId="2585" xr:uid="{00000000-0005-0000-0000-0000CF110000}"/>
    <cellStyle name="Normal 7 7 2 3 3" xfId="3863" xr:uid="{00000000-0005-0000-0000-0000D0110000}"/>
    <cellStyle name="Normal 7 7 2 3 4" xfId="5150" xr:uid="{00000000-0005-0000-0000-0000D1110000}"/>
    <cellStyle name="Normal 7 7 2 4" xfId="1733" xr:uid="{00000000-0005-0000-0000-0000D2110000}"/>
    <cellStyle name="Normal 7 7 2 5" xfId="3011" xr:uid="{00000000-0005-0000-0000-0000D3110000}"/>
    <cellStyle name="Normal 7 7 2 6" xfId="4298" xr:uid="{00000000-0005-0000-0000-0000D4110000}"/>
    <cellStyle name="Normal 7 7 3" xfId="654" xr:uid="{00000000-0005-0000-0000-0000D5110000}"/>
    <cellStyle name="Normal 7 7 3 2" xfId="1946" xr:uid="{00000000-0005-0000-0000-0000D6110000}"/>
    <cellStyle name="Normal 7 7 3 3" xfId="3224" xr:uid="{00000000-0005-0000-0000-0000D7110000}"/>
    <cellStyle name="Normal 7 7 3 4" xfId="4511" xr:uid="{00000000-0005-0000-0000-0000D8110000}"/>
    <cellStyle name="Normal 7 7 4" xfId="1080" xr:uid="{00000000-0005-0000-0000-0000D9110000}"/>
    <cellStyle name="Normal 7 7 4 2" xfId="2372" xr:uid="{00000000-0005-0000-0000-0000DA110000}"/>
    <cellStyle name="Normal 7 7 4 3" xfId="3650" xr:uid="{00000000-0005-0000-0000-0000DB110000}"/>
    <cellStyle name="Normal 7 7 4 4" xfId="4937" xr:uid="{00000000-0005-0000-0000-0000DC110000}"/>
    <cellStyle name="Normal 7 7 5" xfId="1520" xr:uid="{00000000-0005-0000-0000-0000DD110000}"/>
    <cellStyle name="Normal 7 7 6" xfId="2798" xr:uid="{00000000-0005-0000-0000-0000DE110000}"/>
    <cellStyle name="Normal 7 7 7" xfId="4085" xr:uid="{00000000-0005-0000-0000-0000DF110000}"/>
    <cellStyle name="Normal 7 8" xfId="222" xr:uid="{00000000-0005-0000-0000-0000E0110000}"/>
    <cellStyle name="Normal 7 8 2" xfId="442" xr:uid="{00000000-0005-0000-0000-0000E1110000}"/>
    <cellStyle name="Normal 7 8 2 2" xfId="868" xr:uid="{00000000-0005-0000-0000-0000E2110000}"/>
    <cellStyle name="Normal 7 8 2 2 2" xfId="2160" xr:uid="{00000000-0005-0000-0000-0000E3110000}"/>
    <cellStyle name="Normal 7 8 2 2 3" xfId="3438" xr:uid="{00000000-0005-0000-0000-0000E4110000}"/>
    <cellStyle name="Normal 7 8 2 2 4" xfId="4725" xr:uid="{00000000-0005-0000-0000-0000E5110000}"/>
    <cellStyle name="Normal 7 8 2 3" xfId="1294" xr:uid="{00000000-0005-0000-0000-0000E6110000}"/>
    <cellStyle name="Normal 7 8 2 3 2" xfId="2586" xr:uid="{00000000-0005-0000-0000-0000E7110000}"/>
    <cellStyle name="Normal 7 8 2 3 3" xfId="3864" xr:uid="{00000000-0005-0000-0000-0000E8110000}"/>
    <cellStyle name="Normal 7 8 2 3 4" xfId="5151" xr:uid="{00000000-0005-0000-0000-0000E9110000}"/>
    <cellStyle name="Normal 7 8 2 4" xfId="1734" xr:uid="{00000000-0005-0000-0000-0000EA110000}"/>
    <cellStyle name="Normal 7 8 2 5" xfId="3012" xr:uid="{00000000-0005-0000-0000-0000EB110000}"/>
    <cellStyle name="Normal 7 8 2 6" xfId="4299" xr:uid="{00000000-0005-0000-0000-0000EC110000}"/>
    <cellStyle name="Normal 7 8 3" xfId="655" xr:uid="{00000000-0005-0000-0000-0000ED110000}"/>
    <cellStyle name="Normal 7 8 3 2" xfId="1947" xr:uid="{00000000-0005-0000-0000-0000EE110000}"/>
    <cellStyle name="Normal 7 8 3 3" xfId="3225" xr:uid="{00000000-0005-0000-0000-0000EF110000}"/>
    <cellStyle name="Normal 7 8 3 4" xfId="4512" xr:uid="{00000000-0005-0000-0000-0000F0110000}"/>
    <cellStyle name="Normal 7 8 4" xfId="1081" xr:uid="{00000000-0005-0000-0000-0000F1110000}"/>
    <cellStyle name="Normal 7 8 4 2" xfId="2373" xr:uid="{00000000-0005-0000-0000-0000F2110000}"/>
    <cellStyle name="Normal 7 8 4 3" xfId="3651" xr:uid="{00000000-0005-0000-0000-0000F3110000}"/>
    <cellStyle name="Normal 7 8 4 4" xfId="4938" xr:uid="{00000000-0005-0000-0000-0000F4110000}"/>
    <cellStyle name="Normal 7 8 5" xfId="1521" xr:uid="{00000000-0005-0000-0000-0000F5110000}"/>
    <cellStyle name="Normal 7 8 6" xfId="2799" xr:uid="{00000000-0005-0000-0000-0000F6110000}"/>
    <cellStyle name="Normal 7 8 7" xfId="4086" xr:uid="{00000000-0005-0000-0000-0000F7110000}"/>
    <cellStyle name="Normal 7 9" xfId="267" xr:uid="{00000000-0005-0000-0000-0000F8110000}"/>
    <cellStyle name="Normal 7 9 2" xfId="480" xr:uid="{00000000-0005-0000-0000-0000F9110000}"/>
    <cellStyle name="Normal 7 9 2 2" xfId="905" xr:uid="{00000000-0005-0000-0000-0000FA110000}"/>
    <cellStyle name="Normal 7 9 2 2 2" xfId="2197" xr:uid="{00000000-0005-0000-0000-0000FB110000}"/>
    <cellStyle name="Normal 7 9 2 2 3" xfId="3475" xr:uid="{00000000-0005-0000-0000-0000FC110000}"/>
    <cellStyle name="Normal 7 9 2 2 4" xfId="4762" xr:uid="{00000000-0005-0000-0000-0000FD110000}"/>
    <cellStyle name="Normal 7 9 2 3" xfId="1331" xr:uid="{00000000-0005-0000-0000-0000FE110000}"/>
    <cellStyle name="Normal 7 9 2 3 2" xfId="2623" xr:uid="{00000000-0005-0000-0000-0000FF110000}"/>
    <cellStyle name="Normal 7 9 2 3 3" xfId="3901" xr:uid="{00000000-0005-0000-0000-000000120000}"/>
    <cellStyle name="Normal 7 9 2 3 4" xfId="5188" xr:uid="{00000000-0005-0000-0000-000001120000}"/>
    <cellStyle name="Normal 7 9 2 4" xfId="1771" xr:uid="{00000000-0005-0000-0000-000002120000}"/>
    <cellStyle name="Normal 7 9 2 5" xfId="3049" xr:uid="{00000000-0005-0000-0000-000003120000}"/>
    <cellStyle name="Normal 7 9 2 6" xfId="4336" xr:uid="{00000000-0005-0000-0000-000004120000}"/>
    <cellStyle name="Normal 7 9 3" xfId="692" xr:uid="{00000000-0005-0000-0000-000005120000}"/>
    <cellStyle name="Normal 7 9 3 2" xfId="1984" xr:uid="{00000000-0005-0000-0000-000006120000}"/>
    <cellStyle name="Normal 7 9 3 3" xfId="3262" xr:uid="{00000000-0005-0000-0000-000007120000}"/>
    <cellStyle name="Normal 7 9 3 4" xfId="4549" xr:uid="{00000000-0005-0000-0000-000008120000}"/>
    <cellStyle name="Normal 7 9 4" xfId="1118" xr:uid="{00000000-0005-0000-0000-000009120000}"/>
    <cellStyle name="Normal 7 9 4 2" xfId="2410" xr:uid="{00000000-0005-0000-0000-00000A120000}"/>
    <cellStyle name="Normal 7 9 4 3" xfId="3688" xr:uid="{00000000-0005-0000-0000-00000B120000}"/>
    <cellStyle name="Normal 7 9 4 4" xfId="4975" xr:uid="{00000000-0005-0000-0000-00000C120000}"/>
    <cellStyle name="Normal 7 9 5" xfId="1558" xr:uid="{00000000-0005-0000-0000-00000D120000}"/>
    <cellStyle name="Normal 7 9 6" xfId="2836" xr:uid="{00000000-0005-0000-0000-00000E120000}"/>
    <cellStyle name="Normal 7 9 7" xfId="4123" xr:uid="{00000000-0005-0000-0000-00000F120000}"/>
    <cellStyle name="Normal 8" xfId="223" xr:uid="{00000000-0005-0000-0000-000010120000}"/>
    <cellStyle name="Normal 8 2" xfId="248" xr:uid="{00000000-0005-0000-0000-000011120000}"/>
    <cellStyle name="Normal 8 2 2" xfId="443" xr:uid="{00000000-0005-0000-0000-000012120000}"/>
    <cellStyle name="Normal 8 3" xfId="5313" xr:uid="{00000000-0005-0000-0000-000013120000}"/>
    <cellStyle name="Normal 9" xfId="254" xr:uid="{00000000-0005-0000-0000-000014120000}"/>
    <cellStyle name="Normal 9 2" xfId="1362" xr:uid="{00000000-0005-0000-0000-000015120000}"/>
    <cellStyle name="Normal_A" xfId="5336" xr:uid="{00000000-0005-0000-0000-000016120000}"/>
    <cellStyle name="Normal_Indirects" xfId="41" xr:uid="{00000000-0005-0000-0000-000017120000}"/>
    <cellStyle name="Normal_Indirects_1" xfId="42" xr:uid="{00000000-0005-0000-0000-000018120000}"/>
    <cellStyle name="Normal_Sheet1" xfId="81" xr:uid="{00000000-0005-0000-0000-000019120000}"/>
    <cellStyle name="Note" xfId="8" builtinId="10"/>
    <cellStyle name="Note 2" xfId="36" xr:uid="{00000000-0005-0000-0000-00001C120000}"/>
    <cellStyle name="Note 2 10" xfId="1082" xr:uid="{00000000-0005-0000-0000-00001D120000}"/>
    <cellStyle name="Note 2 10 2" xfId="2374" xr:uid="{00000000-0005-0000-0000-00001E120000}"/>
    <cellStyle name="Note 2 10 3" xfId="3652" xr:uid="{00000000-0005-0000-0000-00001F120000}"/>
    <cellStyle name="Note 2 10 4" xfId="4939" xr:uid="{00000000-0005-0000-0000-000020120000}"/>
    <cellStyle name="Note 2 11" xfId="1522" xr:uid="{00000000-0005-0000-0000-000021120000}"/>
    <cellStyle name="Note 2 12" xfId="2800" xr:uid="{00000000-0005-0000-0000-000022120000}"/>
    <cellStyle name="Note 2 13" xfId="4087" xr:uid="{00000000-0005-0000-0000-000023120000}"/>
    <cellStyle name="Note 2 14" xfId="5314" xr:uid="{00000000-0005-0000-0000-000024120000}"/>
    <cellStyle name="Note 2 2" xfId="37" xr:uid="{00000000-0005-0000-0000-000025120000}"/>
    <cellStyle name="Note 2 2 10" xfId="1523" xr:uid="{00000000-0005-0000-0000-000026120000}"/>
    <cellStyle name="Note 2 2 11" xfId="2801" xr:uid="{00000000-0005-0000-0000-000027120000}"/>
    <cellStyle name="Note 2 2 12" xfId="4088" xr:uid="{00000000-0005-0000-0000-000028120000}"/>
    <cellStyle name="Note 2 2 13" xfId="5315" xr:uid="{00000000-0005-0000-0000-000029120000}"/>
    <cellStyle name="Note 2 2 2" xfId="224" xr:uid="{00000000-0005-0000-0000-00002A120000}"/>
    <cellStyle name="Note 2 2 2 2" xfId="225" xr:uid="{00000000-0005-0000-0000-00002B120000}"/>
    <cellStyle name="Note 2 2 2 2 2" xfId="447" xr:uid="{00000000-0005-0000-0000-00002C120000}"/>
    <cellStyle name="Note 2 2 2 2 2 2" xfId="872" xr:uid="{00000000-0005-0000-0000-00002D120000}"/>
    <cellStyle name="Note 2 2 2 2 2 2 2" xfId="2164" xr:uid="{00000000-0005-0000-0000-00002E120000}"/>
    <cellStyle name="Note 2 2 2 2 2 2 3" xfId="3442" xr:uid="{00000000-0005-0000-0000-00002F120000}"/>
    <cellStyle name="Note 2 2 2 2 2 2 4" xfId="4729" xr:uid="{00000000-0005-0000-0000-000030120000}"/>
    <cellStyle name="Note 2 2 2 2 2 3" xfId="1298" xr:uid="{00000000-0005-0000-0000-000031120000}"/>
    <cellStyle name="Note 2 2 2 2 2 3 2" xfId="2590" xr:uid="{00000000-0005-0000-0000-000032120000}"/>
    <cellStyle name="Note 2 2 2 2 2 3 3" xfId="3868" xr:uid="{00000000-0005-0000-0000-000033120000}"/>
    <cellStyle name="Note 2 2 2 2 2 3 4" xfId="5155" xr:uid="{00000000-0005-0000-0000-000034120000}"/>
    <cellStyle name="Note 2 2 2 2 2 4" xfId="1738" xr:uid="{00000000-0005-0000-0000-000035120000}"/>
    <cellStyle name="Note 2 2 2 2 2 5" xfId="3016" xr:uid="{00000000-0005-0000-0000-000036120000}"/>
    <cellStyle name="Note 2 2 2 2 2 6" xfId="4303" xr:uid="{00000000-0005-0000-0000-000037120000}"/>
    <cellStyle name="Note 2 2 2 2 3" xfId="659" xr:uid="{00000000-0005-0000-0000-000038120000}"/>
    <cellStyle name="Note 2 2 2 2 3 2" xfId="1951" xr:uid="{00000000-0005-0000-0000-000039120000}"/>
    <cellStyle name="Note 2 2 2 2 3 3" xfId="3229" xr:uid="{00000000-0005-0000-0000-00003A120000}"/>
    <cellStyle name="Note 2 2 2 2 3 4" xfId="4516" xr:uid="{00000000-0005-0000-0000-00003B120000}"/>
    <cellStyle name="Note 2 2 2 2 4" xfId="1085" xr:uid="{00000000-0005-0000-0000-00003C120000}"/>
    <cellStyle name="Note 2 2 2 2 4 2" xfId="2377" xr:uid="{00000000-0005-0000-0000-00003D120000}"/>
    <cellStyle name="Note 2 2 2 2 4 3" xfId="3655" xr:uid="{00000000-0005-0000-0000-00003E120000}"/>
    <cellStyle name="Note 2 2 2 2 4 4" xfId="4942" xr:uid="{00000000-0005-0000-0000-00003F120000}"/>
    <cellStyle name="Note 2 2 2 2 5" xfId="1525" xr:uid="{00000000-0005-0000-0000-000040120000}"/>
    <cellStyle name="Note 2 2 2 2 6" xfId="2803" xr:uid="{00000000-0005-0000-0000-000041120000}"/>
    <cellStyle name="Note 2 2 2 2 7" xfId="4090" xr:uid="{00000000-0005-0000-0000-000042120000}"/>
    <cellStyle name="Note 2 2 2 2 8" xfId="5317" xr:uid="{00000000-0005-0000-0000-000043120000}"/>
    <cellStyle name="Note 2 2 2 3" xfId="446" xr:uid="{00000000-0005-0000-0000-000044120000}"/>
    <cellStyle name="Note 2 2 2 3 2" xfId="871" xr:uid="{00000000-0005-0000-0000-000045120000}"/>
    <cellStyle name="Note 2 2 2 3 2 2" xfId="2163" xr:uid="{00000000-0005-0000-0000-000046120000}"/>
    <cellStyle name="Note 2 2 2 3 2 3" xfId="3441" xr:uid="{00000000-0005-0000-0000-000047120000}"/>
    <cellStyle name="Note 2 2 2 3 2 4" xfId="4728" xr:uid="{00000000-0005-0000-0000-000048120000}"/>
    <cellStyle name="Note 2 2 2 3 3" xfId="1297" xr:uid="{00000000-0005-0000-0000-000049120000}"/>
    <cellStyle name="Note 2 2 2 3 3 2" xfId="2589" xr:uid="{00000000-0005-0000-0000-00004A120000}"/>
    <cellStyle name="Note 2 2 2 3 3 3" xfId="3867" xr:uid="{00000000-0005-0000-0000-00004B120000}"/>
    <cellStyle name="Note 2 2 2 3 3 4" xfId="5154" xr:uid="{00000000-0005-0000-0000-00004C120000}"/>
    <cellStyle name="Note 2 2 2 3 4" xfId="1737" xr:uid="{00000000-0005-0000-0000-00004D120000}"/>
    <cellStyle name="Note 2 2 2 3 5" xfId="3015" xr:uid="{00000000-0005-0000-0000-00004E120000}"/>
    <cellStyle name="Note 2 2 2 3 6" xfId="4302" xr:uid="{00000000-0005-0000-0000-00004F120000}"/>
    <cellStyle name="Note 2 2 2 4" xfId="658" xr:uid="{00000000-0005-0000-0000-000050120000}"/>
    <cellStyle name="Note 2 2 2 4 2" xfId="1950" xr:uid="{00000000-0005-0000-0000-000051120000}"/>
    <cellStyle name="Note 2 2 2 4 3" xfId="3228" xr:uid="{00000000-0005-0000-0000-000052120000}"/>
    <cellStyle name="Note 2 2 2 4 4" xfId="4515" xr:uid="{00000000-0005-0000-0000-000053120000}"/>
    <cellStyle name="Note 2 2 2 5" xfId="1084" xr:uid="{00000000-0005-0000-0000-000054120000}"/>
    <cellStyle name="Note 2 2 2 5 2" xfId="2376" xr:uid="{00000000-0005-0000-0000-000055120000}"/>
    <cellStyle name="Note 2 2 2 5 3" xfId="3654" xr:uid="{00000000-0005-0000-0000-000056120000}"/>
    <cellStyle name="Note 2 2 2 5 4" xfId="4941" xr:uid="{00000000-0005-0000-0000-000057120000}"/>
    <cellStyle name="Note 2 2 2 6" xfId="1524" xr:uid="{00000000-0005-0000-0000-000058120000}"/>
    <cellStyle name="Note 2 2 2 7" xfId="2802" xr:uid="{00000000-0005-0000-0000-000059120000}"/>
    <cellStyle name="Note 2 2 2 8" xfId="4089" xr:uid="{00000000-0005-0000-0000-00005A120000}"/>
    <cellStyle name="Note 2 2 2 9" xfId="5316" xr:uid="{00000000-0005-0000-0000-00005B120000}"/>
    <cellStyle name="Note 2 2 3" xfId="226" xr:uid="{00000000-0005-0000-0000-00005C120000}"/>
    <cellStyle name="Note 2 2 3 2" xfId="448" xr:uid="{00000000-0005-0000-0000-00005D120000}"/>
    <cellStyle name="Note 2 2 3 2 2" xfId="873" xr:uid="{00000000-0005-0000-0000-00005E120000}"/>
    <cellStyle name="Note 2 2 3 2 2 2" xfId="2165" xr:uid="{00000000-0005-0000-0000-00005F120000}"/>
    <cellStyle name="Note 2 2 3 2 2 3" xfId="3443" xr:uid="{00000000-0005-0000-0000-000060120000}"/>
    <cellStyle name="Note 2 2 3 2 2 4" xfId="4730" xr:uid="{00000000-0005-0000-0000-000061120000}"/>
    <cellStyle name="Note 2 2 3 2 3" xfId="1299" xr:uid="{00000000-0005-0000-0000-000062120000}"/>
    <cellStyle name="Note 2 2 3 2 3 2" xfId="2591" xr:uid="{00000000-0005-0000-0000-000063120000}"/>
    <cellStyle name="Note 2 2 3 2 3 3" xfId="3869" xr:uid="{00000000-0005-0000-0000-000064120000}"/>
    <cellStyle name="Note 2 2 3 2 3 4" xfId="5156" xr:uid="{00000000-0005-0000-0000-000065120000}"/>
    <cellStyle name="Note 2 2 3 2 4" xfId="1739" xr:uid="{00000000-0005-0000-0000-000066120000}"/>
    <cellStyle name="Note 2 2 3 2 5" xfId="3017" xr:uid="{00000000-0005-0000-0000-000067120000}"/>
    <cellStyle name="Note 2 2 3 2 6" xfId="4304" xr:uid="{00000000-0005-0000-0000-000068120000}"/>
    <cellStyle name="Note 2 2 3 3" xfId="660" xr:uid="{00000000-0005-0000-0000-000069120000}"/>
    <cellStyle name="Note 2 2 3 3 2" xfId="1952" xr:uid="{00000000-0005-0000-0000-00006A120000}"/>
    <cellStyle name="Note 2 2 3 3 3" xfId="3230" xr:uid="{00000000-0005-0000-0000-00006B120000}"/>
    <cellStyle name="Note 2 2 3 3 4" xfId="4517" xr:uid="{00000000-0005-0000-0000-00006C120000}"/>
    <cellStyle name="Note 2 2 3 4" xfId="1086" xr:uid="{00000000-0005-0000-0000-00006D120000}"/>
    <cellStyle name="Note 2 2 3 4 2" xfId="2378" xr:uid="{00000000-0005-0000-0000-00006E120000}"/>
    <cellStyle name="Note 2 2 3 4 3" xfId="3656" xr:uid="{00000000-0005-0000-0000-00006F120000}"/>
    <cellStyle name="Note 2 2 3 4 4" xfId="4943" xr:uid="{00000000-0005-0000-0000-000070120000}"/>
    <cellStyle name="Note 2 2 3 5" xfId="1526" xr:uid="{00000000-0005-0000-0000-000071120000}"/>
    <cellStyle name="Note 2 2 3 6" xfId="2804" xr:uid="{00000000-0005-0000-0000-000072120000}"/>
    <cellStyle name="Note 2 2 3 7" xfId="4091" xr:uid="{00000000-0005-0000-0000-000073120000}"/>
    <cellStyle name="Note 2 2 3 8" xfId="5318" xr:uid="{00000000-0005-0000-0000-000074120000}"/>
    <cellStyle name="Note 2 2 4" xfId="227" xr:uid="{00000000-0005-0000-0000-000075120000}"/>
    <cellStyle name="Note 2 2 4 2" xfId="449" xr:uid="{00000000-0005-0000-0000-000076120000}"/>
    <cellStyle name="Note 2 2 4 2 2" xfId="874" xr:uid="{00000000-0005-0000-0000-000077120000}"/>
    <cellStyle name="Note 2 2 4 2 2 2" xfId="2166" xr:uid="{00000000-0005-0000-0000-000078120000}"/>
    <cellStyle name="Note 2 2 4 2 2 3" xfId="3444" xr:uid="{00000000-0005-0000-0000-000079120000}"/>
    <cellStyle name="Note 2 2 4 2 2 4" xfId="4731" xr:uid="{00000000-0005-0000-0000-00007A120000}"/>
    <cellStyle name="Note 2 2 4 2 3" xfId="1300" xr:uid="{00000000-0005-0000-0000-00007B120000}"/>
    <cellStyle name="Note 2 2 4 2 3 2" xfId="2592" xr:uid="{00000000-0005-0000-0000-00007C120000}"/>
    <cellStyle name="Note 2 2 4 2 3 3" xfId="3870" xr:uid="{00000000-0005-0000-0000-00007D120000}"/>
    <cellStyle name="Note 2 2 4 2 3 4" xfId="5157" xr:uid="{00000000-0005-0000-0000-00007E120000}"/>
    <cellStyle name="Note 2 2 4 2 4" xfId="1740" xr:uid="{00000000-0005-0000-0000-00007F120000}"/>
    <cellStyle name="Note 2 2 4 2 5" xfId="3018" xr:uid="{00000000-0005-0000-0000-000080120000}"/>
    <cellStyle name="Note 2 2 4 2 6" xfId="4305" xr:uid="{00000000-0005-0000-0000-000081120000}"/>
    <cellStyle name="Note 2 2 4 3" xfId="661" xr:uid="{00000000-0005-0000-0000-000082120000}"/>
    <cellStyle name="Note 2 2 4 3 2" xfId="1953" xr:uid="{00000000-0005-0000-0000-000083120000}"/>
    <cellStyle name="Note 2 2 4 3 3" xfId="3231" xr:uid="{00000000-0005-0000-0000-000084120000}"/>
    <cellStyle name="Note 2 2 4 3 4" xfId="4518" xr:uid="{00000000-0005-0000-0000-000085120000}"/>
    <cellStyle name="Note 2 2 4 4" xfId="1087" xr:uid="{00000000-0005-0000-0000-000086120000}"/>
    <cellStyle name="Note 2 2 4 4 2" xfId="2379" xr:uid="{00000000-0005-0000-0000-000087120000}"/>
    <cellStyle name="Note 2 2 4 4 3" xfId="3657" xr:uid="{00000000-0005-0000-0000-000088120000}"/>
    <cellStyle name="Note 2 2 4 4 4" xfId="4944" xr:uid="{00000000-0005-0000-0000-000089120000}"/>
    <cellStyle name="Note 2 2 4 5" xfId="1527" xr:uid="{00000000-0005-0000-0000-00008A120000}"/>
    <cellStyle name="Note 2 2 4 6" xfId="2805" xr:uid="{00000000-0005-0000-0000-00008B120000}"/>
    <cellStyle name="Note 2 2 4 7" xfId="4092" xr:uid="{00000000-0005-0000-0000-00008C120000}"/>
    <cellStyle name="Note 2 2 5" xfId="228" xr:uid="{00000000-0005-0000-0000-00008D120000}"/>
    <cellStyle name="Note 2 2 5 2" xfId="450" xr:uid="{00000000-0005-0000-0000-00008E120000}"/>
    <cellStyle name="Note 2 2 5 2 2" xfId="875" xr:uid="{00000000-0005-0000-0000-00008F120000}"/>
    <cellStyle name="Note 2 2 5 2 2 2" xfId="2167" xr:uid="{00000000-0005-0000-0000-000090120000}"/>
    <cellStyle name="Note 2 2 5 2 2 3" xfId="3445" xr:uid="{00000000-0005-0000-0000-000091120000}"/>
    <cellStyle name="Note 2 2 5 2 2 4" xfId="4732" xr:uid="{00000000-0005-0000-0000-000092120000}"/>
    <cellStyle name="Note 2 2 5 2 3" xfId="1301" xr:uid="{00000000-0005-0000-0000-000093120000}"/>
    <cellStyle name="Note 2 2 5 2 3 2" xfId="2593" xr:uid="{00000000-0005-0000-0000-000094120000}"/>
    <cellStyle name="Note 2 2 5 2 3 3" xfId="3871" xr:uid="{00000000-0005-0000-0000-000095120000}"/>
    <cellStyle name="Note 2 2 5 2 3 4" xfId="5158" xr:uid="{00000000-0005-0000-0000-000096120000}"/>
    <cellStyle name="Note 2 2 5 2 4" xfId="1741" xr:uid="{00000000-0005-0000-0000-000097120000}"/>
    <cellStyle name="Note 2 2 5 2 5" xfId="3019" xr:uid="{00000000-0005-0000-0000-000098120000}"/>
    <cellStyle name="Note 2 2 5 2 6" xfId="4306" xr:uid="{00000000-0005-0000-0000-000099120000}"/>
    <cellStyle name="Note 2 2 5 3" xfId="662" xr:uid="{00000000-0005-0000-0000-00009A120000}"/>
    <cellStyle name="Note 2 2 5 3 2" xfId="1954" xr:uid="{00000000-0005-0000-0000-00009B120000}"/>
    <cellStyle name="Note 2 2 5 3 3" xfId="3232" xr:uid="{00000000-0005-0000-0000-00009C120000}"/>
    <cellStyle name="Note 2 2 5 3 4" xfId="4519" xr:uid="{00000000-0005-0000-0000-00009D120000}"/>
    <cellStyle name="Note 2 2 5 4" xfId="1088" xr:uid="{00000000-0005-0000-0000-00009E120000}"/>
    <cellStyle name="Note 2 2 5 4 2" xfId="2380" xr:uid="{00000000-0005-0000-0000-00009F120000}"/>
    <cellStyle name="Note 2 2 5 4 3" xfId="3658" xr:uid="{00000000-0005-0000-0000-0000A0120000}"/>
    <cellStyle name="Note 2 2 5 4 4" xfId="4945" xr:uid="{00000000-0005-0000-0000-0000A1120000}"/>
    <cellStyle name="Note 2 2 5 5" xfId="1528" xr:uid="{00000000-0005-0000-0000-0000A2120000}"/>
    <cellStyle name="Note 2 2 5 6" xfId="2806" xr:uid="{00000000-0005-0000-0000-0000A3120000}"/>
    <cellStyle name="Note 2 2 5 7" xfId="4093" xr:uid="{00000000-0005-0000-0000-0000A4120000}"/>
    <cellStyle name="Note 2 2 6" xfId="283" xr:uid="{00000000-0005-0000-0000-0000A5120000}"/>
    <cellStyle name="Note 2 2 6 2" xfId="496" xr:uid="{00000000-0005-0000-0000-0000A6120000}"/>
    <cellStyle name="Note 2 2 6 2 2" xfId="921" xr:uid="{00000000-0005-0000-0000-0000A7120000}"/>
    <cellStyle name="Note 2 2 6 2 2 2" xfId="2213" xr:uid="{00000000-0005-0000-0000-0000A8120000}"/>
    <cellStyle name="Note 2 2 6 2 2 3" xfId="3491" xr:uid="{00000000-0005-0000-0000-0000A9120000}"/>
    <cellStyle name="Note 2 2 6 2 2 4" xfId="4778" xr:uid="{00000000-0005-0000-0000-0000AA120000}"/>
    <cellStyle name="Note 2 2 6 2 3" xfId="1347" xr:uid="{00000000-0005-0000-0000-0000AB120000}"/>
    <cellStyle name="Note 2 2 6 2 3 2" xfId="2639" xr:uid="{00000000-0005-0000-0000-0000AC120000}"/>
    <cellStyle name="Note 2 2 6 2 3 3" xfId="3917" xr:uid="{00000000-0005-0000-0000-0000AD120000}"/>
    <cellStyle name="Note 2 2 6 2 3 4" xfId="5204" xr:uid="{00000000-0005-0000-0000-0000AE120000}"/>
    <cellStyle name="Note 2 2 6 2 4" xfId="1787" xr:uid="{00000000-0005-0000-0000-0000AF120000}"/>
    <cellStyle name="Note 2 2 6 2 5" xfId="3065" xr:uid="{00000000-0005-0000-0000-0000B0120000}"/>
    <cellStyle name="Note 2 2 6 2 6" xfId="4352" xr:uid="{00000000-0005-0000-0000-0000B1120000}"/>
    <cellStyle name="Note 2 2 6 3" xfId="708" xr:uid="{00000000-0005-0000-0000-0000B2120000}"/>
    <cellStyle name="Note 2 2 6 3 2" xfId="2000" xr:uid="{00000000-0005-0000-0000-0000B3120000}"/>
    <cellStyle name="Note 2 2 6 3 3" xfId="3278" xr:uid="{00000000-0005-0000-0000-0000B4120000}"/>
    <cellStyle name="Note 2 2 6 3 4" xfId="4565" xr:uid="{00000000-0005-0000-0000-0000B5120000}"/>
    <cellStyle name="Note 2 2 6 4" xfId="1134" xr:uid="{00000000-0005-0000-0000-0000B6120000}"/>
    <cellStyle name="Note 2 2 6 4 2" xfId="2426" xr:uid="{00000000-0005-0000-0000-0000B7120000}"/>
    <cellStyle name="Note 2 2 6 4 3" xfId="3704" xr:uid="{00000000-0005-0000-0000-0000B8120000}"/>
    <cellStyle name="Note 2 2 6 4 4" xfId="4991" xr:uid="{00000000-0005-0000-0000-0000B9120000}"/>
    <cellStyle name="Note 2 2 6 5" xfId="1574" xr:uid="{00000000-0005-0000-0000-0000BA120000}"/>
    <cellStyle name="Note 2 2 6 6" xfId="2852" xr:uid="{00000000-0005-0000-0000-0000BB120000}"/>
    <cellStyle name="Note 2 2 6 7" xfId="4139" xr:uid="{00000000-0005-0000-0000-0000BC120000}"/>
    <cellStyle name="Note 2 2 7" xfId="445" xr:uid="{00000000-0005-0000-0000-0000BD120000}"/>
    <cellStyle name="Note 2 2 7 2" xfId="870" xr:uid="{00000000-0005-0000-0000-0000BE120000}"/>
    <cellStyle name="Note 2 2 7 2 2" xfId="2162" xr:uid="{00000000-0005-0000-0000-0000BF120000}"/>
    <cellStyle name="Note 2 2 7 2 3" xfId="3440" xr:uid="{00000000-0005-0000-0000-0000C0120000}"/>
    <cellStyle name="Note 2 2 7 2 4" xfId="4727" xr:uid="{00000000-0005-0000-0000-0000C1120000}"/>
    <cellStyle name="Note 2 2 7 3" xfId="1296" xr:uid="{00000000-0005-0000-0000-0000C2120000}"/>
    <cellStyle name="Note 2 2 7 3 2" xfId="2588" xr:uid="{00000000-0005-0000-0000-0000C3120000}"/>
    <cellStyle name="Note 2 2 7 3 3" xfId="3866" xr:uid="{00000000-0005-0000-0000-0000C4120000}"/>
    <cellStyle name="Note 2 2 7 3 4" xfId="5153" xr:uid="{00000000-0005-0000-0000-0000C5120000}"/>
    <cellStyle name="Note 2 2 7 4" xfId="1736" xr:uid="{00000000-0005-0000-0000-0000C6120000}"/>
    <cellStyle name="Note 2 2 7 5" xfId="3014" xr:uid="{00000000-0005-0000-0000-0000C7120000}"/>
    <cellStyle name="Note 2 2 7 6" xfId="4301" xr:uid="{00000000-0005-0000-0000-0000C8120000}"/>
    <cellStyle name="Note 2 2 8" xfId="657" xr:uid="{00000000-0005-0000-0000-0000C9120000}"/>
    <cellStyle name="Note 2 2 8 2" xfId="1949" xr:uid="{00000000-0005-0000-0000-0000CA120000}"/>
    <cellStyle name="Note 2 2 8 3" xfId="3227" xr:uid="{00000000-0005-0000-0000-0000CB120000}"/>
    <cellStyle name="Note 2 2 8 4" xfId="4514" xr:uid="{00000000-0005-0000-0000-0000CC120000}"/>
    <cellStyle name="Note 2 2 9" xfId="1083" xr:uid="{00000000-0005-0000-0000-0000CD120000}"/>
    <cellStyle name="Note 2 2 9 2" xfId="2375" xr:uid="{00000000-0005-0000-0000-0000CE120000}"/>
    <cellStyle name="Note 2 2 9 3" xfId="3653" xr:uid="{00000000-0005-0000-0000-0000CF120000}"/>
    <cellStyle name="Note 2 2 9 4" xfId="4940" xr:uid="{00000000-0005-0000-0000-0000D0120000}"/>
    <cellStyle name="Note 2 3" xfId="229" xr:uid="{00000000-0005-0000-0000-0000D1120000}"/>
    <cellStyle name="Note 2 3 2" xfId="230" xr:uid="{00000000-0005-0000-0000-0000D2120000}"/>
    <cellStyle name="Note 2 3 2 2" xfId="452" xr:uid="{00000000-0005-0000-0000-0000D3120000}"/>
    <cellStyle name="Note 2 3 2 2 2" xfId="877" xr:uid="{00000000-0005-0000-0000-0000D4120000}"/>
    <cellStyle name="Note 2 3 2 2 2 2" xfId="2169" xr:uid="{00000000-0005-0000-0000-0000D5120000}"/>
    <cellStyle name="Note 2 3 2 2 2 3" xfId="3447" xr:uid="{00000000-0005-0000-0000-0000D6120000}"/>
    <cellStyle name="Note 2 3 2 2 2 4" xfId="4734" xr:uid="{00000000-0005-0000-0000-0000D7120000}"/>
    <cellStyle name="Note 2 3 2 2 3" xfId="1303" xr:uid="{00000000-0005-0000-0000-0000D8120000}"/>
    <cellStyle name="Note 2 3 2 2 3 2" xfId="2595" xr:uid="{00000000-0005-0000-0000-0000D9120000}"/>
    <cellStyle name="Note 2 3 2 2 3 3" xfId="3873" xr:uid="{00000000-0005-0000-0000-0000DA120000}"/>
    <cellStyle name="Note 2 3 2 2 3 4" xfId="5160" xr:uid="{00000000-0005-0000-0000-0000DB120000}"/>
    <cellStyle name="Note 2 3 2 2 4" xfId="1743" xr:uid="{00000000-0005-0000-0000-0000DC120000}"/>
    <cellStyle name="Note 2 3 2 2 5" xfId="3021" xr:uid="{00000000-0005-0000-0000-0000DD120000}"/>
    <cellStyle name="Note 2 3 2 2 6" xfId="4308" xr:uid="{00000000-0005-0000-0000-0000DE120000}"/>
    <cellStyle name="Note 2 3 2 3" xfId="664" xr:uid="{00000000-0005-0000-0000-0000DF120000}"/>
    <cellStyle name="Note 2 3 2 3 2" xfId="1956" xr:uid="{00000000-0005-0000-0000-0000E0120000}"/>
    <cellStyle name="Note 2 3 2 3 3" xfId="3234" xr:uid="{00000000-0005-0000-0000-0000E1120000}"/>
    <cellStyle name="Note 2 3 2 3 4" xfId="4521" xr:uid="{00000000-0005-0000-0000-0000E2120000}"/>
    <cellStyle name="Note 2 3 2 4" xfId="1090" xr:uid="{00000000-0005-0000-0000-0000E3120000}"/>
    <cellStyle name="Note 2 3 2 4 2" xfId="2382" xr:uid="{00000000-0005-0000-0000-0000E4120000}"/>
    <cellStyle name="Note 2 3 2 4 3" xfId="3660" xr:uid="{00000000-0005-0000-0000-0000E5120000}"/>
    <cellStyle name="Note 2 3 2 4 4" xfId="4947" xr:uid="{00000000-0005-0000-0000-0000E6120000}"/>
    <cellStyle name="Note 2 3 2 5" xfId="1530" xr:uid="{00000000-0005-0000-0000-0000E7120000}"/>
    <cellStyle name="Note 2 3 2 6" xfId="2808" xr:uid="{00000000-0005-0000-0000-0000E8120000}"/>
    <cellStyle name="Note 2 3 2 7" xfId="4095" xr:uid="{00000000-0005-0000-0000-0000E9120000}"/>
    <cellStyle name="Note 2 3 2 8" xfId="5320" xr:uid="{00000000-0005-0000-0000-0000EA120000}"/>
    <cellStyle name="Note 2 3 3" xfId="451" xr:uid="{00000000-0005-0000-0000-0000EB120000}"/>
    <cellStyle name="Note 2 3 3 2" xfId="876" xr:uid="{00000000-0005-0000-0000-0000EC120000}"/>
    <cellStyle name="Note 2 3 3 2 2" xfId="2168" xr:uid="{00000000-0005-0000-0000-0000ED120000}"/>
    <cellStyle name="Note 2 3 3 2 3" xfId="3446" xr:uid="{00000000-0005-0000-0000-0000EE120000}"/>
    <cellStyle name="Note 2 3 3 2 4" xfId="4733" xr:uid="{00000000-0005-0000-0000-0000EF120000}"/>
    <cellStyle name="Note 2 3 3 3" xfId="1302" xr:uid="{00000000-0005-0000-0000-0000F0120000}"/>
    <cellStyle name="Note 2 3 3 3 2" xfId="2594" xr:uid="{00000000-0005-0000-0000-0000F1120000}"/>
    <cellStyle name="Note 2 3 3 3 3" xfId="3872" xr:uid="{00000000-0005-0000-0000-0000F2120000}"/>
    <cellStyle name="Note 2 3 3 3 4" xfId="5159" xr:uid="{00000000-0005-0000-0000-0000F3120000}"/>
    <cellStyle name="Note 2 3 3 4" xfId="1742" xr:uid="{00000000-0005-0000-0000-0000F4120000}"/>
    <cellStyle name="Note 2 3 3 5" xfId="3020" xr:uid="{00000000-0005-0000-0000-0000F5120000}"/>
    <cellStyle name="Note 2 3 3 6" xfId="4307" xr:uid="{00000000-0005-0000-0000-0000F6120000}"/>
    <cellStyle name="Note 2 3 4" xfId="663" xr:uid="{00000000-0005-0000-0000-0000F7120000}"/>
    <cellStyle name="Note 2 3 4 2" xfId="1955" xr:uid="{00000000-0005-0000-0000-0000F8120000}"/>
    <cellStyle name="Note 2 3 4 3" xfId="3233" xr:uid="{00000000-0005-0000-0000-0000F9120000}"/>
    <cellStyle name="Note 2 3 4 4" xfId="4520" xr:uid="{00000000-0005-0000-0000-0000FA120000}"/>
    <cellStyle name="Note 2 3 5" xfId="1089" xr:uid="{00000000-0005-0000-0000-0000FB120000}"/>
    <cellStyle name="Note 2 3 5 2" xfId="2381" xr:uid="{00000000-0005-0000-0000-0000FC120000}"/>
    <cellStyle name="Note 2 3 5 3" xfId="3659" xr:uid="{00000000-0005-0000-0000-0000FD120000}"/>
    <cellStyle name="Note 2 3 5 4" xfId="4946" xr:uid="{00000000-0005-0000-0000-0000FE120000}"/>
    <cellStyle name="Note 2 3 6" xfId="1529" xr:uid="{00000000-0005-0000-0000-0000FF120000}"/>
    <cellStyle name="Note 2 3 7" xfId="2807" xr:uid="{00000000-0005-0000-0000-000000130000}"/>
    <cellStyle name="Note 2 3 8" xfId="4094" xr:uid="{00000000-0005-0000-0000-000001130000}"/>
    <cellStyle name="Note 2 3 9" xfId="5319" xr:uid="{00000000-0005-0000-0000-000002130000}"/>
    <cellStyle name="Note 2 4" xfId="231" xr:uid="{00000000-0005-0000-0000-000003130000}"/>
    <cellStyle name="Note 2 4 2" xfId="453" xr:uid="{00000000-0005-0000-0000-000004130000}"/>
    <cellStyle name="Note 2 4 2 2" xfId="878" xr:uid="{00000000-0005-0000-0000-000005130000}"/>
    <cellStyle name="Note 2 4 2 2 2" xfId="2170" xr:uid="{00000000-0005-0000-0000-000006130000}"/>
    <cellStyle name="Note 2 4 2 2 3" xfId="3448" xr:uid="{00000000-0005-0000-0000-000007130000}"/>
    <cellStyle name="Note 2 4 2 2 4" xfId="4735" xr:uid="{00000000-0005-0000-0000-000008130000}"/>
    <cellStyle name="Note 2 4 2 3" xfId="1304" xr:uid="{00000000-0005-0000-0000-000009130000}"/>
    <cellStyle name="Note 2 4 2 3 2" xfId="2596" xr:uid="{00000000-0005-0000-0000-00000A130000}"/>
    <cellStyle name="Note 2 4 2 3 3" xfId="3874" xr:uid="{00000000-0005-0000-0000-00000B130000}"/>
    <cellStyle name="Note 2 4 2 3 4" xfId="5161" xr:uid="{00000000-0005-0000-0000-00000C130000}"/>
    <cellStyle name="Note 2 4 2 4" xfId="1744" xr:uid="{00000000-0005-0000-0000-00000D130000}"/>
    <cellStyle name="Note 2 4 2 5" xfId="3022" xr:uid="{00000000-0005-0000-0000-00000E130000}"/>
    <cellStyle name="Note 2 4 2 6" xfId="4309" xr:uid="{00000000-0005-0000-0000-00000F130000}"/>
    <cellStyle name="Note 2 4 3" xfId="665" xr:uid="{00000000-0005-0000-0000-000010130000}"/>
    <cellStyle name="Note 2 4 3 2" xfId="1957" xr:uid="{00000000-0005-0000-0000-000011130000}"/>
    <cellStyle name="Note 2 4 3 3" xfId="3235" xr:uid="{00000000-0005-0000-0000-000012130000}"/>
    <cellStyle name="Note 2 4 3 4" xfId="4522" xr:uid="{00000000-0005-0000-0000-000013130000}"/>
    <cellStyle name="Note 2 4 4" xfId="1091" xr:uid="{00000000-0005-0000-0000-000014130000}"/>
    <cellStyle name="Note 2 4 4 2" xfId="2383" xr:uid="{00000000-0005-0000-0000-000015130000}"/>
    <cellStyle name="Note 2 4 4 3" xfId="3661" xr:uid="{00000000-0005-0000-0000-000016130000}"/>
    <cellStyle name="Note 2 4 4 4" xfId="4948" xr:uid="{00000000-0005-0000-0000-000017130000}"/>
    <cellStyle name="Note 2 4 5" xfId="1531" xr:uid="{00000000-0005-0000-0000-000018130000}"/>
    <cellStyle name="Note 2 4 6" xfId="2809" xr:uid="{00000000-0005-0000-0000-000019130000}"/>
    <cellStyle name="Note 2 4 7" xfId="4096" xr:uid="{00000000-0005-0000-0000-00001A130000}"/>
    <cellStyle name="Note 2 4 8" xfId="5321" xr:uid="{00000000-0005-0000-0000-00001B130000}"/>
    <cellStyle name="Note 2 5" xfId="232" xr:uid="{00000000-0005-0000-0000-00001C130000}"/>
    <cellStyle name="Note 2 5 2" xfId="454" xr:uid="{00000000-0005-0000-0000-00001D130000}"/>
    <cellStyle name="Note 2 5 2 2" xfId="879" xr:uid="{00000000-0005-0000-0000-00001E130000}"/>
    <cellStyle name="Note 2 5 2 2 2" xfId="2171" xr:uid="{00000000-0005-0000-0000-00001F130000}"/>
    <cellStyle name="Note 2 5 2 2 3" xfId="3449" xr:uid="{00000000-0005-0000-0000-000020130000}"/>
    <cellStyle name="Note 2 5 2 2 4" xfId="4736" xr:uid="{00000000-0005-0000-0000-000021130000}"/>
    <cellStyle name="Note 2 5 2 3" xfId="1305" xr:uid="{00000000-0005-0000-0000-000022130000}"/>
    <cellStyle name="Note 2 5 2 3 2" xfId="2597" xr:uid="{00000000-0005-0000-0000-000023130000}"/>
    <cellStyle name="Note 2 5 2 3 3" xfId="3875" xr:uid="{00000000-0005-0000-0000-000024130000}"/>
    <cellStyle name="Note 2 5 2 3 4" xfId="5162" xr:uid="{00000000-0005-0000-0000-000025130000}"/>
    <cellStyle name="Note 2 5 2 4" xfId="1745" xr:uid="{00000000-0005-0000-0000-000026130000}"/>
    <cellStyle name="Note 2 5 2 5" xfId="3023" xr:uid="{00000000-0005-0000-0000-000027130000}"/>
    <cellStyle name="Note 2 5 2 6" xfId="4310" xr:uid="{00000000-0005-0000-0000-000028130000}"/>
    <cellStyle name="Note 2 5 3" xfId="666" xr:uid="{00000000-0005-0000-0000-000029130000}"/>
    <cellStyle name="Note 2 5 3 2" xfId="1958" xr:uid="{00000000-0005-0000-0000-00002A130000}"/>
    <cellStyle name="Note 2 5 3 3" xfId="3236" xr:uid="{00000000-0005-0000-0000-00002B130000}"/>
    <cellStyle name="Note 2 5 3 4" xfId="4523" xr:uid="{00000000-0005-0000-0000-00002C130000}"/>
    <cellStyle name="Note 2 5 4" xfId="1092" xr:uid="{00000000-0005-0000-0000-00002D130000}"/>
    <cellStyle name="Note 2 5 4 2" xfId="2384" xr:uid="{00000000-0005-0000-0000-00002E130000}"/>
    <cellStyle name="Note 2 5 4 3" xfId="3662" xr:uid="{00000000-0005-0000-0000-00002F130000}"/>
    <cellStyle name="Note 2 5 4 4" xfId="4949" xr:uid="{00000000-0005-0000-0000-000030130000}"/>
    <cellStyle name="Note 2 5 5" xfId="1532" xr:uid="{00000000-0005-0000-0000-000031130000}"/>
    <cellStyle name="Note 2 5 6" xfId="2810" xr:uid="{00000000-0005-0000-0000-000032130000}"/>
    <cellStyle name="Note 2 5 7" xfId="4097" xr:uid="{00000000-0005-0000-0000-000033130000}"/>
    <cellStyle name="Note 2 6" xfId="233" xr:uid="{00000000-0005-0000-0000-000034130000}"/>
    <cellStyle name="Note 2 6 2" xfId="455" xr:uid="{00000000-0005-0000-0000-000035130000}"/>
    <cellStyle name="Note 2 6 2 2" xfId="880" xr:uid="{00000000-0005-0000-0000-000036130000}"/>
    <cellStyle name="Note 2 6 2 2 2" xfId="2172" xr:uid="{00000000-0005-0000-0000-000037130000}"/>
    <cellStyle name="Note 2 6 2 2 3" xfId="3450" xr:uid="{00000000-0005-0000-0000-000038130000}"/>
    <cellStyle name="Note 2 6 2 2 4" xfId="4737" xr:uid="{00000000-0005-0000-0000-000039130000}"/>
    <cellStyle name="Note 2 6 2 3" xfId="1306" xr:uid="{00000000-0005-0000-0000-00003A130000}"/>
    <cellStyle name="Note 2 6 2 3 2" xfId="2598" xr:uid="{00000000-0005-0000-0000-00003B130000}"/>
    <cellStyle name="Note 2 6 2 3 3" xfId="3876" xr:uid="{00000000-0005-0000-0000-00003C130000}"/>
    <cellStyle name="Note 2 6 2 3 4" xfId="5163" xr:uid="{00000000-0005-0000-0000-00003D130000}"/>
    <cellStyle name="Note 2 6 2 4" xfId="1746" xr:uid="{00000000-0005-0000-0000-00003E130000}"/>
    <cellStyle name="Note 2 6 2 5" xfId="3024" xr:uid="{00000000-0005-0000-0000-00003F130000}"/>
    <cellStyle name="Note 2 6 2 6" xfId="4311" xr:uid="{00000000-0005-0000-0000-000040130000}"/>
    <cellStyle name="Note 2 6 3" xfId="667" xr:uid="{00000000-0005-0000-0000-000041130000}"/>
    <cellStyle name="Note 2 6 3 2" xfId="1959" xr:uid="{00000000-0005-0000-0000-000042130000}"/>
    <cellStyle name="Note 2 6 3 3" xfId="3237" xr:uid="{00000000-0005-0000-0000-000043130000}"/>
    <cellStyle name="Note 2 6 3 4" xfId="4524" xr:uid="{00000000-0005-0000-0000-000044130000}"/>
    <cellStyle name="Note 2 6 4" xfId="1093" xr:uid="{00000000-0005-0000-0000-000045130000}"/>
    <cellStyle name="Note 2 6 4 2" xfId="2385" xr:uid="{00000000-0005-0000-0000-000046130000}"/>
    <cellStyle name="Note 2 6 4 3" xfId="3663" xr:uid="{00000000-0005-0000-0000-000047130000}"/>
    <cellStyle name="Note 2 6 4 4" xfId="4950" xr:uid="{00000000-0005-0000-0000-000048130000}"/>
    <cellStyle name="Note 2 6 5" xfId="1533" xr:uid="{00000000-0005-0000-0000-000049130000}"/>
    <cellStyle name="Note 2 6 6" xfId="2811" xr:uid="{00000000-0005-0000-0000-00004A130000}"/>
    <cellStyle name="Note 2 6 7" xfId="4098" xr:uid="{00000000-0005-0000-0000-00004B130000}"/>
    <cellStyle name="Note 2 7" xfId="268" xr:uid="{00000000-0005-0000-0000-00004C130000}"/>
    <cellStyle name="Note 2 7 2" xfId="481" xr:uid="{00000000-0005-0000-0000-00004D130000}"/>
    <cellStyle name="Note 2 7 2 2" xfId="906" xr:uid="{00000000-0005-0000-0000-00004E130000}"/>
    <cellStyle name="Note 2 7 2 2 2" xfId="2198" xr:uid="{00000000-0005-0000-0000-00004F130000}"/>
    <cellStyle name="Note 2 7 2 2 3" xfId="3476" xr:uid="{00000000-0005-0000-0000-000050130000}"/>
    <cellStyle name="Note 2 7 2 2 4" xfId="4763" xr:uid="{00000000-0005-0000-0000-000051130000}"/>
    <cellStyle name="Note 2 7 2 3" xfId="1332" xr:uid="{00000000-0005-0000-0000-000052130000}"/>
    <cellStyle name="Note 2 7 2 3 2" xfId="2624" xr:uid="{00000000-0005-0000-0000-000053130000}"/>
    <cellStyle name="Note 2 7 2 3 3" xfId="3902" xr:uid="{00000000-0005-0000-0000-000054130000}"/>
    <cellStyle name="Note 2 7 2 3 4" xfId="5189" xr:uid="{00000000-0005-0000-0000-000055130000}"/>
    <cellStyle name="Note 2 7 2 4" xfId="1772" xr:uid="{00000000-0005-0000-0000-000056130000}"/>
    <cellStyle name="Note 2 7 2 5" xfId="3050" xr:uid="{00000000-0005-0000-0000-000057130000}"/>
    <cellStyle name="Note 2 7 2 6" xfId="4337" xr:uid="{00000000-0005-0000-0000-000058130000}"/>
    <cellStyle name="Note 2 7 3" xfId="693" xr:uid="{00000000-0005-0000-0000-000059130000}"/>
    <cellStyle name="Note 2 7 3 2" xfId="1985" xr:uid="{00000000-0005-0000-0000-00005A130000}"/>
    <cellStyle name="Note 2 7 3 3" xfId="3263" xr:uid="{00000000-0005-0000-0000-00005B130000}"/>
    <cellStyle name="Note 2 7 3 4" xfId="4550" xr:uid="{00000000-0005-0000-0000-00005C130000}"/>
    <cellStyle name="Note 2 7 4" xfId="1119" xr:uid="{00000000-0005-0000-0000-00005D130000}"/>
    <cellStyle name="Note 2 7 4 2" xfId="2411" xr:uid="{00000000-0005-0000-0000-00005E130000}"/>
    <cellStyle name="Note 2 7 4 3" xfId="3689" xr:uid="{00000000-0005-0000-0000-00005F130000}"/>
    <cellStyle name="Note 2 7 4 4" xfId="4976" xr:uid="{00000000-0005-0000-0000-000060130000}"/>
    <cellStyle name="Note 2 7 5" xfId="1559" xr:uid="{00000000-0005-0000-0000-000061130000}"/>
    <cellStyle name="Note 2 7 6" xfId="2837" xr:uid="{00000000-0005-0000-0000-000062130000}"/>
    <cellStyle name="Note 2 7 7" xfId="4124" xr:uid="{00000000-0005-0000-0000-000063130000}"/>
    <cellStyle name="Note 2 8" xfId="444" xr:uid="{00000000-0005-0000-0000-000064130000}"/>
    <cellStyle name="Note 2 8 2" xfId="869" xr:uid="{00000000-0005-0000-0000-000065130000}"/>
    <cellStyle name="Note 2 8 2 2" xfId="2161" xr:uid="{00000000-0005-0000-0000-000066130000}"/>
    <cellStyle name="Note 2 8 2 3" xfId="3439" xr:uid="{00000000-0005-0000-0000-000067130000}"/>
    <cellStyle name="Note 2 8 2 4" xfId="4726" xr:uid="{00000000-0005-0000-0000-000068130000}"/>
    <cellStyle name="Note 2 8 3" xfId="1295" xr:uid="{00000000-0005-0000-0000-000069130000}"/>
    <cellStyle name="Note 2 8 3 2" xfId="2587" xr:uid="{00000000-0005-0000-0000-00006A130000}"/>
    <cellStyle name="Note 2 8 3 3" xfId="3865" xr:uid="{00000000-0005-0000-0000-00006B130000}"/>
    <cellStyle name="Note 2 8 3 4" xfId="5152" xr:uid="{00000000-0005-0000-0000-00006C130000}"/>
    <cellStyle name="Note 2 8 4" xfId="1735" xr:uid="{00000000-0005-0000-0000-00006D130000}"/>
    <cellStyle name="Note 2 8 5" xfId="3013" xr:uid="{00000000-0005-0000-0000-00006E130000}"/>
    <cellStyle name="Note 2 8 6" xfId="4300" xr:uid="{00000000-0005-0000-0000-00006F130000}"/>
    <cellStyle name="Note 2 9" xfId="656" xr:uid="{00000000-0005-0000-0000-000070130000}"/>
    <cellStyle name="Note 2 9 2" xfId="1948" xr:uid="{00000000-0005-0000-0000-000071130000}"/>
    <cellStyle name="Note 2 9 3" xfId="3226" xr:uid="{00000000-0005-0000-0000-000072130000}"/>
    <cellStyle name="Note 2 9 4" xfId="4513" xr:uid="{00000000-0005-0000-0000-000073130000}"/>
    <cellStyle name="Note 3" xfId="38" xr:uid="{00000000-0005-0000-0000-000074130000}"/>
    <cellStyle name="Note 3 10" xfId="1094" xr:uid="{00000000-0005-0000-0000-000075130000}"/>
    <cellStyle name="Note 3 10 2" xfId="2386" xr:uid="{00000000-0005-0000-0000-000076130000}"/>
    <cellStyle name="Note 3 10 3" xfId="3664" xr:uid="{00000000-0005-0000-0000-000077130000}"/>
    <cellStyle name="Note 3 10 4" xfId="4951" xr:uid="{00000000-0005-0000-0000-000078130000}"/>
    <cellStyle name="Note 3 11" xfId="1534" xr:uid="{00000000-0005-0000-0000-000079130000}"/>
    <cellStyle name="Note 3 12" xfId="2812" xr:uid="{00000000-0005-0000-0000-00007A130000}"/>
    <cellStyle name="Note 3 13" xfId="4099" xr:uid="{00000000-0005-0000-0000-00007B130000}"/>
    <cellStyle name="Note 3 14" xfId="5322" xr:uid="{00000000-0005-0000-0000-00007C130000}"/>
    <cellStyle name="Note 3 2" xfId="39" xr:uid="{00000000-0005-0000-0000-00007D130000}"/>
    <cellStyle name="Note 3 2 10" xfId="1535" xr:uid="{00000000-0005-0000-0000-00007E130000}"/>
    <cellStyle name="Note 3 2 11" xfId="2813" xr:uid="{00000000-0005-0000-0000-00007F130000}"/>
    <cellStyle name="Note 3 2 12" xfId="4100" xr:uid="{00000000-0005-0000-0000-000080130000}"/>
    <cellStyle name="Note 3 2 13" xfId="5323" xr:uid="{00000000-0005-0000-0000-000081130000}"/>
    <cellStyle name="Note 3 2 2" xfId="234" xr:uid="{00000000-0005-0000-0000-000082130000}"/>
    <cellStyle name="Note 3 2 2 2" xfId="235" xr:uid="{00000000-0005-0000-0000-000083130000}"/>
    <cellStyle name="Note 3 2 2 2 2" xfId="459" xr:uid="{00000000-0005-0000-0000-000084130000}"/>
    <cellStyle name="Note 3 2 2 2 2 2" xfId="884" xr:uid="{00000000-0005-0000-0000-000085130000}"/>
    <cellStyle name="Note 3 2 2 2 2 2 2" xfId="2176" xr:uid="{00000000-0005-0000-0000-000086130000}"/>
    <cellStyle name="Note 3 2 2 2 2 2 3" xfId="3454" xr:uid="{00000000-0005-0000-0000-000087130000}"/>
    <cellStyle name="Note 3 2 2 2 2 2 4" xfId="4741" xr:uid="{00000000-0005-0000-0000-000088130000}"/>
    <cellStyle name="Note 3 2 2 2 2 3" xfId="1310" xr:uid="{00000000-0005-0000-0000-000089130000}"/>
    <cellStyle name="Note 3 2 2 2 2 3 2" xfId="2602" xr:uid="{00000000-0005-0000-0000-00008A130000}"/>
    <cellStyle name="Note 3 2 2 2 2 3 3" xfId="3880" xr:uid="{00000000-0005-0000-0000-00008B130000}"/>
    <cellStyle name="Note 3 2 2 2 2 3 4" xfId="5167" xr:uid="{00000000-0005-0000-0000-00008C130000}"/>
    <cellStyle name="Note 3 2 2 2 2 4" xfId="1750" xr:uid="{00000000-0005-0000-0000-00008D130000}"/>
    <cellStyle name="Note 3 2 2 2 2 5" xfId="3028" xr:uid="{00000000-0005-0000-0000-00008E130000}"/>
    <cellStyle name="Note 3 2 2 2 2 6" xfId="4315" xr:uid="{00000000-0005-0000-0000-00008F130000}"/>
    <cellStyle name="Note 3 2 2 2 3" xfId="671" xr:uid="{00000000-0005-0000-0000-000090130000}"/>
    <cellStyle name="Note 3 2 2 2 3 2" xfId="1963" xr:uid="{00000000-0005-0000-0000-000091130000}"/>
    <cellStyle name="Note 3 2 2 2 3 3" xfId="3241" xr:uid="{00000000-0005-0000-0000-000092130000}"/>
    <cellStyle name="Note 3 2 2 2 3 4" xfId="4528" xr:uid="{00000000-0005-0000-0000-000093130000}"/>
    <cellStyle name="Note 3 2 2 2 4" xfId="1097" xr:uid="{00000000-0005-0000-0000-000094130000}"/>
    <cellStyle name="Note 3 2 2 2 4 2" xfId="2389" xr:uid="{00000000-0005-0000-0000-000095130000}"/>
    <cellStyle name="Note 3 2 2 2 4 3" xfId="3667" xr:uid="{00000000-0005-0000-0000-000096130000}"/>
    <cellStyle name="Note 3 2 2 2 4 4" xfId="4954" xr:uid="{00000000-0005-0000-0000-000097130000}"/>
    <cellStyle name="Note 3 2 2 2 5" xfId="1537" xr:uid="{00000000-0005-0000-0000-000098130000}"/>
    <cellStyle name="Note 3 2 2 2 6" xfId="2815" xr:uid="{00000000-0005-0000-0000-000099130000}"/>
    <cellStyle name="Note 3 2 2 2 7" xfId="4102" xr:uid="{00000000-0005-0000-0000-00009A130000}"/>
    <cellStyle name="Note 3 2 2 2 8" xfId="5325" xr:uid="{00000000-0005-0000-0000-00009B130000}"/>
    <cellStyle name="Note 3 2 2 3" xfId="458" xr:uid="{00000000-0005-0000-0000-00009C130000}"/>
    <cellStyle name="Note 3 2 2 3 2" xfId="883" xr:uid="{00000000-0005-0000-0000-00009D130000}"/>
    <cellStyle name="Note 3 2 2 3 2 2" xfId="2175" xr:uid="{00000000-0005-0000-0000-00009E130000}"/>
    <cellStyle name="Note 3 2 2 3 2 3" xfId="3453" xr:uid="{00000000-0005-0000-0000-00009F130000}"/>
    <cellStyle name="Note 3 2 2 3 2 4" xfId="4740" xr:uid="{00000000-0005-0000-0000-0000A0130000}"/>
    <cellStyle name="Note 3 2 2 3 3" xfId="1309" xr:uid="{00000000-0005-0000-0000-0000A1130000}"/>
    <cellStyle name="Note 3 2 2 3 3 2" xfId="2601" xr:uid="{00000000-0005-0000-0000-0000A2130000}"/>
    <cellStyle name="Note 3 2 2 3 3 3" xfId="3879" xr:uid="{00000000-0005-0000-0000-0000A3130000}"/>
    <cellStyle name="Note 3 2 2 3 3 4" xfId="5166" xr:uid="{00000000-0005-0000-0000-0000A4130000}"/>
    <cellStyle name="Note 3 2 2 3 4" xfId="1749" xr:uid="{00000000-0005-0000-0000-0000A5130000}"/>
    <cellStyle name="Note 3 2 2 3 5" xfId="3027" xr:uid="{00000000-0005-0000-0000-0000A6130000}"/>
    <cellStyle name="Note 3 2 2 3 6" xfId="4314" xr:uid="{00000000-0005-0000-0000-0000A7130000}"/>
    <cellStyle name="Note 3 2 2 4" xfId="670" xr:uid="{00000000-0005-0000-0000-0000A8130000}"/>
    <cellStyle name="Note 3 2 2 4 2" xfId="1962" xr:uid="{00000000-0005-0000-0000-0000A9130000}"/>
    <cellStyle name="Note 3 2 2 4 3" xfId="3240" xr:uid="{00000000-0005-0000-0000-0000AA130000}"/>
    <cellStyle name="Note 3 2 2 4 4" xfId="4527" xr:uid="{00000000-0005-0000-0000-0000AB130000}"/>
    <cellStyle name="Note 3 2 2 5" xfId="1096" xr:uid="{00000000-0005-0000-0000-0000AC130000}"/>
    <cellStyle name="Note 3 2 2 5 2" xfId="2388" xr:uid="{00000000-0005-0000-0000-0000AD130000}"/>
    <cellStyle name="Note 3 2 2 5 3" xfId="3666" xr:uid="{00000000-0005-0000-0000-0000AE130000}"/>
    <cellStyle name="Note 3 2 2 5 4" xfId="4953" xr:uid="{00000000-0005-0000-0000-0000AF130000}"/>
    <cellStyle name="Note 3 2 2 6" xfId="1536" xr:uid="{00000000-0005-0000-0000-0000B0130000}"/>
    <cellStyle name="Note 3 2 2 7" xfId="2814" xr:uid="{00000000-0005-0000-0000-0000B1130000}"/>
    <cellStyle name="Note 3 2 2 8" xfId="4101" xr:uid="{00000000-0005-0000-0000-0000B2130000}"/>
    <cellStyle name="Note 3 2 2 9" xfId="5324" xr:uid="{00000000-0005-0000-0000-0000B3130000}"/>
    <cellStyle name="Note 3 2 3" xfId="236" xr:uid="{00000000-0005-0000-0000-0000B4130000}"/>
    <cellStyle name="Note 3 2 3 2" xfId="460" xr:uid="{00000000-0005-0000-0000-0000B5130000}"/>
    <cellStyle name="Note 3 2 3 2 2" xfId="885" xr:uid="{00000000-0005-0000-0000-0000B6130000}"/>
    <cellStyle name="Note 3 2 3 2 2 2" xfId="2177" xr:uid="{00000000-0005-0000-0000-0000B7130000}"/>
    <cellStyle name="Note 3 2 3 2 2 3" xfId="3455" xr:uid="{00000000-0005-0000-0000-0000B8130000}"/>
    <cellStyle name="Note 3 2 3 2 2 4" xfId="4742" xr:uid="{00000000-0005-0000-0000-0000B9130000}"/>
    <cellStyle name="Note 3 2 3 2 3" xfId="1311" xr:uid="{00000000-0005-0000-0000-0000BA130000}"/>
    <cellStyle name="Note 3 2 3 2 3 2" xfId="2603" xr:uid="{00000000-0005-0000-0000-0000BB130000}"/>
    <cellStyle name="Note 3 2 3 2 3 3" xfId="3881" xr:uid="{00000000-0005-0000-0000-0000BC130000}"/>
    <cellStyle name="Note 3 2 3 2 3 4" xfId="5168" xr:uid="{00000000-0005-0000-0000-0000BD130000}"/>
    <cellStyle name="Note 3 2 3 2 4" xfId="1751" xr:uid="{00000000-0005-0000-0000-0000BE130000}"/>
    <cellStyle name="Note 3 2 3 2 5" xfId="3029" xr:uid="{00000000-0005-0000-0000-0000BF130000}"/>
    <cellStyle name="Note 3 2 3 2 6" xfId="4316" xr:uid="{00000000-0005-0000-0000-0000C0130000}"/>
    <cellStyle name="Note 3 2 3 3" xfId="672" xr:uid="{00000000-0005-0000-0000-0000C1130000}"/>
    <cellStyle name="Note 3 2 3 3 2" xfId="1964" xr:uid="{00000000-0005-0000-0000-0000C2130000}"/>
    <cellStyle name="Note 3 2 3 3 3" xfId="3242" xr:uid="{00000000-0005-0000-0000-0000C3130000}"/>
    <cellStyle name="Note 3 2 3 3 4" xfId="4529" xr:uid="{00000000-0005-0000-0000-0000C4130000}"/>
    <cellStyle name="Note 3 2 3 4" xfId="1098" xr:uid="{00000000-0005-0000-0000-0000C5130000}"/>
    <cellStyle name="Note 3 2 3 4 2" xfId="2390" xr:uid="{00000000-0005-0000-0000-0000C6130000}"/>
    <cellStyle name="Note 3 2 3 4 3" xfId="3668" xr:uid="{00000000-0005-0000-0000-0000C7130000}"/>
    <cellStyle name="Note 3 2 3 4 4" xfId="4955" xr:uid="{00000000-0005-0000-0000-0000C8130000}"/>
    <cellStyle name="Note 3 2 3 5" xfId="1538" xr:uid="{00000000-0005-0000-0000-0000C9130000}"/>
    <cellStyle name="Note 3 2 3 6" xfId="2816" xr:uid="{00000000-0005-0000-0000-0000CA130000}"/>
    <cellStyle name="Note 3 2 3 7" xfId="4103" xr:uid="{00000000-0005-0000-0000-0000CB130000}"/>
    <cellStyle name="Note 3 2 3 8" xfId="5326" xr:uid="{00000000-0005-0000-0000-0000CC130000}"/>
    <cellStyle name="Note 3 2 4" xfId="237" xr:uid="{00000000-0005-0000-0000-0000CD130000}"/>
    <cellStyle name="Note 3 2 4 2" xfId="461" xr:uid="{00000000-0005-0000-0000-0000CE130000}"/>
    <cellStyle name="Note 3 2 4 2 2" xfId="886" xr:uid="{00000000-0005-0000-0000-0000CF130000}"/>
    <cellStyle name="Note 3 2 4 2 2 2" xfId="2178" xr:uid="{00000000-0005-0000-0000-0000D0130000}"/>
    <cellStyle name="Note 3 2 4 2 2 3" xfId="3456" xr:uid="{00000000-0005-0000-0000-0000D1130000}"/>
    <cellStyle name="Note 3 2 4 2 2 4" xfId="4743" xr:uid="{00000000-0005-0000-0000-0000D2130000}"/>
    <cellStyle name="Note 3 2 4 2 3" xfId="1312" xr:uid="{00000000-0005-0000-0000-0000D3130000}"/>
    <cellStyle name="Note 3 2 4 2 3 2" xfId="2604" xr:uid="{00000000-0005-0000-0000-0000D4130000}"/>
    <cellStyle name="Note 3 2 4 2 3 3" xfId="3882" xr:uid="{00000000-0005-0000-0000-0000D5130000}"/>
    <cellStyle name="Note 3 2 4 2 3 4" xfId="5169" xr:uid="{00000000-0005-0000-0000-0000D6130000}"/>
    <cellStyle name="Note 3 2 4 2 4" xfId="1752" xr:uid="{00000000-0005-0000-0000-0000D7130000}"/>
    <cellStyle name="Note 3 2 4 2 5" xfId="3030" xr:uid="{00000000-0005-0000-0000-0000D8130000}"/>
    <cellStyle name="Note 3 2 4 2 6" xfId="4317" xr:uid="{00000000-0005-0000-0000-0000D9130000}"/>
    <cellStyle name="Note 3 2 4 3" xfId="673" xr:uid="{00000000-0005-0000-0000-0000DA130000}"/>
    <cellStyle name="Note 3 2 4 3 2" xfId="1965" xr:uid="{00000000-0005-0000-0000-0000DB130000}"/>
    <cellStyle name="Note 3 2 4 3 3" xfId="3243" xr:uid="{00000000-0005-0000-0000-0000DC130000}"/>
    <cellStyle name="Note 3 2 4 3 4" xfId="4530" xr:uid="{00000000-0005-0000-0000-0000DD130000}"/>
    <cellStyle name="Note 3 2 4 4" xfId="1099" xr:uid="{00000000-0005-0000-0000-0000DE130000}"/>
    <cellStyle name="Note 3 2 4 4 2" xfId="2391" xr:uid="{00000000-0005-0000-0000-0000DF130000}"/>
    <cellStyle name="Note 3 2 4 4 3" xfId="3669" xr:uid="{00000000-0005-0000-0000-0000E0130000}"/>
    <cellStyle name="Note 3 2 4 4 4" xfId="4956" xr:uid="{00000000-0005-0000-0000-0000E1130000}"/>
    <cellStyle name="Note 3 2 4 5" xfId="1539" xr:uid="{00000000-0005-0000-0000-0000E2130000}"/>
    <cellStyle name="Note 3 2 4 6" xfId="2817" xr:uid="{00000000-0005-0000-0000-0000E3130000}"/>
    <cellStyle name="Note 3 2 4 7" xfId="4104" xr:uid="{00000000-0005-0000-0000-0000E4130000}"/>
    <cellStyle name="Note 3 2 5" xfId="238" xr:uid="{00000000-0005-0000-0000-0000E5130000}"/>
    <cellStyle name="Note 3 2 5 2" xfId="462" xr:uid="{00000000-0005-0000-0000-0000E6130000}"/>
    <cellStyle name="Note 3 2 5 2 2" xfId="887" xr:uid="{00000000-0005-0000-0000-0000E7130000}"/>
    <cellStyle name="Note 3 2 5 2 2 2" xfId="2179" xr:uid="{00000000-0005-0000-0000-0000E8130000}"/>
    <cellStyle name="Note 3 2 5 2 2 3" xfId="3457" xr:uid="{00000000-0005-0000-0000-0000E9130000}"/>
    <cellStyle name="Note 3 2 5 2 2 4" xfId="4744" xr:uid="{00000000-0005-0000-0000-0000EA130000}"/>
    <cellStyle name="Note 3 2 5 2 3" xfId="1313" xr:uid="{00000000-0005-0000-0000-0000EB130000}"/>
    <cellStyle name="Note 3 2 5 2 3 2" xfId="2605" xr:uid="{00000000-0005-0000-0000-0000EC130000}"/>
    <cellStyle name="Note 3 2 5 2 3 3" xfId="3883" xr:uid="{00000000-0005-0000-0000-0000ED130000}"/>
    <cellStyle name="Note 3 2 5 2 3 4" xfId="5170" xr:uid="{00000000-0005-0000-0000-0000EE130000}"/>
    <cellStyle name="Note 3 2 5 2 4" xfId="1753" xr:uid="{00000000-0005-0000-0000-0000EF130000}"/>
    <cellStyle name="Note 3 2 5 2 5" xfId="3031" xr:uid="{00000000-0005-0000-0000-0000F0130000}"/>
    <cellStyle name="Note 3 2 5 2 6" xfId="4318" xr:uid="{00000000-0005-0000-0000-0000F1130000}"/>
    <cellStyle name="Note 3 2 5 3" xfId="674" xr:uid="{00000000-0005-0000-0000-0000F2130000}"/>
    <cellStyle name="Note 3 2 5 3 2" xfId="1966" xr:uid="{00000000-0005-0000-0000-0000F3130000}"/>
    <cellStyle name="Note 3 2 5 3 3" xfId="3244" xr:uid="{00000000-0005-0000-0000-0000F4130000}"/>
    <cellStyle name="Note 3 2 5 3 4" xfId="4531" xr:uid="{00000000-0005-0000-0000-0000F5130000}"/>
    <cellStyle name="Note 3 2 5 4" xfId="1100" xr:uid="{00000000-0005-0000-0000-0000F6130000}"/>
    <cellStyle name="Note 3 2 5 4 2" xfId="2392" xr:uid="{00000000-0005-0000-0000-0000F7130000}"/>
    <cellStyle name="Note 3 2 5 4 3" xfId="3670" xr:uid="{00000000-0005-0000-0000-0000F8130000}"/>
    <cellStyle name="Note 3 2 5 4 4" xfId="4957" xr:uid="{00000000-0005-0000-0000-0000F9130000}"/>
    <cellStyle name="Note 3 2 5 5" xfId="1540" xr:uid="{00000000-0005-0000-0000-0000FA130000}"/>
    <cellStyle name="Note 3 2 5 6" xfId="2818" xr:uid="{00000000-0005-0000-0000-0000FB130000}"/>
    <cellStyle name="Note 3 2 5 7" xfId="4105" xr:uid="{00000000-0005-0000-0000-0000FC130000}"/>
    <cellStyle name="Note 3 2 6" xfId="284" xr:uid="{00000000-0005-0000-0000-0000FD130000}"/>
    <cellStyle name="Note 3 2 6 2" xfId="497" xr:uid="{00000000-0005-0000-0000-0000FE130000}"/>
    <cellStyle name="Note 3 2 6 2 2" xfId="922" xr:uid="{00000000-0005-0000-0000-0000FF130000}"/>
    <cellStyle name="Note 3 2 6 2 2 2" xfId="2214" xr:uid="{00000000-0005-0000-0000-000000140000}"/>
    <cellStyle name="Note 3 2 6 2 2 3" xfId="3492" xr:uid="{00000000-0005-0000-0000-000001140000}"/>
    <cellStyle name="Note 3 2 6 2 2 4" xfId="4779" xr:uid="{00000000-0005-0000-0000-000002140000}"/>
    <cellStyle name="Note 3 2 6 2 3" xfId="1348" xr:uid="{00000000-0005-0000-0000-000003140000}"/>
    <cellStyle name="Note 3 2 6 2 3 2" xfId="2640" xr:uid="{00000000-0005-0000-0000-000004140000}"/>
    <cellStyle name="Note 3 2 6 2 3 3" xfId="3918" xr:uid="{00000000-0005-0000-0000-000005140000}"/>
    <cellStyle name="Note 3 2 6 2 3 4" xfId="5205" xr:uid="{00000000-0005-0000-0000-000006140000}"/>
    <cellStyle name="Note 3 2 6 2 4" xfId="1788" xr:uid="{00000000-0005-0000-0000-000007140000}"/>
    <cellStyle name="Note 3 2 6 2 5" xfId="3066" xr:uid="{00000000-0005-0000-0000-000008140000}"/>
    <cellStyle name="Note 3 2 6 2 6" xfId="4353" xr:uid="{00000000-0005-0000-0000-000009140000}"/>
    <cellStyle name="Note 3 2 6 3" xfId="709" xr:uid="{00000000-0005-0000-0000-00000A140000}"/>
    <cellStyle name="Note 3 2 6 3 2" xfId="2001" xr:uid="{00000000-0005-0000-0000-00000B140000}"/>
    <cellStyle name="Note 3 2 6 3 3" xfId="3279" xr:uid="{00000000-0005-0000-0000-00000C140000}"/>
    <cellStyle name="Note 3 2 6 3 4" xfId="4566" xr:uid="{00000000-0005-0000-0000-00000D140000}"/>
    <cellStyle name="Note 3 2 6 4" xfId="1135" xr:uid="{00000000-0005-0000-0000-00000E140000}"/>
    <cellStyle name="Note 3 2 6 4 2" xfId="2427" xr:uid="{00000000-0005-0000-0000-00000F140000}"/>
    <cellStyle name="Note 3 2 6 4 3" xfId="3705" xr:uid="{00000000-0005-0000-0000-000010140000}"/>
    <cellStyle name="Note 3 2 6 4 4" xfId="4992" xr:uid="{00000000-0005-0000-0000-000011140000}"/>
    <cellStyle name="Note 3 2 6 5" xfId="1575" xr:uid="{00000000-0005-0000-0000-000012140000}"/>
    <cellStyle name="Note 3 2 6 6" xfId="2853" xr:uid="{00000000-0005-0000-0000-000013140000}"/>
    <cellStyle name="Note 3 2 6 7" xfId="4140" xr:uid="{00000000-0005-0000-0000-000014140000}"/>
    <cellStyle name="Note 3 2 7" xfId="457" xr:uid="{00000000-0005-0000-0000-000015140000}"/>
    <cellStyle name="Note 3 2 7 2" xfId="882" xr:uid="{00000000-0005-0000-0000-000016140000}"/>
    <cellStyle name="Note 3 2 7 2 2" xfId="2174" xr:uid="{00000000-0005-0000-0000-000017140000}"/>
    <cellStyle name="Note 3 2 7 2 3" xfId="3452" xr:uid="{00000000-0005-0000-0000-000018140000}"/>
    <cellStyle name="Note 3 2 7 2 4" xfId="4739" xr:uid="{00000000-0005-0000-0000-000019140000}"/>
    <cellStyle name="Note 3 2 7 3" xfId="1308" xr:uid="{00000000-0005-0000-0000-00001A140000}"/>
    <cellStyle name="Note 3 2 7 3 2" xfId="2600" xr:uid="{00000000-0005-0000-0000-00001B140000}"/>
    <cellStyle name="Note 3 2 7 3 3" xfId="3878" xr:uid="{00000000-0005-0000-0000-00001C140000}"/>
    <cellStyle name="Note 3 2 7 3 4" xfId="5165" xr:uid="{00000000-0005-0000-0000-00001D140000}"/>
    <cellStyle name="Note 3 2 7 4" xfId="1748" xr:uid="{00000000-0005-0000-0000-00001E140000}"/>
    <cellStyle name="Note 3 2 7 5" xfId="3026" xr:uid="{00000000-0005-0000-0000-00001F140000}"/>
    <cellStyle name="Note 3 2 7 6" xfId="4313" xr:uid="{00000000-0005-0000-0000-000020140000}"/>
    <cellStyle name="Note 3 2 8" xfId="669" xr:uid="{00000000-0005-0000-0000-000021140000}"/>
    <cellStyle name="Note 3 2 8 2" xfId="1961" xr:uid="{00000000-0005-0000-0000-000022140000}"/>
    <cellStyle name="Note 3 2 8 3" xfId="3239" xr:uid="{00000000-0005-0000-0000-000023140000}"/>
    <cellStyle name="Note 3 2 8 4" xfId="4526" xr:uid="{00000000-0005-0000-0000-000024140000}"/>
    <cellStyle name="Note 3 2 9" xfId="1095" xr:uid="{00000000-0005-0000-0000-000025140000}"/>
    <cellStyle name="Note 3 2 9 2" xfId="2387" xr:uid="{00000000-0005-0000-0000-000026140000}"/>
    <cellStyle name="Note 3 2 9 3" xfId="3665" xr:uid="{00000000-0005-0000-0000-000027140000}"/>
    <cellStyle name="Note 3 2 9 4" xfId="4952" xr:uid="{00000000-0005-0000-0000-000028140000}"/>
    <cellStyle name="Note 3 3" xfId="239" xr:uid="{00000000-0005-0000-0000-000029140000}"/>
    <cellStyle name="Note 3 3 2" xfId="240" xr:uid="{00000000-0005-0000-0000-00002A140000}"/>
    <cellStyle name="Note 3 3 2 2" xfId="464" xr:uid="{00000000-0005-0000-0000-00002B140000}"/>
    <cellStyle name="Note 3 3 2 2 2" xfId="889" xr:uid="{00000000-0005-0000-0000-00002C140000}"/>
    <cellStyle name="Note 3 3 2 2 2 2" xfId="2181" xr:uid="{00000000-0005-0000-0000-00002D140000}"/>
    <cellStyle name="Note 3 3 2 2 2 3" xfId="3459" xr:uid="{00000000-0005-0000-0000-00002E140000}"/>
    <cellStyle name="Note 3 3 2 2 2 4" xfId="4746" xr:uid="{00000000-0005-0000-0000-00002F140000}"/>
    <cellStyle name="Note 3 3 2 2 3" xfId="1315" xr:uid="{00000000-0005-0000-0000-000030140000}"/>
    <cellStyle name="Note 3 3 2 2 3 2" xfId="2607" xr:uid="{00000000-0005-0000-0000-000031140000}"/>
    <cellStyle name="Note 3 3 2 2 3 3" xfId="3885" xr:uid="{00000000-0005-0000-0000-000032140000}"/>
    <cellStyle name="Note 3 3 2 2 3 4" xfId="5172" xr:uid="{00000000-0005-0000-0000-000033140000}"/>
    <cellStyle name="Note 3 3 2 2 4" xfId="1755" xr:uid="{00000000-0005-0000-0000-000034140000}"/>
    <cellStyle name="Note 3 3 2 2 5" xfId="3033" xr:uid="{00000000-0005-0000-0000-000035140000}"/>
    <cellStyle name="Note 3 3 2 2 6" xfId="4320" xr:uid="{00000000-0005-0000-0000-000036140000}"/>
    <cellStyle name="Note 3 3 2 3" xfId="676" xr:uid="{00000000-0005-0000-0000-000037140000}"/>
    <cellStyle name="Note 3 3 2 3 2" xfId="1968" xr:uid="{00000000-0005-0000-0000-000038140000}"/>
    <cellStyle name="Note 3 3 2 3 3" xfId="3246" xr:uid="{00000000-0005-0000-0000-000039140000}"/>
    <cellStyle name="Note 3 3 2 3 4" xfId="4533" xr:uid="{00000000-0005-0000-0000-00003A140000}"/>
    <cellStyle name="Note 3 3 2 4" xfId="1102" xr:uid="{00000000-0005-0000-0000-00003B140000}"/>
    <cellStyle name="Note 3 3 2 4 2" xfId="2394" xr:uid="{00000000-0005-0000-0000-00003C140000}"/>
    <cellStyle name="Note 3 3 2 4 3" xfId="3672" xr:uid="{00000000-0005-0000-0000-00003D140000}"/>
    <cellStyle name="Note 3 3 2 4 4" xfId="4959" xr:uid="{00000000-0005-0000-0000-00003E140000}"/>
    <cellStyle name="Note 3 3 2 5" xfId="1542" xr:uid="{00000000-0005-0000-0000-00003F140000}"/>
    <cellStyle name="Note 3 3 2 6" xfId="2820" xr:uid="{00000000-0005-0000-0000-000040140000}"/>
    <cellStyle name="Note 3 3 2 7" xfId="4107" xr:uid="{00000000-0005-0000-0000-000041140000}"/>
    <cellStyle name="Note 3 3 2 8" xfId="5328" xr:uid="{00000000-0005-0000-0000-000042140000}"/>
    <cellStyle name="Note 3 3 3" xfId="463" xr:uid="{00000000-0005-0000-0000-000043140000}"/>
    <cellStyle name="Note 3 3 3 2" xfId="888" xr:uid="{00000000-0005-0000-0000-000044140000}"/>
    <cellStyle name="Note 3 3 3 2 2" xfId="2180" xr:uid="{00000000-0005-0000-0000-000045140000}"/>
    <cellStyle name="Note 3 3 3 2 3" xfId="3458" xr:uid="{00000000-0005-0000-0000-000046140000}"/>
    <cellStyle name="Note 3 3 3 2 4" xfId="4745" xr:uid="{00000000-0005-0000-0000-000047140000}"/>
    <cellStyle name="Note 3 3 3 3" xfId="1314" xr:uid="{00000000-0005-0000-0000-000048140000}"/>
    <cellStyle name="Note 3 3 3 3 2" xfId="2606" xr:uid="{00000000-0005-0000-0000-000049140000}"/>
    <cellStyle name="Note 3 3 3 3 3" xfId="3884" xr:uid="{00000000-0005-0000-0000-00004A140000}"/>
    <cellStyle name="Note 3 3 3 3 4" xfId="5171" xr:uid="{00000000-0005-0000-0000-00004B140000}"/>
    <cellStyle name="Note 3 3 3 4" xfId="1754" xr:uid="{00000000-0005-0000-0000-00004C140000}"/>
    <cellStyle name="Note 3 3 3 5" xfId="3032" xr:uid="{00000000-0005-0000-0000-00004D140000}"/>
    <cellStyle name="Note 3 3 3 6" xfId="4319" xr:uid="{00000000-0005-0000-0000-00004E140000}"/>
    <cellStyle name="Note 3 3 4" xfId="675" xr:uid="{00000000-0005-0000-0000-00004F140000}"/>
    <cellStyle name="Note 3 3 4 2" xfId="1967" xr:uid="{00000000-0005-0000-0000-000050140000}"/>
    <cellStyle name="Note 3 3 4 3" xfId="3245" xr:uid="{00000000-0005-0000-0000-000051140000}"/>
    <cellStyle name="Note 3 3 4 4" xfId="4532" xr:uid="{00000000-0005-0000-0000-000052140000}"/>
    <cellStyle name="Note 3 3 5" xfId="1101" xr:uid="{00000000-0005-0000-0000-000053140000}"/>
    <cellStyle name="Note 3 3 5 2" xfId="2393" xr:uid="{00000000-0005-0000-0000-000054140000}"/>
    <cellStyle name="Note 3 3 5 3" xfId="3671" xr:uid="{00000000-0005-0000-0000-000055140000}"/>
    <cellStyle name="Note 3 3 5 4" xfId="4958" xr:uid="{00000000-0005-0000-0000-000056140000}"/>
    <cellStyle name="Note 3 3 6" xfId="1541" xr:uid="{00000000-0005-0000-0000-000057140000}"/>
    <cellStyle name="Note 3 3 7" xfId="2819" xr:uid="{00000000-0005-0000-0000-000058140000}"/>
    <cellStyle name="Note 3 3 8" xfId="4106" xr:uid="{00000000-0005-0000-0000-000059140000}"/>
    <cellStyle name="Note 3 3 9" xfId="5327" xr:uid="{00000000-0005-0000-0000-00005A140000}"/>
    <cellStyle name="Note 3 4" xfId="241" xr:uid="{00000000-0005-0000-0000-00005B140000}"/>
    <cellStyle name="Note 3 4 2" xfId="465" xr:uid="{00000000-0005-0000-0000-00005C140000}"/>
    <cellStyle name="Note 3 4 2 2" xfId="890" xr:uid="{00000000-0005-0000-0000-00005D140000}"/>
    <cellStyle name="Note 3 4 2 2 2" xfId="2182" xr:uid="{00000000-0005-0000-0000-00005E140000}"/>
    <cellStyle name="Note 3 4 2 2 3" xfId="3460" xr:uid="{00000000-0005-0000-0000-00005F140000}"/>
    <cellStyle name="Note 3 4 2 2 4" xfId="4747" xr:uid="{00000000-0005-0000-0000-000060140000}"/>
    <cellStyle name="Note 3 4 2 3" xfId="1316" xr:uid="{00000000-0005-0000-0000-000061140000}"/>
    <cellStyle name="Note 3 4 2 3 2" xfId="2608" xr:uid="{00000000-0005-0000-0000-000062140000}"/>
    <cellStyle name="Note 3 4 2 3 3" xfId="3886" xr:uid="{00000000-0005-0000-0000-000063140000}"/>
    <cellStyle name="Note 3 4 2 3 4" xfId="5173" xr:uid="{00000000-0005-0000-0000-000064140000}"/>
    <cellStyle name="Note 3 4 2 4" xfId="1756" xr:uid="{00000000-0005-0000-0000-000065140000}"/>
    <cellStyle name="Note 3 4 2 5" xfId="3034" xr:uid="{00000000-0005-0000-0000-000066140000}"/>
    <cellStyle name="Note 3 4 2 6" xfId="4321" xr:uid="{00000000-0005-0000-0000-000067140000}"/>
    <cellStyle name="Note 3 4 3" xfId="677" xr:uid="{00000000-0005-0000-0000-000068140000}"/>
    <cellStyle name="Note 3 4 3 2" xfId="1969" xr:uid="{00000000-0005-0000-0000-000069140000}"/>
    <cellStyle name="Note 3 4 3 3" xfId="3247" xr:uid="{00000000-0005-0000-0000-00006A140000}"/>
    <cellStyle name="Note 3 4 3 4" xfId="4534" xr:uid="{00000000-0005-0000-0000-00006B140000}"/>
    <cellStyle name="Note 3 4 4" xfId="1103" xr:uid="{00000000-0005-0000-0000-00006C140000}"/>
    <cellStyle name="Note 3 4 4 2" xfId="2395" xr:uid="{00000000-0005-0000-0000-00006D140000}"/>
    <cellStyle name="Note 3 4 4 3" xfId="3673" xr:uid="{00000000-0005-0000-0000-00006E140000}"/>
    <cellStyle name="Note 3 4 4 4" xfId="4960" xr:uid="{00000000-0005-0000-0000-00006F140000}"/>
    <cellStyle name="Note 3 4 5" xfId="1543" xr:uid="{00000000-0005-0000-0000-000070140000}"/>
    <cellStyle name="Note 3 4 6" xfId="2821" xr:uid="{00000000-0005-0000-0000-000071140000}"/>
    <cellStyle name="Note 3 4 7" xfId="4108" xr:uid="{00000000-0005-0000-0000-000072140000}"/>
    <cellStyle name="Note 3 4 8" xfId="5329" xr:uid="{00000000-0005-0000-0000-000073140000}"/>
    <cellStyle name="Note 3 5" xfId="242" xr:uid="{00000000-0005-0000-0000-000074140000}"/>
    <cellStyle name="Note 3 5 2" xfId="466" xr:uid="{00000000-0005-0000-0000-000075140000}"/>
    <cellStyle name="Note 3 5 2 2" xfId="891" xr:uid="{00000000-0005-0000-0000-000076140000}"/>
    <cellStyle name="Note 3 5 2 2 2" xfId="2183" xr:uid="{00000000-0005-0000-0000-000077140000}"/>
    <cellStyle name="Note 3 5 2 2 3" xfId="3461" xr:uid="{00000000-0005-0000-0000-000078140000}"/>
    <cellStyle name="Note 3 5 2 2 4" xfId="4748" xr:uid="{00000000-0005-0000-0000-000079140000}"/>
    <cellStyle name="Note 3 5 2 3" xfId="1317" xr:uid="{00000000-0005-0000-0000-00007A140000}"/>
    <cellStyle name="Note 3 5 2 3 2" xfId="2609" xr:uid="{00000000-0005-0000-0000-00007B140000}"/>
    <cellStyle name="Note 3 5 2 3 3" xfId="3887" xr:uid="{00000000-0005-0000-0000-00007C140000}"/>
    <cellStyle name="Note 3 5 2 3 4" xfId="5174" xr:uid="{00000000-0005-0000-0000-00007D140000}"/>
    <cellStyle name="Note 3 5 2 4" xfId="1757" xr:uid="{00000000-0005-0000-0000-00007E140000}"/>
    <cellStyle name="Note 3 5 2 5" xfId="3035" xr:uid="{00000000-0005-0000-0000-00007F140000}"/>
    <cellStyle name="Note 3 5 2 6" xfId="4322" xr:uid="{00000000-0005-0000-0000-000080140000}"/>
    <cellStyle name="Note 3 5 3" xfId="678" xr:uid="{00000000-0005-0000-0000-000081140000}"/>
    <cellStyle name="Note 3 5 3 2" xfId="1970" xr:uid="{00000000-0005-0000-0000-000082140000}"/>
    <cellStyle name="Note 3 5 3 3" xfId="3248" xr:uid="{00000000-0005-0000-0000-000083140000}"/>
    <cellStyle name="Note 3 5 3 4" xfId="4535" xr:uid="{00000000-0005-0000-0000-000084140000}"/>
    <cellStyle name="Note 3 5 4" xfId="1104" xr:uid="{00000000-0005-0000-0000-000085140000}"/>
    <cellStyle name="Note 3 5 4 2" xfId="2396" xr:uid="{00000000-0005-0000-0000-000086140000}"/>
    <cellStyle name="Note 3 5 4 3" xfId="3674" xr:uid="{00000000-0005-0000-0000-000087140000}"/>
    <cellStyle name="Note 3 5 4 4" xfId="4961" xr:uid="{00000000-0005-0000-0000-000088140000}"/>
    <cellStyle name="Note 3 5 5" xfId="1544" xr:uid="{00000000-0005-0000-0000-000089140000}"/>
    <cellStyle name="Note 3 5 6" xfId="2822" xr:uid="{00000000-0005-0000-0000-00008A140000}"/>
    <cellStyle name="Note 3 5 7" xfId="4109" xr:uid="{00000000-0005-0000-0000-00008B140000}"/>
    <cellStyle name="Note 3 6" xfId="243" xr:uid="{00000000-0005-0000-0000-00008C140000}"/>
    <cellStyle name="Note 3 6 2" xfId="467" xr:uid="{00000000-0005-0000-0000-00008D140000}"/>
    <cellStyle name="Note 3 6 2 2" xfId="892" xr:uid="{00000000-0005-0000-0000-00008E140000}"/>
    <cellStyle name="Note 3 6 2 2 2" xfId="2184" xr:uid="{00000000-0005-0000-0000-00008F140000}"/>
    <cellStyle name="Note 3 6 2 2 3" xfId="3462" xr:uid="{00000000-0005-0000-0000-000090140000}"/>
    <cellStyle name="Note 3 6 2 2 4" xfId="4749" xr:uid="{00000000-0005-0000-0000-000091140000}"/>
    <cellStyle name="Note 3 6 2 3" xfId="1318" xr:uid="{00000000-0005-0000-0000-000092140000}"/>
    <cellStyle name="Note 3 6 2 3 2" xfId="2610" xr:uid="{00000000-0005-0000-0000-000093140000}"/>
    <cellStyle name="Note 3 6 2 3 3" xfId="3888" xr:uid="{00000000-0005-0000-0000-000094140000}"/>
    <cellStyle name="Note 3 6 2 3 4" xfId="5175" xr:uid="{00000000-0005-0000-0000-000095140000}"/>
    <cellStyle name="Note 3 6 2 4" xfId="1758" xr:uid="{00000000-0005-0000-0000-000096140000}"/>
    <cellStyle name="Note 3 6 2 5" xfId="3036" xr:uid="{00000000-0005-0000-0000-000097140000}"/>
    <cellStyle name="Note 3 6 2 6" xfId="4323" xr:uid="{00000000-0005-0000-0000-000098140000}"/>
    <cellStyle name="Note 3 6 3" xfId="679" xr:uid="{00000000-0005-0000-0000-000099140000}"/>
    <cellStyle name="Note 3 6 3 2" xfId="1971" xr:uid="{00000000-0005-0000-0000-00009A140000}"/>
    <cellStyle name="Note 3 6 3 3" xfId="3249" xr:uid="{00000000-0005-0000-0000-00009B140000}"/>
    <cellStyle name="Note 3 6 3 4" xfId="4536" xr:uid="{00000000-0005-0000-0000-00009C140000}"/>
    <cellStyle name="Note 3 6 4" xfId="1105" xr:uid="{00000000-0005-0000-0000-00009D140000}"/>
    <cellStyle name="Note 3 6 4 2" xfId="2397" xr:uid="{00000000-0005-0000-0000-00009E140000}"/>
    <cellStyle name="Note 3 6 4 3" xfId="3675" xr:uid="{00000000-0005-0000-0000-00009F140000}"/>
    <cellStyle name="Note 3 6 4 4" xfId="4962" xr:uid="{00000000-0005-0000-0000-0000A0140000}"/>
    <cellStyle name="Note 3 6 5" xfId="1545" xr:uid="{00000000-0005-0000-0000-0000A1140000}"/>
    <cellStyle name="Note 3 6 6" xfId="2823" xr:uid="{00000000-0005-0000-0000-0000A2140000}"/>
    <cellStyle name="Note 3 6 7" xfId="4110" xr:uid="{00000000-0005-0000-0000-0000A3140000}"/>
    <cellStyle name="Note 3 7" xfId="269" xr:uid="{00000000-0005-0000-0000-0000A4140000}"/>
    <cellStyle name="Note 3 7 2" xfId="482" xr:uid="{00000000-0005-0000-0000-0000A5140000}"/>
    <cellStyle name="Note 3 7 2 2" xfId="907" xr:uid="{00000000-0005-0000-0000-0000A6140000}"/>
    <cellStyle name="Note 3 7 2 2 2" xfId="2199" xr:uid="{00000000-0005-0000-0000-0000A7140000}"/>
    <cellStyle name="Note 3 7 2 2 3" xfId="3477" xr:uid="{00000000-0005-0000-0000-0000A8140000}"/>
    <cellStyle name="Note 3 7 2 2 4" xfId="4764" xr:uid="{00000000-0005-0000-0000-0000A9140000}"/>
    <cellStyle name="Note 3 7 2 3" xfId="1333" xr:uid="{00000000-0005-0000-0000-0000AA140000}"/>
    <cellStyle name="Note 3 7 2 3 2" xfId="2625" xr:uid="{00000000-0005-0000-0000-0000AB140000}"/>
    <cellStyle name="Note 3 7 2 3 3" xfId="3903" xr:uid="{00000000-0005-0000-0000-0000AC140000}"/>
    <cellStyle name="Note 3 7 2 3 4" xfId="5190" xr:uid="{00000000-0005-0000-0000-0000AD140000}"/>
    <cellStyle name="Note 3 7 2 4" xfId="1773" xr:uid="{00000000-0005-0000-0000-0000AE140000}"/>
    <cellStyle name="Note 3 7 2 5" xfId="3051" xr:uid="{00000000-0005-0000-0000-0000AF140000}"/>
    <cellStyle name="Note 3 7 2 6" xfId="4338" xr:uid="{00000000-0005-0000-0000-0000B0140000}"/>
    <cellStyle name="Note 3 7 3" xfId="694" xr:uid="{00000000-0005-0000-0000-0000B1140000}"/>
    <cellStyle name="Note 3 7 3 2" xfId="1986" xr:uid="{00000000-0005-0000-0000-0000B2140000}"/>
    <cellStyle name="Note 3 7 3 3" xfId="3264" xr:uid="{00000000-0005-0000-0000-0000B3140000}"/>
    <cellStyle name="Note 3 7 3 4" xfId="4551" xr:uid="{00000000-0005-0000-0000-0000B4140000}"/>
    <cellStyle name="Note 3 7 4" xfId="1120" xr:uid="{00000000-0005-0000-0000-0000B5140000}"/>
    <cellStyle name="Note 3 7 4 2" xfId="2412" xr:uid="{00000000-0005-0000-0000-0000B6140000}"/>
    <cellStyle name="Note 3 7 4 3" xfId="3690" xr:uid="{00000000-0005-0000-0000-0000B7140000}"/>
    <cellStyle name="Note 3 7 4 4" xfId="4977" xr:uid="{00000000-0005-0000-0000-0000B8140000}"/>
    <cellStyle name="Note 3 7 5" xfId="1560" xr:uid="{00000000-0005-0000-0000-0000B9140000}"/>
    <cellStyle name="Note 3 7 6" xfId="2838" xr:uid="{00000000-0005-0000-0000-0000BA140000}"/>
    <cellStyle name="Note 3 7 7" xfId="4125" xr:uid="{00000000-0005-0000-0000-0000BB140000}"/>
    <cellStyle name="Note 3 8" xfId="456" xr:uid="{00000000-0005-0000-0000-0000BC140000}"/>
    <cellStyle name="Note 3 8 2" xfId="881" xr:uid="{00000000-0005-0000-0000-0000BD140000}"/>
    <cellStyle name="Note 3 8 2 2" xfId="2173" xr:uid="{00000000-0005-0000-0000-0000BE140000}"/>
    <cellStyle name="Note 3 8 2 3" xfId="3451" xr:uid="{00000000-0005-0000-0000-0000BF140000}"/>
    <cellStyle name="Note 3 8 2 4" xfId="4738" xr:uid="{00000000-0005-0000-0000-0000C0140000}"/>
    <cellStyle name="Note 3 8 3" xfId="1307" xr:uid="{00000000-0005-0000-0000-0000C1140000}"/>
    <cellStyle name="Note 3 8 3 2" xfId="2599" xr:uid="{00000000-0005-0000-0000-0000C2140000}"/>
    <cellStyle name="Note 3 8 3 3" xfId="3877" xr:uid="{00000000-0005-0000-0000-0000C3140000}"/>
    <cellStyle name="Note 3 8 3 4" xfId="5164" xr:uid="{00000000-0005-0000-0000-0000C4140000}"/>
    <cellStyle name="Note 3 8 4" xfId="1747" xr:uid="{00000000-0005-0000-0000-0000C5140000}"/>
    <cellStyle name="Note 3 8 5" xfId="3025" xr:uid="{00000000-0005-0000-0000-0000C6140000}"/>
    <cellStyle name="Note 3 8 6" xfId="4312" xr:uid="{00000000-0005-0000-0000-0000C7140000}"/>
    <cellStyle name="Note 3 9" xfId="668" xr:uid="{00000000-0005-0000-0000-0000C8140000}"/>
    <cellStyle name="Note 3 9 2" xfId="1960" xr:uid="{00000000-0005-0000-0000-0000C9140000}"/>
    <cellStyle name="Note 3 9 3" xfId="3238" xr:uid="{00000000-0005-0000-0000-0000CA140000}"/>
    <cellStyle name="Note 3 9 4" xfId="4525" xr:uid="{00000000-0005-0000-0000-0000CB140000}"/>
    <cellStyle name="Output" xfId="3" builtinId="21" customBuiltin="1"/>
    <cellStyle name="Percent" xfId="2" builtinId="5"/>
    <cellStyle name="Percent 2" xfId="40" xr:uid="{00000000-0005-0000-0000-0000CE140000}"/>
    <cellStyle name="Percent 2 2" xfId="250" xr:uid="{00000000-0005-0000-0000-0000CF140000}"/>
    <cellStyle name="Percent 2 2 2" xfId="5330" xr:uid="{00000000-0005-0000-0000-0000D0140000}"/>
    <cellStyle name="Percent 3" xfId="244" xr:uid="{00000000-0005-0000-0000-0000D1140000}"/>
    <cellStyle name="Percent 3 2" xfId="1358" xr:uid="{00000000-0005-0000-0000-0000D2140000}"/>
    <cellStyle name="Percent 3 2 2" xfId="5331" xr:uid="{00000000-0005-0000-0000-0000D3140000}"/>
    <cellStyle name="Percent 4" xfId="245" xr:uid="{00000000-0005-0000-0000-0000D4140000}"/>
    <cellStyle name="Percent 4 2" xfId="1354" xr:uid="{00000000-0005-0000-0000-0000D5140000}"/>
    <cellStyle name="Percent 4 2 2" xfId="5332" xr:uid="{00000000-0005-0000-0000-0000D6140000}"/>
    <cellStyle name="Title" xfId="43" builtinId="15" customBuiltin="1"/>
    <cellStyle name="Total" xfId="57" builtinId="25" customBuiltin="1"/>
    <cellStyle name="Warning Text" xfId="55" builtinId="11" customBuiltin="1"/>
  </cellStyles>
  <dxfs count="9">
    <dxf>
      <font>
        <b/>
        <i val="0"/>
        <color rgb="FF191970"/>
      </font>
      <fill>
        <patternFill>
          <bgColor rgb="FFFFDEAD"/>
        </patternFill>
      </fill>
    </dxf>
    <dxf>
      <font>
        <b/>
        <i val="0"/>
        <color rgb="FF191970"/>
      </font>
      <fill>
        <patternFill>
          <bgColor rgb="FFFFDEA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s>
  <tableStyles count="0" defaultTableStyle="TableStyleMedium9" defaultPivotStyle="PivotStyleLight16"/>
  <colors>
    <mruColors>
      <color rgb="FFFFCCFF"/>
      <color rgb="FFFFE1FF"/>
      <color rgb="FFE9F54D"/>
      <color rgb="FFFFFFCC"/>
      <color rgb="FFCCFFCC"/>
      <color rgb="FF66FF33"/>
      <color rgb="FFFD8BF5"/>
      <color rgb="FF00FF00"/>
      <color rgb="FF0000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4.0/"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57</xdr:row>
      <xdr:rowOff>0</xdr:rowOff>
    </xdr:from>
    <xdr:to>
      <xdr:col>0</xdr:col>
      <xdr:colOff>762000</xdr:colOff>
      <xdr:row>57</xdr:row>
      <xdr:rowOff>132874</xdr:rowOff>
    </xdr:to>
    <xdr:pic>
      <xdr:nvPicPr>
        <xdr:cNvPr id="2" name="Picture 1" descr="Creative Commons License">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68050"/>
          <a:ext cx="762000" cy="140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1</xdr:rowOff>
    </xdr:from>
    <xdr:to>
      <xdr:col>16</xdr:col>
      <xdr:colOff>609599</xdr:colOff>
      <xdr:row>11</xdr:row>
      <xdr:rowOff>1</xdr:rowOff>
    </xdr:to>
    <xdr:sp macro="" textlink="">
      <xdr:nvSpPr>
        <xdr:cNvPr id="2" name="TextBox 1" title="gl 840 guidance">
          <a:extLst>
            <a:ext uri="{FF2B5EF4-FFF2-40B4-BE49-F238E27FC236}">
              <a16:creationId xmlns:a16="http://schemas.microsoft.com/office/drawing/2014/main" id="{00000000-0008-0000-1000-000002000000}"/>
            </a:ext>
          </a:extLst>
        </xdr:cNvPr>
        <xdr:cNvSpPr txBox="1"/>
      </xdr:nvSpPr>
      <xdr:spPr>
        <a:xfrm>
          <a:off x="8305800" y="1"/>
          <a:ext cx="4876799"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840 Nonspendable</a:t>
          </a:r>
          <a:r>
            <a:rPr lang="en-US" sz="1100" b="1" i="1" baseline="0"/>
            <a:t> Fund Balance—Inventory and Prepaid Items </a:t>
          </a:r>
        </a:p>
        <a:p>
          <a:r>
            <a:rPr lang="en-US" sz="1100" b="0" i="0" baseline="0"/>
            <a:t>This account balance should reflect the district's recorded inventories and/or prepaid items on the balance sheet. These are assets of the district that are not in spendable form.</a:t>
          </a:r>
        </a:p>
        <a:p>
          <a:endParaRPr lang="en-US" sz="1100" b="0" i="0" baseline="0"/>
        </a:p>
        <a:p>
          <a:pPr algn="ctr"/>
          <a:r>
            <a:rPr lang="en-US" sz="1100" b="0" i="1" baseline="0"/>
            <a:t>Instructions for this sheet</a:t>
          </a:r>
        </a:p>
        <a:p>
          <a:pPr algn="l"/>
          <a:r>
            <a:rPr lang="en-US" sz="1100" b="0" i="0" baseline="0"/>
            <a:t>In the yellow cells, enter the amounts in the appropriate corresponding GL code for the appropriate fund. The General Fund and ASB Fund calculate separately.</a:t>
          </a:r>
        </a:p>
        <a:p>
          <a:pPr algn="l"/>
          <a:endParaRPr lang="en-US" sz="1100" b="0" i="0" baseline="0"/>
        </a:p>
        <a:p>
          <a:pPr algn="l"/>
          <a:r>
            <a:rPr lang="en-US" sz="1100" b="0" i="0" baseline="0"/>
            <a:t>These amounts represent net assets (fund balance) of the district that are not in spendable form.</a:t>
          </a:r>
          <a:endParaRPr lang="en-US" sz="1100" b="0" i="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7</xdr:col>
      <xdr:colOff>9525</xdr:colOff>
      <xdr:row>0</xdr:row>
      <xdr:rowOff>0</xdr:rowOff>
    </xdr:from>
    <xdr:ext cx="3667125" cy="1914524"/>
    <xdr:sp macro="" textlink="">
      <xdr:nvSpPr>
        <xdr:cNvPr id="2" name="TextBox 1" title="gl 845 guidance">
          <a:extLst>
            <a:ext uri="{FF2B5EF4-FFF2-40B4-BE49-F238E27FC236}">
              <a16:creationId xmlns:a16="http://schemas.microsoft.com/office/drawing/2014/main" id="{00000000-0008-0000-1100-000002000000}"/>
            </a:ext>
          </a:extLst>
        </xdr:cNvPr>
        <xdr:cNvSpPr txBox="1"/>
      </xdr:nvSpPr>
      <xdr:spPr>
        <a:xfrm>
          <a:off x="5600700" y="0"/>
          <a:ext cx="3667125" cy="1914524"/>
        </a:xfrm>
        <a:prstGeom prst="rect">
          <a:avLst/>
        </a:prstGeom>
        <a:solidFill>
          <a:schemeClr val="bg1"/>
        </a:solidFill>
        <a:ln>
          <a:solidFill>
            <a:schemeClr val="bg2">
              <a:lumMod val="2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i="1"/>
            <a:t>GL 845 Restricted</a:t>
          </a:r>
          <a:r>
            <a:rPr lang="en-US" sz="1100" b="1" i="1" baseline="0"/>
            <a:t> for Self-Insurance</a:t>
          </a:r>
        </a:p>
        <a:p>
          <a:r>
            <a:rPr lang="en-US" sz="1100" b="0" i="0" baseline="0"/>
            <a:t>This account is used to restrict fund balance for amounts that the district is legally required to maintain as a condition of being self-insured (with the Department of Labor and Industries). </a:t>
          </a:r>
        </a:p>
        <a:p>
          <a:endParaRPr lang="en-US" sz="1100" b="0" i="0" baseline="0"/>
        </a:p>
        <a:p>
          <a:pPr algn="ctr"/>
          <a:r>
            <a:rPr lang="en-US" sz="1100" b="0" i="1" baseline="0"/>
            <a:t>Instructions for this sheet</a:t>
          </a:r>
        </a:p>
        <a:p>
          <a:pPr algn="l"/>
          <a:r>
            <a:rPr lang="en-US" sz="1100" b="0" i="0" baseline="0"/>
            <a:t>If the district is self-insured for industrial insurance, enter the amount that the district is required to maintain in reserve as a condition of being self-insured.</a:t>
          </a:r>
          <a:endParaRPr lang="en-US" sz="1100" b="0" i="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9</xdr:col>
      <xdr:colOff>0</xdr:colOff>
      <xdr:row>0</xdr:row>
      <xdr:rowOff>0</xdr:rowOff>
    </xdr:from>
    <xdr:to>
      <xdr:col>17</xdr:col>
      <xdr:colOff>0</xdr:colOff>
      <xdr:row>12</xdr:row>
      <xdr:rowOff>9524</xdr:rowOff>
    </xdr:to>
    <xdr:sp macro="" textlink="">
      <xdr:nvSpPr>
        <xdr:cNvPr id="2" name="TextBox 1" title="gl 850 guidance">
          <a:extLst>
            <a:ext uri="{FF2B5EF4-FFF2-40B4-BE49-F238E27FC236}">
              <a16:creationId xmlns:a16="http://schemas.microsoft.com/office/drawing/2014/main" id="{00000000-0008-0000-1200-000002000000}"/>
            </a:ext>
          </a:extLst>
        </xdr:cNvPr>
        <xdr:cNvSpPr txBox="1"/>
      </xdr:nvSpPr>
      <xdr:spPr>
        <a:xfrm>
          <a:off x="7515225" y="0"/>
          <a:ext cx="4876800" cy="2295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850 Restricted for</a:t>
          </a:r>
          <a:r>
            <a:rPr lang="en-US" sz="1100" b="1" i="1" baseline="0"/>
            <a:t> Uninsured Risks </a:t>
          </a:r>
          <a:endParaRPr lang="en-US" sz="1100" b="0" i="0" baseline="0"/>
        </a:p>
        <a:p>
          <a:r>
            <a:rPr lang="en-US" sz="1100" b="0" i="0" baseline="0"/>
            <a:t>This account is used to restrict a portion of fund balance for future losses not covered by insurance. The amounts put in this account are required under self-insurance. Contra entries are made to Account 890 Unassigned Fund Balance (GF) or 889 Assigned to Fund Purposes (all other listed funds).</a:t>
          </a:r>
        </a:p>
        <a:p>
          <a:endParaRPr lang="en-US" sz="1100" b="0" i="0" baseline="0"/>
        </a:p>
        <a:p>
          <a:pPr algn="ctr"/>
          <a:r>
            <a:rPr lang="en-US" sz="1100" b="0" i="1" baseline="0"/>
            <a:t>Instructions for this sheet</a:t>
          </a:r>
        </a:p>
        <a:p>
          <a:pPr algn="l"/>
          <a:r>
            <a:rPr lang="en-US" sz="1100" b="0" i="0" baseline="0"/>
            <a:t>If the district maintains self-insurance for items other than industrial insurance, any amounts that the district is required to keep in reserve should be reported in this account. Space is provided for multiple accounts if necessary. Also, any other contractual obligations to maintain coverage in the event of losses not covered by insurance should be reported here.</a:t>
          </a:r>
          <a:endParaRPr lang="en-US" sz="1100" b="1" i="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0</xdr:row>
      <xdr:rowOff>0</xdr:rowOff>
    </xdr:from>
    <xdr:to>
      <xdr:col>12</xdr:col>
      <xdr:colOff>600075</xdr:colOff>
      <xdr:row>11</xdr:row>
      <xdr:rowOff>0</xdr:rowOff>
    </xdr:to>
    <xdr:sp macro="" textlink="">
      <xdr:nvSpPr>
        <xdr:cNvPr id="2" name="TextBox 1" title="gl 855 guidance">
          <a:extLst>
            <a:ext uri="{FF2B5EF4-FFF2-40B4-BE49-F238E27FC236}">
              <a16:creationId xmlns:a16="http://schemas.microsoft.com/office/drawing/2014/main" id="{00000000-0008-0000-1300-000002000000}"/>
            </a:ext>
          </a:extLst>
        </xdr:cNvPr>
        <xdr:cNvSpPr txBox="1"/>
      </xdr:nvSpPr>
      <xdr:spPr>
        <a:xfrm>
          <a:off x="5514975" y="0"/>
          <a:ext cx="36480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855 Nonspendable</a:t>
          </a:r>
          <a:r>
            <a:rPr lang="en-US" sz="1100" b="1" i="1" baseline="0"/>
            <a:t> Fund Balance—Trust Principal           </a:t>
          </a:r>
        </a:p>
        <a:p>
          <a:r>
            <a:rPr lang="en-US" sz="1100" b="0" i="0" baseline="0"/>
            <a:t>For use only in trust funds where the principal may not be expended, this account shows the portion of trust assets that represents principal. After the closing of the nonoperating revenue and nonoperating expense accounts, this account is equal to the principal of the trust.</a:t>
          </a:r>
        </a:p>
        <a:p>
          <a:endParaRPr lang="en-US" sz="1100" b="0" i="0" baseline="0"/>
        </a:p>
        <a:p>
          <a:pPr algn="ctr"/>
          <a:r>
            <a:rPr lang="en-US" sz="1100" b="0" i="1" baseline="0"/>
            <a:t>Instructions for this sheet</a:t>
          </a:r>
        </a:p>
        <a:p>
          <a:pPr algn="l"/>
          <a:r>
            <a:rPr lang="en-US" sz="1100" b="0" i="0" baseline="0"/>
            <a:t>If the district has a permanent fund (a donation or other endowment that is limited such that only interest earnings may be spent), enter the amount of the principal of that fund in this account.</a:t>
          </a:r>
          <a:endParaRPr lang="en-US" sz="1100" b="0" i="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600074</xdr:colOff>
      <xdr:row>0</xdr:row>
      <xdr:rowOff>1</xdr:rowOff>
    </xdr:from>
    <xdr:to>
      <xdr:col>12</xdr:col>
      <xdr:colOff>609599</xdr:colOff>
      <xdr:row>10</xdr:row>
      <xdr:rowOff>0</xdr:rowOff>
    </xdr:to>
    <xdr:sp macro="" textlink="">
      <xdr:nvSpPr>
        <xdr:cNvPr id="2" name="TextBox 1" title="gl 861 guidance">
          <a:extLst>
            <a:ext uri="{FF2B5EF4-FFF2-40B4-BE49-F238E27FC236}">
              <a16:creationId xmlns:a16="http://schemas.microsoft.com/office/drawing/2014/main" id="{00000000-0008-0000-1400-000002000000}"/>
            </a:ext>
          </a:extLst>
        </xdr:cNvPr>
        <xdr:cNvSpPr txBox="1"/>
      </xdr:nvSpPr>
      <xdr:spPr>
        <a:xfrm>
          <a:off x="6143624" y="1"/>
          <a:ext cx="4276725" cy="190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861 Restricted from Bond Proceeds</a:t>
          </a:r>
          <a:endParaRPr lang="en-US" sz="1100" b="1" i="1" baseline="0"/>
        </a:p>
        <a:p>
          <a:r>
            <a:rPr lang="en-US" sz="1100" b="0" i="0" baseline="0"/>
            <a:t>This account is provided to record the amounts remaining from bond issues and earnings from bond proceeds investments that have been allocated for specific projects or the amounts remaining after the proposition projects have been completed.</a:t>
          </a:r>
        </a:p>
        <a:p>
          <a:endParaRPr lang="en-US" sz="1100" b="0" i="0" baseline="0"/>
        </a:p>
        <a:p>
          <a:pPr algn="ctr"/>
          <a:r>
            <a:rPr lang="en-US" sz="1100" b="0" i="1" baseline="0"/>
            <a:t>Instructions for this sheet</a:t>
          </a:r>
        </a:p>
        <a:p>
          <a:pPr algn="l"/>
          <a:r>
            <a:rPr lang="en-US" sz="1100" b="0" i="0" baseline="0"/>
            <a:t>Bonds sold and interest earned should be equal to CPF revenues with a source/use code of 1. Expenditures with a source/use code of 1 should be recorded in the appropriate place.</a:t>
          </a:r>
          <a:endParaRPr lang="en-US" sz="1100" b="0" i="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0</xdr:rowOff>
    </xdr:from>
    <xdr:to>
      <xdr:col>13</xdr:col>
      <xdr:colOff>0</xdr:colOff>
      <xdr:row>10</xdr:row>
      <xdr:rowOff>9524</xdr:rowOff>
    </xdr:to>
    <xdr:sp macro="" textlink="">
      <xdr:nvSpPr>
        <xdr:cNvPr id="2" name="TextBox 1" title="gl 862 guidance">
          <a:extLst>
            <a:ext uri="{FF2B5EF4-FFF2-40B4-BE49-F238E27FC236}">
              <a16:creationId xmlns:a16="http://schemas.microsoft.com/office/drawing/2014/main" id="{00000000-0008-0000-1500-000002000000}"/>
            </a:ext>
          </a:extLst>
        </xdr:cNvPr>
        <xdr:cNvSpPr txBox="1"/>
      </xdr:nvSpPr>
      <xdr:spPr>
        <a:xfrm>
          <a:off x="6153150" y="0"/>
          <a:ext cx="4267200" cy="1914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862</a:t>
          </a:r>
          <a:r>
            <a:rPr lang="en-US" sz="1100" b="1" i="1" baseline="0"/>
            <a:t> Committed from Levy Proceeds</a:t>
          </a:r>
        </a:p>
        <a:p>
          <a:r>
            <a:rPr lang="en-US" sz="1100" b="0" i="0" baseline="0"/>
            <a:t>This account is provided to record the amounts remaining from capital projects levies that have been allocated for specific purposes or the amounts remaining after the proposition projects have been completed.</a:t>
          </a:r>
        </a:p>
        <a:p>
          <a:endParaRPr lang="en-US" sz="1100" b="0" i="0" baseline="0"/>
        </a:p>
        <a:p>
          <a:pPr algn="ctr"/>
          <a:r>
            <a:rPr lang="en-US" sz="1100" b="0" i="1" baseline="0"/>
            <a:t>Instructions for this sheet</a:t>
          </a:r>
        </a:p>
        <a:p>
          <a:pPr algn="l"/>
          <a:r>
            <a:rPr lang="en-US" sz="1100" b="0" i="0" baseline="0"/>
            <a:t>This sheet is used to record transactions (revenues, expenditures) in the CPF with a source/use code of "2".</a:t>
          </a:r>
          <a:endParaRPr lang="en-US" sz="1100" b="0" i="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9525</xdr:colOff>
      <xdr:row>0</xdr:row>
      <xdr:rowOff>0</xdr:rowOff>
    </xdr:from>
    <xdr:to>
      <xdr:col>13</xdr:col>
      <xdr:colOff>0</xdr:colOff>
      <xdr:row>9</xdr:row>
      <xdr:rowOff>0</xdr:rowOff>
    </xdr:to>
    <xdr:sp macro="" textlink="">
      <xdr:nvSpPr>
        <xdr:cNvPr id="2" name="TextBox 1" title="gl 863 guidance">
          <a:extLst>
            <a:ext uri="{FF2B5EF4-FFF2-40B4-BE49-F238E27FC236}">
              <a16:creationId xmlns:a16="http://schemas.microsoft.com/office/drawing/2014/main" id="{00000000-0008-0000-1600-000002000000}"/>
            </a:ext>
          </a:extLst>
        </xdr:cNvPr>
        <xdr:cNvSpPr txBox="1"/>
      </xdr:nvSpPr>
      <xdr:spPr>
        <a:xfrm>
          <a:off x="6772275" y="0"/>
          <a:ext cx="3648075"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863 Restricted from</a:t>
          </a:r>
          <a:r>
            <a:rPr lang="en-US" sz="1100" b="1" i="1" baseline="0"/>
            <a:t> State Proceeds</a:t>
          </a:r>
        </a:p>
        <a:p>
          <a:r>
            <a:rPr lang="en-US" sz="1100" b="0" i="0" baseline="0"/>
            <a:t>This account is provided to close project revenues and expenditures for projects funded totally or in part with state funds.</a:t>
          </a:r>
        </a:p>
        <a:p>
          <a:endParaRPr lang="en-US" sz="1100" b="0" i="0" baseline="0"/>
        </a:p>
        <a:p>
          <a:pPr algn="ctr"/>
          <a:r>
            <a:rPr lang="en-US" sz="1100" b="0" i="1" baseline="0"/>
            <a:t>Instructions for this sheet</a:t>
          </a:r>
        </a:p>
        <a:p>
          <a:pPr algn="l"/>
          <a:r>
            <a:rPr lang="en-US" sz="1100" b="0" i="0" baseline="0"/>
            <a:t>This sheet is used to record transactions (revenues, expenditures) in the CPF that have a source/use code of "3".</a:t>
          </a:r>
          <a:endParaRPr lang="en-US" sz="1100" b="0" i="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0</xdr:row>
      <xdr:rowOff>0</xdr:rowOff>
    </xdr:from>
    <xdr:to>
      <xdr:col>13</xdr:col>
      <xdr:colOff>9525</xdr:colOff>
      <xdr:row>8</xdr:row>
      <xdr:rowOff>9525</xdr:rowOff>
    </xdr:to>
    <xdr:sp macro="" textlink="">
      <xdr:nvSpPr>
        <xdr:cNvPr id="2" name="TextBox 1" title="GL 864 Guiidance">
          <a:extLst>
            <a:ext uri="{FF2B5EF4-FFF2-40B4-BE49-F238E27FC236}">
              <a16:creationId xmlns:a16="http://schemas.microsoft.com/office/drawing/2014/main" id="{00000000-0008-0000-1700-000002000000}"/>
            </a:ext>
          </a:extLst>
        </xdr:cNvPr>
        <xdr:cNvSpPr txBox="1"/>
      </xdr:nvSpPr>
      <xdr:spPr>
        <a:xfrm>
          <a:off x="6762750" y="0"/>
          <a:ext cx="366712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864 Restricted from</a:t>
          </a:r>
          <a:r>
            <a:rPr lang="en-US" sz="1100" b="1" i="1" baseline="0"/>
            <a:t> Federal Proceeds </a:t>
          </a:r>
        </a:p>
        <a:p>
          <a:r>
            <a:rPr lang="en-US" sz="1100" b="0" i="0" baseline="0"/>
            <a:t>This account is provided to close project revenues and expenditures for projects funded totally or in part by federal agencies.</a:t>
          </a:r>
        </a:p>
        <a:p>
          <a:endParaRPr lang="en-US" sz="1100" b="0" i="0" baseline="0"/>
        </a:p>
        <a:p>
          <a:pPr algn="ctr"/>
          <a:r>
            <a:rPr lang="en-US" sz="1100" b="0" i="1" baseline="0"/>
            <a:t>Instructions for this sheet</a:t>
          </a:r>
        </a:p>
        <a:p>
          <a:pPr algn="l"/>
          <a:r>
            <a:rPr lang="en-US" sz="1100" b="0" i="0" baseline="0"/>
            <a:t>This sheet is for recording transactions (revenues, expenditures) in the CPF that have a source/use code of "4".</a:t>
          </a:r>
          <a:endParaRPr lang="en-US" sz="1100" b="0" i="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0</xdr:row>
      <xdr:rowOff>0</xdr:rowOff>
    </xdr:from>
    <xdr:to>
      <xdr:col>13</xdr:col>
      <xdr:colOff>600075</xdr:colOff>
      <xdr:row>10</xdr:row>
      <xdr:rowOff>0</xdr:rowOff>
    </xdr:to>
    <xdr:sp macro="" textlink="">
      <xdr:nvSpPr>
        <xdr:cNvPr id="2" name="TextBox 1" title="GL 865 Guidance">
          <a:extLst>
            <a:ext uri="{FF2B5EF4-FFF2-40B4-BE49-F238E27FC236}">
              <a16:creationId xmlns:a16="http://schemas.microsoft.com/office/drawing/2014/main" id="{00000000-0008-0000-1800-000002000000}"/>
            </a:ext>
          </a:extLst>
        </xdr:cNvPr>
        <xdr:cNvSpPr txBox="1"/>
      </xdr:nvSpPr>
      <xdr:spPr>
        <a:xfrm>
          <a:off x="6762750" y="0"/>
          <a:ext cx="4257675"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865 Restricted from Other Proceeds</a:t>
          </a:r>
          <a:r>
            <a:rPr lang="en-US" sz="1100" b="1" i="1" baseline="0"/>
            <a:t> </a:t>
          </a:r>
        </a:p>
        <a:p>
          <a:r>
            <a:rPr lang="en-US" sz="1100" b="0" i="0" baseline="0"/>
            <a:t>This account is provided to close project revenues and expenditures for projects funded totally or in part by sources other than bond, levy, state, or federal proceeds. For example, the district may receive resources from a private citizen for the construction of a library; these resources would be restricted for that purpose.</a:t>
          </a:r>
        </a:p>
        <a:p>
          <a:endParaRPr lang="en-US" sz="1100" b="0" i="0" baseline="0"/>
        </a:p>
        <a:p>
          <a:pPr algn="ctr"/>
          <a:r>
            <a:rPr lang="en-US" sz="1100" b="0" i="1" baseline="0"/>
            <a:t>Instructions for this sheet</a:t>
          </a:r>
        </a:p>
        <a:p>
          <a:pPr algn="l"/>
          <a:r>
            <a:rPr lang="en-US" sz="1100" b="0" i="0" baseline="0"/>
            <a:t>This sheet is for recording transactions (revenues, expenditures) in the CPF that have a source/use code of "5".</a:t>
          </a:r>
          <a:endParaRPr lang="en-US" sz="1100" b="0" i="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9525</xdr:colOff>
      <xdr:row>0</xdr:row>
      <xdr:rowOff>0</xdr:rowOff>
    </xdr:from>
    <xdr:to>
      <xdr:col>13</xdr:col>
      <xdr:colOff>0</xdr:colOff>
      <xdr:row>9</xdr:row>
      <xdr:rowOff>0</xdr:rowOff>
    </xdr:to>
    <xdr:sp macro="" textlink="">
      <xdr:nvSpPr>
        <xdr:cNvPr id="2" name="TextBox 1" title="GL 866 Guidance">
          <a:extLst>
            <a:ext uri="{FF2B5EF4-FFF2-40B4-BE49-F238E27FC236}">
              <a16:creationId xmlns:a16="http://schemas.microsoft.com/office/drawing/2014/main" id="{00000000-0008-0000-1900-000002000000}"/>
            </a:ext>
          </a:extLst>
        </xdr:cNvPr>
        <xdr:cNvSpPr txBox="1"/>
      </xdr:nvSpPr>
      <xdr:spPr>
        <a:xfrm>
          <a:off x="6772275" y="0"/>
          <a:ext cx="3648075"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866</a:t>
          </a:r>
          <a:r>
            <a:rPr lang="en-US" sz="1100" b="1" i="1" baseline="0"/>
            <a:t> Restricted from Impact Fee Proceeds </a:t>
          </a:r>
        </a:p>
        <a:p>
          <a:r>
            <a:rPr lang="en-US" sz="1100" b="0" i="0" baseline="0"/>
            <a:t>This account is provided to close project revenues and expenditures for projects funded totally or in part by impact fees collected in accordance with the Growth Management Act.</a:t>
          </a:r>
        </a:p>
        <a:p>
          <a:endParaRPr lang="en-US" sz="1100" b="0" i="0" baseline="0"/>
        </a:p>
        <a:p>
          <a:pPr algn="ctr"/>
          <a:r>
            <a:rPr lang="en-US" sz="1100" b="0" i="1" baseline="0"/>
            <a:t>Instructions for this sheet</a:t>
          </a:r>
        </a:p>
        <a:p>
          <a:pPr algn="l"/>
          <a:r>
            <a:rPr lang="en-US" sz="1100" b="0" i="0" baseline="0"/>
            <a:t>This sheet is for recording transactions (revenues, expenditures) in the CPF that have a source/use code of "6".</a:t>
          </a:r>
          <a:endParaRPr lang="en-US" sz="1100" b="0" i="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xdr:colOff>
      <xdr:row>0</xdr:row>
      <xdr:rowOff>0</xdr:rowOff>
    </xdr:from>
    <xdr:to>
      <xdr:col>14</xdr:col>
      <xdr:colOff>1</xdr:colOff>
      <xdr:row>17</xdr:row>
      <xdr:rowOff>171450</xdr:rowOff>
    </xdr:to>
    <xdr:sp macro="" textlink="">
      <xdr:nvSpPr>
        <xdr:cNvPr id="2" name="TextBox 1" title="GL 810 Guidance">
          <a:extLst>
            <a:ext uri="{FF2B5EF4-FFF2-40B4-BE49-F238E27FC236}">
              <a16:creationId xmlns:a16="http://schemas.microsoft.com/office/drawing/2014/main" id="{00000000-0008-0000-0400-000002000000}"/>
            </a:ext>
          </a:extLst>
        </xdr:cNvPr>
        <xdr:cNvSpPr txBox="1"/>
      </xdr:nvSpPr>
      <xdr:spPr>
        <a:xfrm>
          <a:off x="9525001" y="0"/>
          <a:ext cx="3657600" cy="3409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810 Restricted for Other Items </a:t>
          </a:r>
        </a:p>
        <a:p>
          <a:pPr algn="l"/>
          <a:r>
            <a:rPr lang="en-US" sz="1100" b="0" i="0"/>
            <a:t>This account is used for recording</a:t>
          </a:r>
          <a:r>
            <a:rPr lang="en-US" sz="1100" b="0" i="0" baseline="0"/>
            <a:t> restrictions on spendable fund balance for amounts that have not been recorded in other accounts.</a:t>
          </a:r>
        </a:p>
        <a:p>
          <a:pPr algn="l"/>
          <a:endParaRPr lang="en-US" sz="1100" b="0" i="0" baseline="0"/>
        </a:p>
        <a:p>
          <a:pPr algn="l"/>
          <a:r>
            <a:rPr lang="en-US" sz="1100" b="1" i="0" baseline="0"/>
            <a:t>Beginning in 2011-2012: </a:t>
          </a:r>
          <a:r>
            <a:rPr lang="en-US" sz="1100" b="0" i="0" baseline="0"/>
            <a:t>Record amounts from the ASB Fund and the Debt Service Fund that are neither Nonspendable or recorded in a separate Restricted account. The fund balance for these funds should be reported in this GL  beginning  in 2011-2012. Districts are encouraged to use this GL for their Transportation Vehicle Fund balance as well.</a:t>
          </a:r>
          <a:endParaRPr lang="en-US" sz="1100" b="1" i="0" baseline="0"/>
        </a:p>
        <a:p>
          <a:pPr algn="l"/>
          <a:endParaRPr lang="en-US" sz="1100" b="0" i="0" baseline="0"/>
        </a:p>
        <a:p>
          <a:pPr algn="ctr"/>
          <a:r>
            <a:rPr lang="en-US" sz="1100" b="0" i="1" baseline="0"/>
            <a:t>Instructions for this sheet</a:t>
          </a:r>
        </a:p>
        <a:p>
          <a:pPr algn="l"/>
          <a:r>
            <a:rPr lang="en-US" sz="1100" b="0" i="0" baseline="0"/>
            <a:t>Space is provided for a number of restrictions on fund balance use. Restrictions come from outside of the district (Legislature, creditors, etc.). Each fund has its own column. Enter a description and enter the amount in the appropriate column.</a:t>
          </a:r>
          <a:endParaRPr lang="en-US" sz="1100" b="0" i="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0</xdr:colOff>
      <xdr:row>0</xdr:row>
      <xdr:rowOff>1</xdr:rowOff>
    </xdr:from>
    <xdr:to>
      <xdr:col>13</xdr:col>
      <xdr:colOff>0</xdr:colOff>
      <xdr:row>8</xdr:row>
      <xdr:rowOff>1</xdr:rowOff>
    </xdr:to>
    <xdr:sp macro="" textlink="">
      <xdr:nvSpPr>
        <xdr:cNvPr id="2" name="TextBox 1" title="GL 867 Guidance">
          <a:extLst>
            <a:ext uri="{FF2B5EF4-FFF2-40B4-BE49-F238E27FC236}">
              <a16:creationId xmlns:a16="http://schemas.microsoft.com/office/drawing/2014/main" id="{00000000-0008-0000-1A00-000002000000}"/>
            </a:ext>
          </a:extLst>
        </xdr:cNvPr>
        <xdr:cNvSpPr txBox="1"/>
      </xdr:nvSpPr>
      <xdr:spPr>
        <a:xfrm>
          <a:off x="6762750" y="1"/>
          <a:ext cx="36576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867</a:t>
          </a:r>
          <a:r>
            <a:rPr lang="en-US" sz="1100" b="1" i="1" baseline="0"/>
            <a:t> Restricted from Mitigation Fee Proceeds</a:t>
          </a:r>
        </a:p>
        <a:p>
          <a:r>
            <a:rPr lang="en-US" sz="1100" b="0" i="0" baseline="0"/>
            <a:t>This account is provided to close project revenues and expenditures for projects funded totally or in part by State Environmental Protection Act (SEPA) mitigation fees.</a:t>
          </a:r>
        </a:p>
        <a:p>
          <a:endParaRPr lang="en-US" sz="1100" b="0" i="0" baseline="0"/>
        </a:p>
        <a:p>
          <a:pPr algn="ctr"/>
          <a:r>
            <a:rPr lang="en-US" sz="1100" b="0" i="1" baseline="0"/>
            <a:t>Instructions for this sheet</a:t>
          </a:r>
        </a:p>
        <a:p>
          <a:pPr algn="l"/>
          <a:r>
            <a:rPr lang="en-US" sz="1100" b="0" i="0" baseline="0"/>
            <a:t>This sheet is for recording transactions (revenues, expenditures) in the CPF that have a source/use code of "7".</a:t>
          </a:r>
          <a:endParaRPr lang="en-US" sz="1100" b="0" i="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0</xdr:colOff>
      <xdr:row>0</xdr:row>
      <xdr:rowOff>0</xdr:rowOff>
    </xdr:from>
    <xdr:to>
      <xdr:col>12</xdr:col>
      <xdr:colOff>600075</xdr:colOff>
      <xdr:row>7</xdr:row>
      <xdr:rowOff>0</xdr:rowOff>
    </xdr:to>
    <xdr:sp macro="" textlink="">
      <xdr:nvSpPr>
        <xdr:cNvPr id="2" name="TextBox 1" title="GL 869 Guidance">
          <a:extLst>
            <a:ext uri="{FF2B5EF4-FFF2-40B4-BE49-F238E27FC236}">
              <a16:creationId xmlns:a16="http://schemas.microsoft.com/office/drawing/2014/main" id="{00000000-0008-0000-1B00-000002000000}"/>
            </a:ext>
          </a:extLst>
        </xdr:cNvPr>
        <xdr:cNvSpPr txBox="1"/>
      </xdr:nvSpPr>
      <xdr:spPr>
        <a:xfrm>
          <a:off x="6762750" y="0"/>
          <a:ext cx="36480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869 Restricted from</a:t>
          </a:r>
          <a:r>
            <a:rPr lang="en-US" sz="1100" b="1" i="1" baseline="0"/>
            <a:t> Undistributed Proceeds</a:t>
          </a:r>
        </a:p>
        <a:p>
          <a:r>
            <a:rPr lang="en-US" sz="1100" b="0" i="0" baseline="0"/>
            <a:t>This account is provided to record unassigned amounts distributed to other restriction accounts at year-end.</a:t>
          </a:r>
        </a:p>
        <a:p>
          <a:endParaRPr lang="en-US" sz="1100" b="0" i="0" baseline="0"/>
        </a:p>
        <a:p>
          <a:pPr algn="ctr"/>
          <a:r>
            <a:rPr lang="en-US" sz="1100" b="0" i="1" baseline="0"/>
            <a:t>Instructions for this sheet</a:t>
          </a:r>
        </a:p>
        <a:p>
          <a:pPr algn="l"/>
          <a:r>
            <a:rPr lang="en-US" sz="1100" b="0" i="0" baseline="0"/>
            <a:t>This sheet is for recording transactions (revenues, expenditures) in the CPF that have a source/use code of "9".</a:t>
          </a:r>
          <a:endParaRPr lang="en-US" sz="1100" b="0" i="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0</xdr:row>
      <xdr:rowOff>0</xdr:rowOff>
    </xdr:from>
    <xdr:to>
      <xdr:col>16</xdr:col>
      <xdr:colOff>0</xdr:colOff>
      <xdr:row>12</xdr:row>
      <xdr:rowOff>0</xdr:rowOff>
    </xdr:to>
    <xdr:sp macro="" textlink="">
      <xdr:nvSpPr>
        <xdr:cNvPr id="2" name="TextBox 1" title="GL 870 Guidance">
          <a:extLst>
            <a:ext uri="{FF2B5EF4-FFF2-40B4-BE49-F238E27FC236}">
              <a16:creationId xmlns:a16="http://schemas.microsoft.com/office/drawing/2014/main" id="{00000000-0008-0000-1C00-000002000000}"/>
            </a:ext>
          </a:extLst>
        </xdr:cNvPr>
        <xdr:cNvSpPr txBox="1"/>
      </xdr:nvSpPr>
      <xdr:spPr>
        <a:xfrm>
          <a:off x="9172575" y="0"/>
          <a:ext cx="426720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870 Committed to Other Purposes </a:t>
          </a:r>
        </a:p>
        <a:p>
          <a:r>
            <a:rPr lang="en-US" sz="1100" b="0" i="0"/>
            <a:t>This</a:t>
          </a:r>
          <a:r>
            <a:rPr lang="en-US" sz="1100" b="0" i="0" baseline="0"/>
            <a:t> account is provided as a means for accumulating and recording commitments of district resources for future uses. Commitments represent the board of directors' intended use of resources, and a resolution has been passed to commit funds for those purposes.</a:t>
          </a:r>
        </a:p>
        <a:p>
          <a:endParaRPr lang="en-US" sz="1100" b="0" i="0" baseline="0"/>
        </a:p>
        <a:p>
          <a:pPr algn="ctr"/>
          <a:r>
            <a:rPr lang="en-US" sz="1100" b="0" i="1" baseline="0"/>
            <a:t>Instructions for this sheet</a:t>
          </a:r>
        </a:p>
        <a:p>
          <a:pPr algn="l"/>
          <a:r>
            <a:rPr lang="en-US" sz="1100" b="0" i="0" baseline="0"/>
            <a:t>If the district has passed any resolutions committing funds for a particular purpose, or if there are existing board policies setting aside funds for a particular purpose other than maintaining a policy of economic stabilization,  record those amounts here. Space is provided for multiple different commitments if needed.</a:t>
          </a:r>
          <a:endParaRPr lang="en-US" sz="1100" b="0" i="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0</xdr:colOff>
      <xdr:row>0</xdr:row>
      <xdr:rowOff>0</xdr:rowOff>
    </xdr:from>
    <xdr:to>
      <xdr:col>13</xdr:col>
      <xdr:colOff>0</xdr:colOff>
      <xdr:row>28</xdr:row>
      <xdr:rowOff>171450</xdr:rowOff>
    </xdr:to>
    <xdr:sp macro="" textlink="">
      <xdr:nvSpPr>
        <xdr:cNvPr id="5" name="TextBox 4" title="GL 872 Guidance">
          <a:extLst>
            <a:ext uri="{FF2B5EF4-FFF2-40B4-BE49-F238E27FC236}">
              <a16:creationId xmlns:a16="http://schemas.microsoft.com/office/drawing/2014/main" id="{00000000-0008-0000-1D00-000005000000}"/>
            </a:ext>
          </a:extLst>
        </xdr:cNvPr>
        <xdr:cNvSpPr txBox="1"/>
      </xdr:nvSpPr>
      <xdr:spPr>
        <a:xfrm>
          <a:off x="7105650" y="0"/>
          <a:ext cx="4267200" cy="5505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sysClr val="windowText" lastClr="000000"/>
              </a:solidFill>
              <a:effectLst/>
              <a:uLnTx/>
              <a:uFillTx/>
              <a:latin typeface="Calibri"/>
              <a:ea typeface="+mn-ea"/>
              <a:cs typeface="+mn-cs"/>
            </a:rPr>
            <a:t>GL 872 Committed to Economic Stabilization</a:t>
          </a:r>
        </a:p>
        <a:p>
          <a:r>
            <a:rPr lang="en-US" sz="1100" b="0" i="0" u="none" strike="noStrike" baseline="0">
              <a:latin typeface="+mn-lt"/>
              <a:ea typeface="+mn-ea"/>
              <a:cs typeface="+mn-cs"/>
            </a:rPr>
            <a:t>Commitments of fund balance require a formal action by the school district’s board of directors, such as a school board policy or a resolution of the board of directors. </a:t>
          </a:r>
        </a:p>
        <a:p>
          <a:endParaRPr lang="en-US" sz="1100" b="0" i="0" u="none" strike="noStrike" baseline="0">
            <a:latin typeface="+mn-lt"/>
            <a:ea typeface="+mn-ea"/>
            <a:cs typeface="+mn-cs"/>
          </a:endParaRPr>
        </a:p>
        <a:p>
          <a:r>
            <a:rPr lang="en-US" sz="1100" b="0" i="0" u="none" strike="noStrike" baseline="0">
              <a:latin typeface="+mn-lt"/>
              <a:ea typeface="+mn-ea"/>
              <a:cs typeface="+mn-cs"/>
            </a:rPr>
            <a:t>Specific circumstances and conditions must be described to set aside funds in this account. Amounts set aside may only be expended when specific conditions exist. These circumstances cannot be expected to routinely occur, and using the term “in an emergency” is not sufficient. If amounts are set aside to offset anticipated revenue shortfalls, the shortfall must be quantifiable and of a magnitude that distinguishes it from other revenue shortfalls that normally occur. </a:t>
          </a:r>
        </a:p>
        <a:p>
          <a:endParaRPr lang="en-US" sz="1100" b="0" i="0" u="none" strike="noStrike" baseline="0">
            <a:latin typeface="+mn-lt"/>
            <a:ea typeface="+mn-ea"/>
            <a:cs typeface="+mn-cs"/>
          </a:endParaRPr>
        </a:p>
        <a:p>
          <a:r>
            <a:rPr lang="en-US" sz="1100" b="0" i="0" u="none" strike="noStrike" baseline="0">
              <a:latin typeface="+mn-lt"/>
              <a:ea typeface="+mn-ea"/>
              <a:cs typeface="+mn-cs"/>
            </a:rPr>
            <a:t>Details of commitments, including the nature of the commitment and the date of the board action creating the commitment, should be included in the Notes to the Financial Statements. </a:t>
          </a:r>
        </a:p>
        <a:p>
          <a:endParaRPr lang="en-US" sz="1100" b="0" i="0" u="none" strike="noStrike" baseline="0">
            <a:latin typeface="+mn-lt"/>
            <a:ea typeface="+mn-ea"/>
            <a:cs typeface="+mn-cs"/>
          </a:endParaRPr>
        </a:p>
        <a:p>
          <a:r>
            <a:rPr lang="en-US" sz="1100" b="0" i="0" u="none" strike="noStrike" baseline="0">
              <a:latin typeface="+mn-lt"/>
              <a:ea typeface="+mn-ea"/>
              <a:cs typeface="+mn-cs"/>
            </a:rPr>
            <a:t>This account is to be used in districts where the school board has taken such action to create an economic stabilization policy which meets the criteria of a stabilization arrangement. The board action taken must outline the amount to be used in such a policy, whether it is a dollar amount or a percentage of the district’s revenues or expenditures. This information must also be included in the Notes to the Financial Statements.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1"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Calibri"/>
              <a:ea typeface="+mn-ea"/>
              <a:cs typeface="+mn-cs"/>
            </a:rPr>
            <a:t>Instructions for this sheet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If the district has passed a resolution committing funds  in an Economic Stabilization Policy, record those amounts here. Space is provided for multiple  specific  circumstances  and conditions  detailed in the policy, if needed.</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0</xdr:colOff>
      <xdr:row>0</xdr:row>
      <xdr:rowOff>0</xdr:rowOff>
    </xdr:from>
    <xdr:to>
      <xdr:col>13</xdr:col>
      <xdr:colOff>0</xdr:colOff>
      <xdr:row>28</xdr:row>
      <xdr:rowOff>171450</xdr:rowOff>
    </xdr:to>
    <xdr:sp macro="" textlink="">
      <xdr:nvSpPr>
        <xdr:cNvPr id="2" name="TextBox 1" title="GL 872 Guidance">
          <a:extLst>
            <a:ext uri="{FF2B5EF4-FFF2-40B4-BE49-F238E27FC236}">
              <a16:creationId xmlns:a16="http://schemas.microsoft.com/office/drawing/2014/main" id="{5C469112-6BD8-425C-A100-7A6EF1A6F823}"/>
            </a:ext>
          </a:extLst>
        </xdr:cNvPr>
        <xdr:cNvSpPr txBox="1"/>
      </xdr:nvSpPr>
      <xdr:spPr>
        <a:xfrm>
          <a:off x="7439025" y="0"/>
          <a:ext cx="4267200" cy="5505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1" u="none" strike="noStrike" kern="0" cap="none" spc="0" normalizeH="0" baseline="0" noProof="0">
              <a:ln>
                <a:noFill/>
              </a:ln>
              <a:solidFill>
                <a:sysClr val="windowText" lastClr="000000"/>
              </a:solidFill>
              <a:effectLst/>
              <a:uLnTx/>
              <a:uFillTx/>
              <a:latin typeface="Calibri"/>
              <a:ea typeface="+mn-ea"/>
              <a:cs typeface="+mn-cs"/>
            </a:rPr>
            <a:t>GL 873 Committed to Depreciation Sub-Fund Facility Maintenance</a:t>
          </a:r>
        </a:p>
        <a:p>
          <a:r>
            <a:rPr lang="en-US" sz="1100" b="0" i="0" u="none" strike="noStrike" baseline="0">
              <a:latin typeface="+mn-lt"/>
              <a:ea typeface="+mn-ea"/>
              <a:cs typeface="+mn-cs"/>
            </a:rPr>
            <a:t>Commitments of fund balance require a formal action by the school district’s board of directors, such as a school board policy or a resolution of the board of directors. </a:t>
          </a:r>
        </a:p>
        <a:p>
          <a:endParaRPr lang="en-US" sz="1100" b="0" i="0" u="none" strike="noStrike" baseline="0">
            <a:latin typeface="+mn-lt"/>
            <a:ea typeface="+mn-ea"/>
            <a:cs typeface="+mn-cs"/>
          </a:endParaRPr>
        </a:p>
        <a:p>
          <a:r>
            <a:rPr lang="en-US" sz="1100" b="0" i="0" u="none" strike="noStrike" baseline="0">
              <a:latin typeface="+mn-lt"/>
              <a:ea typeface="+mn-ea"/>
              <a:cs typeface="+mn-cs"/>
            </a:rPr>
            <a:t>Specific circumstances and conditions must be described to set aside funds in this account. Amounts set aside may only be expended when specific conditions exist. </a:t>
          </a:r>
        </a:p>
        <a:p>
          <a:endParaRPr lang="en-US" sz="1100" b="0" i="0" u="none" strike="noStrike" baseline="0">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The depreciation subfund provides for the school district to reserve funds for future facility and equipment needs. Up to two percent of a school district's general fund may be deposited each fiscal year into the depreciation subfund for the purpose of preventative maintenance or emergency facility needs.</a:t>
          </a:r>
        </a:p>
        <a:p>
          <a:endParaRPr lang="en-US" sz="1100" b="0" i="0" u="none" strike="noStrike" baseline="0">
            <a:latin typeface="+mn-lt"/>
            <a:ea typeface="+mn-ea"/>
            <a:cs typeface="+mn-cs"/>
          </a:endParaRPr>
        </a:p>
        <a:p>
          <a:r>
            <a:rPr lang="en-US" sz="1100" b="0" i="0" u="none" strike="noStrike" baseline="0">
              <a:latin typeface="+mn-lt"/>
              <a:ea typeface="+mn-ea"/>
              <a:cs typeface="+mn-cs"/>
            </a:rPr>
            <a:t>Details of commitments, including the nature of the commitment and the date of the board action creating the commitment, should be included in the Notes to the Financial Statements.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1"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Calibri"/>
              <a:ea typeface="+mn-ea"/>
              <a:cs typeface="+mn-cs"/>
            </a:rPr>
            <a:t>Instructions for this sheet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If the district has passed a resolution committing funds for use in the Depreciation Sub-Fund for Facility Maintenance, record those amounts here. Space is provided for multiple  specific  circumstances  and conditions  detailed in the policy, if needed.</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0</xdr:colOff>
      <xdr:row>0</xdr:row>
      <xdr:rowOff>0</xdr:rowOff>
    </xdr:from>
    <xdr:to>
      <xdr:col>13</xdr:col>
      <xdr:colOff>0</xdr:colOff>
      <xdr:row>14</xdr:row>
      <xdr:rowOff>0</xdr:rowOff>
    </xdr:to>
    <xdr:sp macro="" textlink="">
      <xdr:nvSpPr>
        <xdr:cNvPr id="2" name="TextBox 1" title="GL 875 guidance">
          <a:extLst>
            <a:ext uri="{FF2B5EF4-FFF2-40B4-BE49-F238E27FC236}">
              <a16:creationId xmlns:a16="http://schemas.microsoft.com/office/drawing/2014/main" id="{00000000-0008-0000-1E00-000002000000}"/>
            </a:ext>
          </a:extLst>
        </xdr:cNvPr>
        <xdr:cNvSpPr txBox="1"/>
      </xdr:nvSpPr>
      <xdr:spPr>
        <a:xfrm>
          <a:off x="5448300" y="0"/>
          <a:ext cx="4267200"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875 Assigned</a:t>
          </a:r>
          <a:r>
            <a:rPr lang="en-US" sz="1100" b="1" i="1" baseline="0"/>
            <a:t> to Contingencies </a:t>
          </a:r>
        </a:p>
        <a:p>
          <a:r>
            <a:rPr lang="en-US" sz="1100" b="0" i="0" baseline="0"/>
            <a:t>This account is used to assign a portion of the school district's fund balance for contingencies, such as unanticipated changes in the tax and spending policies of federal and state governments, court decisions, financial impacts of labor agreements (arbitration), natural disasters, and unexpected or emergency capital expenditures. Assignments represent management's and/or board of directors' intended use of resources.</a:t>
          </a:r>
        </a:p>
        <a:p>
          <a:endParaRPr lang="en-US" sz="1100" b="0" i="0" baseline="0"/>
        </a:p>
        <a:p>
          <a:pPr algn="ctr"/>
          <a:r>
            <a:rPr lang="en-US" sz="1100" b="0" i="1" baseline="0"/>
            <a:t>Instructions for this sheet</a:t>
          </a:r>
        </a:p>
        <a:p>
          <a:pPr algn="l"/>
          <a:r>
            <a:rPr lang="en-US" sz="1100" b="0" i="0" baseline="0"/>
            <a:t>If the district has identified possible contingencies and wishes to set aside money for them without a formal resolution, those amounts should be recorded in this account. Space is provided for multiple contingencies as needed.</a:t>
          </a:r>
          <a:endParaRPr lang="en-US" sz="1100" b="0" i="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1</xdr:colOff>
      <xdr:row>0</xdr:row>
      <xdr:rowOff>1</xdr:rowOff>
    </xdr:from>
    <xdr:to>
      <xdr:col>15</xdr:col>
      <xdr:colOff>1</xdr:colOff>
      <xdr:row>10</xdr:row>
      <xdr:rowOff>1</xdr:rowOff>
    </xdr:to>
    <xdr:sp macro="" textlink="">
      <xdr:nvSpPr>
        <xdr:cNvPr id="2" name="TextBox 1" title="GL 884 Guidance">
          <a:extLst>
            <a:ext uri="{FF2B5EF4-FFF2-40B4-BE49-F238E27FC236}">
              <a16:creationId xmlns:a16="http://schemas.microsoft.com/office/drawing/2014/main" id="{00000000-0008-0000-1F00-000002000000}"/>
            </a:ext>
          </a:extLst>
        </xdr:cNvPr>
        <xdr:cNvSpPr txBox="1"/>
      </xdr:nvSpPr>
      <xdr:spPr>
        <a:xfrm>
          <a:off x="5886451" y="1"/>
          <a:ext cx="4876800"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884 Assigned</a:t>
          </a:r>
          <a:r>
            <a:rPr lang="en-US" sz="1100" b="1" i="1" baseline="0"/>
            <a:t> to Other Capital Projects </a:t>
          </a:r>
        </a:p>
        <a:p>
          <a:r>
            <a:rPr lang="en-US" sz="1100" b="0" i="0" baseline="0"/>
            <a:t>This account is used to record those funds the district intends to use for capital project purposes other than those funds that have been legally restricted for those purposes. Capital Project Fund bond or levy proceeds, or Transportation Vehicle Fund levy proceeds are never recorded in this account.</a:t>
          </a:r>
        </a:p>
        <a:p>
          <a:endParaRPr lang="en-US" sz="1100" b="0" i="0" baseline="0"/>
        </a:p>
        <a:p>
          <a:pPr algn="ctr"/>
          <a:r>
            <a:rPr lang="en-US" sz="1100" b="0" i="1" baseline="0"/>
            <a:t>Instructions for this sheet</a:t>
          </a:r>
        </a:p>
        <a:p>
          <a:pPr algn="l"/>
          <a:r>
            <a:rPr lang="en-US" sz="1100" b="0" i="0" baseline="0"/>
            <a:t>If the district desires to put money aside for capital improvements using money in the General Fund, space is provided to record those amounts here. In the event of multiple projects, there is additional space provided.</a:t>
          </a:r>
          <a:endParaRPr lang="en-US" sz="1100" b="0" i="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1</xdr:colOff>
      <xdr:row>0</xdr:row>
      <xdr:rowOff>1</xdr:rowOff>
    </xdr:from>
    <xdr:to>
      <xdr:col>14</xdr:col>
      <xdr:colOff>1</xdr:colOff>
      <xdr:row>11</xdr:row>
      <xdr:rowOff>1</xdr:rowOff>
    </xdr:to>
    <xdr:sp macro="" textlink="">
      <xdr:nvSpPr>
        <xdr:cNvPr id="2" name="TextBox 1" title="GL 888 Guidance">
          <a:extLst>
            <a:ext uri="{FF2B5EF4-FFF2-40B4-BE49-F238E27FC236}">
              <a16:creationId xmlns:a16="http://schemas.microsoft.com/office/drawing/2014/main" id="{00000000-0008-0000-2000-000002000000}"/>
            </a:ext>
          </a:extLst>
        </xdr:cNvPr>
        <xdr:cNvSpPr txBox="1"/>
      </xdr:nvSpPr>
      <xdr:spPr>
        <a:xfrm>
          <a:off x="6743701" y="1"/>
          <a:ext cx="426720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888 Assigned</a:t>
          </a:r>
          <a:r>
            <a:rPr lang="en-US" sz="1100" b="1" i="1" baseline="0"/>
            <a:t> to Other Purposes </a:t>
          </a:r>
        </a:p>
        <a:p>
          <a:r>
            <a:rPr lang="en-US" sz="1100" b="0" i="0" baseline="0"/>
            <a:t>This account is provided as a means to assign a portion of the district's ending fund balance for items that are not recorded in other accounts. Assignments represent management's and/or the board of directors' intended use of resources.</a:t>
          </a:r>
        </a:p>
        <a:p>
          <a:endParaRPr lang="en-US" sz="1100" b="0" i="0" baseline="0"/>
        </a:p>
        <a:p>
          <a:pPr algn="ctr"/>
          <a:r>
            <a:rPr lang="en-US" sz="1100" b="0" i="1" baseline="0"/>
            <a:t>Instructions for this sheet</a:t>
          </a:r>
        </a:p>
        <a:p>
          <a:pPr algn="l"/>
          <a:r>
            <a:rPr lang="en-US" sz="1100" b="0" i="0" baseline="0"/>
            <a:t>Space is provided for the district to record different assignments of fund balance. Assignments represent a desire to spend money for a particular item (such as new curriculum) without the necessity for formal board action.</a:t>
          </a:r>
          <a:endParaRPr lang="en-US" sz="1100" b="0" i="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11</xdr:row>
      <xdr:rowOff>0</xdr:rowOff>
    </xdr:to>
    <xdr:sp macro="" textlink="">
      <xdr:nvSpPr>
        <xdr:cNvPr id="2" name="TextBox 1" title="GL 889 Guidance">
          <a:extLst>
            <a:ext uri="{FF2B5EF4-FFF2-40B4-BE49-F238E27FC236}">
              <a16:creationId xmlns:a16="http://schemas.microsoft.com/office/drawing/2014/main" id="{00000000-0008-0000-2100-000002000000}"/>
            </a:ext>
          </a:extLst>
        </xdr:cNvPr>
        <xdr:cNvSpPr txBox="1"/>
      </xdr:nvSpPr>
      <xdr:spPr>
        <a:xfrm>
          <a:off x="0" y="0"/>
          <a:ext cx="670560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889 Assigned</a:t>
          </a:r>
          <a:r>
            <a:rPr lang="en-US" sz="1100" b="1" i="1" baseline="0"/>
            <a:t> to Fund Purposes (p 4-36)</a:t>
          </a:r>
        </a:p>
        <a:p>
          <a:pPr algn="ctr"/>
          <a:r>
            <a:rPr lang="en-US" sz="1100" b="1" i="1" baseline="0"/>
            <a:t>All Funds Other Than General Fund</a:t>
          </a:r>
        </a:p>
        <a:p>
          <a:r>
            <a:rPr lang="en-US" sz="1100" b="0" i="0"/>
            <a:t>After the closing</a:t>
          </a:r>
          <a:r>
            <a:rPr lang="en-US" sz="1100" b="0" i="0" baseline="0"/>
            <a:t> of the budgetary, revenue, other financing sources, expenditures, and the establishment of any amounts that are Nonspendable, Restricted, Committed, or otherwise Assigned, this account is equal to the ending available fund balance. The net results of operations is summarized in this account. If there is a deficit balance, it should be recorded in GL 890 Unassigned Fund Balance.</a:t>
          </a:r>
        </a:p>
        <a:p>
          <a:endParaRPr lang="en-US" sz="1100" b="0" i="0" baseline="0"/>
        </a:p>
        <a:p>
          <a:r>
            <a:rPr lang="en-US" sz="1100" b="0" i="0" baseline="0"/>
            <a:t>In the ASB Fund, subsidiary accounts represent the equity of each school's ASB within the district, and the subcategory activities within each school's ASB.</a:t>
          </a:r>
        </a:p>
        <a:p>
          <a:endParaRPr lang="en-US" sz="1100" b="0" i="0" baseline="0"/>
        </a:p>
        <a:p>
          <a:r>
            <a:rPr lang="en-US" sz="1100" b="1" i="1" u="sng" baseline="0"/>
            <a:t>SPECIAL NOTE:</a:t>
          </a:r>
          <a:r>
            <a:rPr lang="en-US" sz="1100" b="1" i="0" u="none" baseline="0"/>
            <a:t> </a:t>
          </a:r>
          <a:r>
            <a:rPr lang="en-US" sz="1100" b="0" i="0" u="none" baseline="0"/>
            <a:t>This is a residual account. No entry on this sheet is necessary.</a:t>
          </a:r>
          <a:endParaRPr lang="en-US" sz="1100" b="1" i="1" u="sng"/>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xdr:colOff>
      <xdr:row>0</xdr:row>
      <xdr:rowOff>0</xdr:rowOff>
    </xdr:from>
    <xdr:to>
      <xdr:col>12</xdr:col>
      <xdr:colOff>1</xdr:colOff>
      <xdr:row>13</xdr:row>
      <xdr:rowOff>0</xdr:rowOff>
    </xdr:to>
    <xdr:sp macro="" textlink="">
      <xdr:nvSpPr>
        <xdr:cNvPr id="2" name="TextBox 1" title="GL 890 Guidance">
          <a:extLst>
            <a:ext uri="{FF2B5EF4-FFF2-40B4-BE49-F238E27FC236}">
              <a16:creationId xmlns:a16="http://schemas.microsoft.com/office/drawing/2014/main" id="{00000000-0008-0000-2200-000002000000}"/>
            </a:ext>
          </a:extLst>
        </xdr:cNvPr>
        <xdr:cNvSpPr txBox="1"/>
      </xdr:nvSpPr>
      <xdr:spPr>
        <a:xfrm>
          <a:off x="1" y="0"/>
          <a:ext cx="7315200"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890 Unassigned</a:t>
          </a:r>
          <a:r>
            <a:rPr lang="en-US" sz="1100" b="1" i="1" baseline="0"/>
            <a:t> Fund Balance</a:t>
          </a:r>
        </a:p>
        <a:p>
          <a:pPr algn="l"/>
          <a:r>
            <a:rPr lang="en-US" sz="1100" b="1" i="0" baseline="0"/>
            <a:t>In the General Fund only:</a:t>
          </a:r>
        </a:p>
        <a:p>
          <a:pPr algn="l"/>
          <a:r>
            <a:rPr lang="en-US" sz="1100" b="0" i="0" baseline="0"/>
            <a:t>After the closing of the budgetary, revenue, other financing sources, and expenditure accounts, this account is equal to the excess of assets over liabilities, all Nonspendable amounts set aside, and then all Restrictions, Commitments, and Assignments have been made. The net result of fund operations is summarized in this account.</a:t>
          </a:r>
        </a:p>
        <a:p>
          <a:pPr algn="l"/>
          <a:endParaRPr lang="en-US" sz="1100" b="0" i="0" baseline="0"/>
        </a:p>
        <a:p>
          <a:pPr algn="l"/>
          <a:r>
            <a:rPr lang="en-US" sz="1100" b="1" i="0" baseline="0"/>
            <a:t>In all other funds:</a:t>
          </a:r>
        </a:p>
        <a:p>
          <a:pPr algn="l"/>
          <a:r>
            <a:rPr lang="en-US" sz="1100" b="0" i="0" baseline="0"/>
            <a:t>If after the closing of the budgetary, revenue, other financing sources, and expenditure accounts, and the establishment of any amounts that are Nonspendable, Restricted, or Committed, a fund other than the General Fund has a deficit balance (that is, a negative fund balance), they would record that deficit in this account. Funds other than the General Fund never record a positive amount in this account.</a:t>
          </a:r>
        </a:p>
        <a:p>
          <a:pPr algn="l"/>
          <a:endParaRPr lang="en-US" sz="1100" b="0" i="0" baseline="0"/>
        </a:p>
        <a:p>
          <a:pPr algn="l"/>
          <a:r>
            <a:rPr lang="en-US" sz="1100" b="1" i="1" u="sng" baseline="0"/>
            <a:t>SPECIAL NOTE:</a:t>
          </a:r>
          <a:r>
            <a:rPr lang="en-US" sz="1100" b="0" i="0" u="none" baseline="0"/>
            <a:t> This is a residual account. For the purposes of this reporting tool, no entry is necessary on this sheet.</a:t>
          </a:r>
          <a:endParaRPr lang="en-US" sz="1100" b="1" i="1" u="sng" baseline="0"/>
        </a:p>
        <a:p>
          <a:endParaRPr lang="en-US" sz="1100" b="1"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14</xdr:col>
      <xdr:colOff>0</xdr:colOff>
      <xdr:row>18</xdr:row>
      <xdr:rowOff>0</xdr:rowOff>
    </xdr:to>
    <xdr:sp macro="" textlink="">
      <xdr:nvSpPr>
        <xdr:cNvPr id="2" name="TextBox 1" title="GL 815 Guidance">
          <a:extLst>
            <a:ext uri="{FF2B5EF4-FFF2-40B4-BE49-F238E27FC236}">
              <a16:creationId xmlns:a16="http://schemas.microsoft.com/office/drawing/2014/main" id="{00000000-0008-0000-0500-000002000000}"/>
            </a:ext>
          </a:extLst>
        </xdr:cNvPr>
        <xdr:cNvSpPr txBox="1"/>
      </xdr:nvSpPr>
      <xdr:spPr>
        <a:xfrm>
          <a:off x="6362700" y="0"/>
          <a:ext cx="4876800" cy="3457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a:t>
          </a:r>
          <a:r>
            <a:rPr lang="en-US" sz="1100" b="1" i="1" baseline="0"/>
            <a:t> 815 Restricted for Unequalized Deductible Revenues </a:t>
          </a:r>
        </a:p>
        <a:p>
          <a:r>
            <a:rPr lang="en-US" sz="1100" b="0" i="0" baseline="0"/>
            <a:t>This account is provided as a means for restricting fund balance for future recovery of deductible revenues. Refer to Chapter 2 for more information on deductible revenues. Cash basis districts make a restriction of fund balance for recoverable revenue at the time the revenue is received for reversal at the time the revenue is recovered. This account would be used for the following funding streams: 1400 Local in Lieu of Taxes, </a:t>
          </a:r>
          <a:r>
            <a:rPr lang="en-US" sz="1100" b="0" i="0" strike="sngStrike" baseline="0"/>
            <a:t>1600 County-Administered Forests, 3600 State Forests,</a:t>
          </a:r>
          <a:r>
            <a:rPr lang="en-US" sz="1100" b="0" i="0" baseline="0"/>
            <a:t> 5400 Federal in Lieu of Taxes. These General Fund revenues of the school district reduce the state payment to the district in Revenue 3100 Apportionment.</a:t>
          </a:r>
        </a:p>
        <a:p>
          <a:endParaRPr lang="en-US" sz="1100" b="0" i="0" baseline="0"/>
        </a:p>
        <a:p>
          <a:pPr algn="ctr"/>
          <a:r>
            <a:rPr lang="en-US" sz="1100" b="0" i="1" baseline="0"/>
            <a:t>Instructions for this sheet</a:t>
          </a:r>
        </a:p>
        <a:p>
          <a:pPr algn="l"/>
          <a:r>
            <a:rPr lang="en-US" sz="1100" b="0" i="0" baseline="0"/>
            <a:t>In the yellow cells, enter the amounts for prior year beginning balance, then deductible revenues reduced in the fiscal year (these are the prior year amounts that should have been reduced in the current year). </a:t>
          </a:r>
        </a:p>
        <a:p>
          <a:pPr algn="l"/>
          <a:endParaRPr lang="en-US" sz="1100" b="0" i="0" baseline="0"/>
        </a:p>
        <a:p>
          <a:pPr algn="l"/>
          <a:r>
            <a:rPr lang="en-US" sz="1100" b="0" i="0" baseline="0"/>
            <a:t>Next, enter any deductible revenues that have been received but not yet equalized against the district's General Apportionment payment. These amounts will be equalized in the coming year.</a:t>
          </a:r>
          <a:endParaRPr lang="en-US" sz="1100" b="0" i="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0</xdr:row>
      <xdr:rowOff>0</xdr:rowOff>
    </xdr:from>
    <xdr:to>
      <xdr:col>16</xdr:col>
      <xdr:colOff>0</xdr:colOff>
      <xdr:row>27</xdr:row>
      <xdr:rowOff>133350</xdr:rowOff>
    </xdr:to>
    <xdr:sp macro="" textlink="">
      <xdr:nvSpPr>
        <xdr:cNvPr id="2" name="TextBox 1" title="GL 891 Guidance">
          <a:extLst>
            <a:ext uri="{FF2B5EF4-FFF2-40B4-BE49-F238E27FC236}">
              <a16:creationId xmlns:a16="http://schemas.microsoft.com/office/drawing/2014/main" id="{00000000-0008-0000-2300-000002000000}"/>
            </a:ext>
          </a:extLst>
        </xdr:cNvPr>
        <xdr:cNvSpPr txBox="1"/>
      </xdr:nvSpPr>
      <xdr:spPr>
        <a:xfrm>
          <a:off x="7496175" y="0"/>
          <a:ext cx="6096000" cy="52768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891 Unassigned</a:t>
          </a:r>
          <a:r>
            <a:rPr lang="en-US" sz="1100" b="1" i="1" baseline="0"/>
            <a:t> </a:t>
          </a:r>
          <a:r>
            <a:rPr lang="en-US" sz="1100" b="1" i="1"/>
            <a:t> to Minimum Fund Balance Policy </a:t>
          </a:r>
          <a:endParaRPr lang="en-US" sz="1100" b="1" i="1">
            <a:solidFill>
              <a:sysClr val="windowText" lastClr="000000"/>
            </a:solidFill>
          </a:endParaRPr>
        </a:p>
        <a:p>
          <a:endParaRPr lang="en-US" sz="1100" b="0" i="0"/>
        </a:p>
        <a:p>
          <a:r>
            <a:rPr lang="en-US" sz="1100" b="1" i="0"/>
            <a:t>Updated</a:t>
          </a:r>
          <a:r>
            <a:rPr lang="en-US" sz="1100" b="1" i="0" baseline="0"/>
            <a:t> for FY14-15</a:t>
          </a:r>
          <a:r>
            <a:rPr lang="en-US" sz="1100" b="0" i="0" baseline="0"/>
            <a:t>: Per GASBS 54, Minimum Fund Balance Policies have no effect on the classification of Fund Balance  for financial reporting .  Note disclosure , however, is required.  </a:t>
          </a:r>
          <a:r>
            <a:rPr lang="en-US" sz="1100" b="0" i="0"/>
            <a:t>This</a:t>
          </a:r>
          <a:r>
            <a:rPr lang="en-US" sz="1100" b="0" i="0" baseline="0"/>
            <a:t> account has been added to the chart of accounts  to allow those districts that wish to segregate and identify the  amounts set aside  by policy on the district's trial balance reports.  Amounts entered into GL 891 are included in the single Unassigned Fund Balance  classification on the F-196.  </a:t>
          </a:r>
          <a:r>
            <a:rPr lang="en-US" sz="1100" b="1" i="0" baseline="0"/>
            <a:t>Use of this account is optional</a:t>
          </a:r>
          <a:r>
            <a:rPr lang="en-US" sz="1100" b="0" i="0" baseline="0"/>
            <a:t>. </a:t>
          </a:r>
        </a:p>
        <a:p>
          <a:endParaRPr lang="en-US" sz="1100" b="0" i="0" baseline="0"/>
        </a:p>
        <a:p>
          <a:r>
            <a:rPr lang="en-US" sz="1100" b="0" i="0" baseline="0"/>
            <a:t>This account is used in districts whose boards have passed a resolution establishing a policy of maintaining a minimum fund balance in the General Fund. The board policy on such a fiscal strategy should identify whether the amounts dedicated  are for a given dollar amount or if it is based on a percentage of the district's revenues or expenditures.</a:t>
          </a:r>
        </a:p>
        <a:p>
          <a:endParaRPr lang="en-US" sz="1100" b="0" i="0" baseline="0"/>
        </a:p>
        <a:p>
          <a:pPr algn="ctr"/>
          <a:r>
            <a:rPr lang="en-US" sz="1100" b="0" i="1" baseline="0"/>
            <a:t>Instructions for this sheet</a:t>
          </a:r>
        </a:p>
        <a:p>
          <a:pPr algn="l"/>
          <a:r>
            <a:rPr lang="en-US" sz="1100" b="0" i="0" baseline="0"/>
            <a:t>If the district has a board policy that indicates that the districts shall maintain a minimum amount of fund balance, the value of the fund balance set aside can be recorded in this account. There are different options for a minimum fund balance policy; we illustrate three general types here.</a:t>
          </a:r>
        </a:p>
        <a:p>
          <a:pPr algn="l"/>
          <a:endParaRPr lang="en-US" sz="1100" b="0" i="0" baseline="0"/>
        </a:p>
        <a:p>
          <a:pPr algn="l"/>
          <a:r>
            <a:rPr lang="en-US" sz="1100" b="0" i="0" u="sng" baseline="0"/>
            <a:t>Policy based on percentage range</a:t>
          </a:r>
          <a:r>
            <a:rPr lang="en-US" sz="1100" b="0" i="0" u="none" baseline="0"/>
            <a:t> This can be used for a policy based on either a range of expenditures or revenues (the text uses expenditures, but can be changed to revenues if that fits the district policy). Enter the base being used, then the top and bottom percentages of the range to be used.  In the last cell in this group, enter the amount being set aside for meeting the policy (it should be somewhere between the min/max values).</a:t>
          </a:r>
        </a:p>
        <a:p>
          <a:pPr algn="l"/>
          <a:endParaRPr lang="en-US" sz="1100" b="0" i="0" u="sng"/>
        </a:p>
        <a:p>
          <a:pPr algn="l"/>
          <a:r>
            <a:rPr lang="en-US" sz="1100" b="0" i="0" u="sng"/>
            <a:t>Policy</a:t>
          </a:r>
          <a:r>
            <a:rPr lang="en-US" sz="1100" b="0" i="0" u="sng" baseline="0"/>
            <a:t> based on single percentage</a:t>
          </a:r>
          <a:r>
            <a:rPr lang="en-US" sz="1100" b="0" i="0" u="none" baseline="0"/>
            <a:t> If the district's policy is a single percentage (e.g. 5%), enter the base used and the percentage amount.  In the yellow cell, enter the amount used to meet the policy (it should be equal to the amount calculated).</a:t>
          </a:r>
        </a:p>
        <a:p>
          <a:pPr algn="l"/>
          <a:endParaRPr lang="en-US" sz="1100" b="0" i="0" u="none" baseline="0"/>
        </a:p>
        <a:p>
          <a:pPr algn="l"/>
          <a:r>
            <a:rPr lang="en-US" sz="1100" b="0" i="0" u="sng" baseline="0"/>
            <a:t>Policy based on single amount</a:t>
          </a:r>
          <a:r>
            <a:rPr lang="en-US" sz="1100" b="0" i="0" u="none" baseline="0"/>
            <a:t> Enter the amount stated in the district's policy.</a:t>
          </a:r>
          <a:endParaRPr lang="en-US" sz="1100" b="0" i="0"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0</xdr:row>
      <xdr:rowOff>123825</xdr:rowOff>
    </xdr:from>
    <xdr:to>
      <xdr:col>13</xdr:col>
      <xdr:colOff>428625</xdr:colOff>
      <xdr:row>18</xdr:row>
      <xdr:rowOff>28575</xdr:rowOff>
    </xdr:to>
    <xdr:sp macro="" textlink="">
      <xdr:nvSpPr>
        <xdr:cNvPr id="2" name="TextBox 1" title="GL 819 Guidance">
          <a:extLst>
            <a:ext uri="{FF2B5EF4-FFF2-40B4-BE49-F238E27FC236}">
              <a16:creationId xmlns:a16="http://schemas.microsoft.com/office/drawing/2014/main" id="{00000000-0008-0000-0600-000002000000}"/>
            </a:ext>
          </a:extLst>
        </xdr:cNvPr>
        <xdr:cNvSpPr txBox="1"/>
      </xdr:nvSpPr>
      <xdr:spPr>
        <a:xfrm>
          <a:off x="228600" y="123825"/>
          <a:ext cx="8124825" cy="333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819 Restricted for Fund Purposes</a:t>
          </a:r>
          <a:endParaRPr lang="en-US" sz="1100" b="1" i="1" baseline="0"/>
        </a:p>
        <a:p>
          <a:pPr algn="ctr"/>
          <a:r>
            <a:rPr lang="en-US" sz="1100" b="1" i="1" baseline="0"/>
            <a:t>ASB, TVF</a:t>
          </a:r>
        </a:p>
        <a:p>
          <a:pPr algn="l"/>
          <a:r>
            <a:rPr lang="en-US" sz="1100" b="0" i="0" baseline="0"/>
            <a:t>This account is used to record the ending fund balance in governmental funds relating to resources that are restricted by enabling legislation, legal requirements, or other enforceable claims. Amounts in this account are  restricted to being used only for the purposes of the fund they are in.</a:t>
          </a:r>
        </a:p>
        <a:p>
          <a:pPr algn="l"/>
          <a:endParaRPr lang="en-US" sz="1100" b="0" i="0" baseline="0"/>
        </a:p>
        <a:p>
          <a:pPr algn="l"/>
          <a:r>
            <a:rPr lang="en-US" sz="1100" b="0" i="0" baseline="0"/>
            <a:t>The amount in this account is equal to the fund's assets less liabilities, less amounts that are Nonspendable or otherwise Restricted. If this account would be negative, record the amount in GL 890 Unassigned Fund Balance instead.</a:t>
          </a:r>
        </a:p>
        <a:p>
          <a:pPr algn="l"/>
          <a:endParaRPr lang="en-US" sz="1100" b="0" i="0" baseline="0"/>
        </a:p>
        <a:p>
          <a:pPr algn="ctr"/>
          <a:r>
            <a:rPr lang="en-US" sz="1100" b="0" i="1" baseline="0"/>
            <a:t>Instructions for this Sheet</a:t>
          </a:r>
        </a:p>
        <a:p>
          <a:pPr algn="l"/>
          <a:r>
            <a:rPr lang="en-US" sz="1100" b="0" i="0" baseline="0"/>
            <a:t>This is a residual account for the ASB Fund and Transportation Vehicle Fund. No entry is necessary for this sheet.</a:t>
          </a:r>
          <a:endParaRPr lang="en-US" sz="1100" b="0" i="0"/>
        </a:p>
        <a:p>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9524</xdr:colOff>
      <xdr:row>0</xdr:row>
      <xdr:rowOff>0</xdr:rowOff>
    </xdr:from>
    <xdr:to>
      <xdr:col>13</xdr:col>
      <xdr:colOff>609599</xdr:colOff>
      <xdr:row>24</xdr:row>
      <xdr:rowOff>66675</xdr:rowOff>
    </xdr:to>
    <xdr:sp macro="" textlink="">
      <xdr:nvSpPr>
        <xdr:cNvPr id="2" name="TextBox 1" title="GL 821 Guidance">
          <a:extLst>
            <a:ext uri="{FF2B5EF4-FFF2-40B4-BE49-F238E27FC236}">
              <a16:creationId xmlns:a16="http://schemas.microsoft.com/office/drawing/2014/main" id="{00000000-0008-0000-0800-000002000000}"/>
            </a:ext>
          </a:extLst>
        </xdr:cNvPr>
        <xdr:cNvSpPr txBox="1"/>
      </xdr:nvSpPr>
      <xdr:spPr>
        <a:xfrm>
          <a:off x="10106024" y="0"/>
          <a:ext cx="5286375" cy="47529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u="none"/>
            <a:t>GL</a:t>
          </a:r>
          <a:r>
            <a:rPr lang="en-US" sz="1100" b="1" i="1" u="none" baseline="0"/>
            <a:t> 821 Restricted for Carryover of Restricted Revenue</a:t>
          </a:r>
        </a:p>
        <a:p>
          <a:r>
            <a:rPr lang="en-US" sz="1100" b="0" i="0" u="none"/>
            <a:t>This General Ledger account is</a:t>
          </a:r>
          <a:r>
            <a:rPr lang="en-US" sz="1100" b="0" i="0" u="none" baseline="0"/>
            <a:t> provided as a means for accumulating and restricting fund balance for future uses. All districts must identify a restriction of fund balance at year-end for amounts determined to be unspent carryover funds with restricted use. This would include the following state funding streams: Learning Assistance Program, Transitional Bilingual, Highly Capable, Student Transportation, State Institutions, Special Education, Fire District, Vocational Funds, and other such unspent funds as may be subject to restricted-use carryover.</a:t>
          </a:r>
        </a:p>
        <a:p>
          <a:endParaRPr lang="en-US" sz="1100" b="0" i="0" u="none" baseline="0"/>
        </a:p>
        <a:p>
          <a:pPr algn="ctr"/>
          <a:r>
            <a:rPr lang="en-US" sz="1100" b="0" i="1" u="none" baseline="0"/>
            <a:t>Instructions for this sheet</a:t>
          </a:r>
        </a:p>
        <a:p>
          <a:pPr algn="l"/>
          <a:r>
            <a:rPr lang="en-US" sz="1100" b="0" i="0" u="none" baseline="0"/>
            <a:t>The CCDDD reference in cell F1 is linked to the summary sheet and should not be changed. You should only change the CCDDD number in the Fund Balance Summary worksheet.</a:t>
          </a:r>
        </a:p>
        <a:p>
          <a:pPr algn="l"/>
          <a:endParaRPr lang="en-US" sz="1100" b="0" i="0" u="none" baseline="0"/>
        </a:p>
        <a:p>
          <a:pPr algn="l"/>
          <a:r>
            <a:rPr lang="en-US" sz="1100" b="0" i="0" u="none" baseline="0"/>
            <a:t>This sheet is based on Jackie McDonald's Recovery/Carryover worksheet. </a:t>
          </a:r>
          <a:r>
            <a:rPr lang="en-US" sz="1100" b="1" i="0" u="none" baseline="0">
              <a:solidFill>
                <a:srgbClr val="C00000"/>
              </a:solidFill>
            </a:rPr>
            <a:t>Allocations are as of August 2023</a:t>
          </a:r>
          <a:r>
            <a:rPr lang="en-US" sz="1100" b="0" i="0" u="none" baseline="0"/>
            <a:t>. This GL821 Restricted worksheet is intended to provide a reasonable estimate of carryover/recovery amounts. </a:t>
          </a:r>
          <a:r>
            <a:rPr lang="en-US" sz="1100" b="0" i="1" u="sng" baseline="0"/>
            <a:t>Final recovery/carryover calculations will be performed in January, and amounts may differ slightly from the amounts shown here. </a:t>
          </a:r>
          <a:r>
            <a:rPr lang="en-US" sz="1100" b="0" i="0" u="none" baseline="0"/>
            <a:t>If there is a discrepancy between this sheet and </a:t>
          </a:r>
          <a:r>
            <a:rPr lang="en-US" sz="1100" b="0" i="0" baseline="0">
              <a:solidFill>
                <a:schemeClr val="dk1"/>
              </a:solidFill>
              <a:effectLst/>
              <a:latin typeface="+mn-lt"/>
              <a:ea typeface="+mn-ea"/>
              <a:cs typeface="+mn-cs"/>
            </a:rPr>
            <a:t>Jackie McDonald's </a:t>
          </a:r>
          <a:r>
            <a:rPr lang="en-US" sz="1100" b="0" i="0" u="none" baseline="0"/>
            <a:t>Estimated Recovery Sheet, use the amount from </a:t>
          </a:r>
          <a:r>
            <a:rPr lang="en-US" sz="1100" b="0" i="0" baseline="0">
              <a:solidFill>
                <a:schemeClr val="dk1"/>
              </a:solidFill>
              <a:effectLst/>
              <a:latin typeface="+mn-lt"/>
              <a:ea typeface="+mn-ea"/>
              <a:cs typeface="+mn-cs"/>
            </a:rPr>
            <a:t>Jackie McDonald's Recovery/Carryover worksheet</a:t>
          </a:r>
          <a:r>
            <a:rPr lang="en-US" sz="1100" b="0" i="0" u="none" baseline="0"/>
            <a:t>.</a:t>
          </a:r>
          <a:endParaRPr lang="en-US" sz="1100" b="0" i="1" u="sng" baseline="0"/>
        </a:p>
        <a:p>
          <a:pPr algn="l"/>
          <a:endParaRPr lang="en-US" sz="1100" b="0" i="0" u="none" baseline="0"/>
        </a:p>
        <a:p>
          <a:pPr algn="l"/>
          <a:r>
            <a:rPr lang="en-US" sz="1100" b="0" i="0" u="none" baseline="0"/>
            <a:t>Most of this sheet will auto-populate. </a:t>
          </a:r>
          <a:r>
            <a:rPr lang="en-US" sz="1100" b="1" i="0" u="none" baseline="0"/>
            <a:t>Enter missing information,</a:t>
          </a:r>
          <a:r>
            <a:rPr lang="en-US" sz="1100" b="0" i="0" u="none" baseline="0"/>
            <a:t> as appropriate, into the </a:t>
          </a:r>
          <a:r>
            <a:rPr lang="en-US" sz="1100" b="1" i="0" u="none" baseline="0">
              <a:solidFill>
                <a:sysClr val="windowText" lastClr="000000"/>
              </a:solidFill>
            </a:rPr>
            <a:t>yellow cells</a:t>
          </a:r>
          <a:r>
            <a:rPr lang="en-US" sz="1100" b="0" i="0" u="none" baseline="0"/>
            <a:t>.</a:t>
          </a:r>
        </a:p>
        <a:p>
          <a:pPr algn="l"/>
          <a:endParaRPr lang="en-US" sz="1100" b="0" i="0" u="none" baseline="0"/>
        </a:p>
        <a:p>
          <a:pPr algn="l"/>
          <a:r>
            <a:rPr lang="en-US" sz="1100" b="0" i="0" u="none" baseline="0"/>
            <a:t>If the district is a cash-basis district, recovery amounts are calculated and should be included in the balance of GL 821. For accrual-basis districts, recovery amounts should be accrued as a liability (GL 630 Due to Other Governmental Units).</a:t>
          </a:r>
          <a:endParaRPr lang="en-US" sz="1100" b="0" i="0" u="none"/>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190499</xdr:rowOff>
    </xdr:from>
    <xdr:to>
      <xdr:col>15</xdr:col>
      <xdr:colOff>466725</xdr:colOff>
      <xdr:row>32</xdr:row>
      <xdr:rowOff>85724</xdr:rowOff>
    </xdr:to>
    <xdr:pic>
      <xdr:nvPicPr>
        <xdr:cNvPr id="4" name="Picture 3" title="GL 825 Guidance">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43850" y="380999"/>
          <a:ext cx="5953125" cy="5857875"/>
        </a:xfrm>
        <a:prstGeom prst="rect">
          <a:avLst/>
        </a:prstGeom>
        <a:solidFill>
          <a:schemeClr val="bg1"/>
        </a:solidFill>
        <a:ln>
          <a:solidFill>
            <a:sysClr val="windowText" lastClr="000000"/>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0</xdr:colOff>
      <xdr:row>1</xdr:row>
      <xdr:rowOff>0</xdr:rowOff>
    </xdr:from>
    <xdr:to>
      <xdr:col>40</xdr:col>
      <xdr:colOff>472440</xdr:colOff>
      <xdr:row>32</xdr:row>
      <xdr:rowOff>160020</xdr:rowOff>
    </xdr:to>
    <xdr:pic>
      <xdr:nvPicPr>
        <xdr:cNvPr id="3" name="Picture 2" title="GL 828 Guidanc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88650" y="190500"/>
          <a:ext cx="5953125" cy="6477000"/>
        </a:xfrm>
        <a:prstGeom prst="rect">
          <a:avLst/>
        </a:prstGeom>
        <a:solidFill>
          <a:schemeClr val="bg1"/>
        </a:solidFill>
        <a:ln>
          <a:solidFill>
            <a:sysClr val="windowText" lastClr="000000"/>
          </a:solid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600075</xdr:colOff>
      <xdr:row>0</xdr:row>
      <xdr:rowOff>0</xdr:rowOff>
    </xdr:from>
    <xdr:to>
      <xdr:col>14</xdr:col>
      <xdr:colOff>0</xdr:colOff>
      <xdr:row>18</xdr:row>
      <xdr:rowOff>123825</xdr:rowOff>
    </xdr:to>
    <xdr:sp macro="" textlink="">
      <xdr:nvSpPr>
        <xdr:cNvPr id="2" name="TextBox 1" title="gl 830 guidance">
          <a:extLst>
            <a:ext uri="{FF2B5EF4-FFF2-40B4-BE49-F238E27FC236}">
              <a16:creationId xmlns:a16="http://schemas.microsoft.com/office/drawing/2014/main" id="{00000000-0008-0000-0E00-000002000000}"/>
            </a:ext>
          </a:extLst>
        </xdr:cNvPr>
        <xdr:cNvSpPr txBox="1"/>
      </xdr:nvSpPr>
      <xdr:spPr>
        <a:xfrm>
          <a:off x="6743700" y="0"/>
          <a:ext cx="3667125" cy="355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GL 830 Restricted for Debt Service</a:t>
          </a:r>
          <a:r>
            <a:rPr lang="en-US" sz="1100" b="1" i="1" baseline="0"/>
            <a:t> </a:t>
          </a:r>
        </a:p>
        <a:p>
          <a:r>
            <a:rPr lang="en-US" sz="1100" b="0" i="0" baseline="0"/>
            <a:t>This account provides the means for accumulating and restricting fund balance for the future payment of contractual obligations incurred and carried in the Schedule of Long-Term Debt. The balance of this account represents a restriction of both fund cash and fund balance.</a:t>
          </a:r>
        </a:p>
        <a:p>
          <a:endParaRPr lang="en-US" sz="1100" b="0" i="0" baseline="0"/>
        </a:p>
        <a:p>
          <a:pPr algn="ctr"/>
          <a:r>
            <a:rPr lang="en-US" sz="1100" b="0" i="1" baseline="0"/>
            <a:t>Instructions for this sheet</a:t>
          </a:r>
        </a:p>
        <a:p>
          <a:pPr algn="l"/>
          <a:r>
            <a:rPr lang="en-US" sz="1100" b="0" i="0" baseline="0"/>
            <a:t>Space is provided in rows 7-26 for any amounts that are being restricted for debt service payments in funds other than the Debt Service Fund. The extra space is provided in the event of multiple restrictions that the district wants to track separately.</a:t>
          </a:r>
        </a:p>
        <a:p>
          <a:pPr algn="l"/>
          <a:endParaRPr lang="en-US" sz="1100" b="0" i="0" baseline="0"/>
        </a:p>
        <a:p>
          <a:pPr algn="l"/>
          <a:r>
            <a:rPr lang="en-US" sz="1100" b="0" i="0" baseline="0"/>
            <a:t>There is a column for the Debt Service Fund as well, but there is no entry for the DSF. Aside from money needed for arbitrage rebate or any fund balance amounts that are derived from state forest revenues, the residual should go into this account. No entry is necessary.</a:t>
          </a:r>
          <a:endParaRPr lang="en-US" sz="1100" b="0" i="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0</xdr:row>
      <xdr:rowOff>0</xdr:rowOff>
    </xdr:from>
    <xdr:to>
      <xdr:col>14</xdr:col>
      <xdr:colOff>0</xdr:colOff>
      <xdr:row>8</xdr:row>
      <xdr:rowOff>180974</xdr:rowOff>
    </xdr:to>
    <xdr:sp macro="" textlink="">
      <xdr:nvSpPr>
        <xdr:cNvPr id="2" name="TextBox 1" title="gl 835 guidance">
          <a:extLst>
            <a:ext uri="{FF2B5EF4-FFF2-40B4-BE49-F238E27FC236}">
              <a16:creationId xmlns:a16="http://schemas.microsoft.com/office/drawing/2014/main" id="{00000000-0008-0000-0F00-000002000000}"/>
            </a:ext>
          </a:extLst>
        </xdr:cNvPr>
        <xdr:cNvSpPr txBox="1"/>
      </xdr:nvSpPr>
      <xdr:spPr>
        <a:xfrm>
          <a:off x="8877300" y="0"/>
          <a:ext cx="3657600" cy="1704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u="none"/>
            <a:t>GL 835 Restricted for Arbitrage</a:t>
          </a:r>
          <a:r>
            <a:rPr lang="en-US" sz="1100" b="1" i="1" u="none" baseline="0"/>
            <a:t> Rebate</a:t>
          </a:r>
        </a:p>
        <a:p>
          <a:r>
            <a:rPr lang="en-US" sz="1100" b="0" i="0" u="none" baseline="0"/>
            <a:t>The purpose of this account is to show a restriction on fund balance for the amount of arbitrage rebate payable to the IRS more than one year in the future.</a:t>
          </a:r>
        </a:p>
        <a:p>
          <a:endParaRPr lang="en-US" sz="1100" b="0" i="0" u="none" baseline="0"/>
        </a:p>
        <a:p>
          <a:pPr algn="ctr"/>
          <a:r>
            <a:rPr lang="en-US" sz="1100" b="0" i="1" u="none" baseline="0"/>
            <a:t>Instructions for this sheet</a:t>
          </a:r>
        </a:p>
        <a:p>
          <a:pPr algn="l"/>
          <a:r>
            <a:rPr lang="en-US" sz="1100" b="0" i="0" u="none" baseline="0"/>
            <a:t>If the district owes (or expects to owe) arbitrage rebate that is due more than one year in the future, enter the amount in the appropriate fund column of the amount that is owed.</a:t>
          </a:r>
          <a:endParaRPr lang="en-US" sz="1100" b="0" i="0" u="none"/>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K32"/>
  <sheetViews>
    <sheetView workbookViewId="0">
      <selection activeCell="C4" sqref="C4"/>
    </sheetView>
  </sheetViews>
  <sheetFormatPr defaultRowHeight="15"/>
  <cols>
    <col min="1" max="1" width="4.5703125" customWidth="1"/>
    <col min="2" max="2" width="88.85546875" customWidth="1"/>
  </cols>
  <sheetData>
    <row r="1" spans="2:11" ht="15.75" thickBot="1"/>
    <row r="2" spans="2:11" ht="39.75" customHeight="1" thickBot="1">
      <c r="B2" s="257" t="s">
        <v>0</v>
      </c>
      <c r="C2" s="119"/>
      <c r="D2" s="119"/>
      <c r="E2" s="119"/>
      <c r="G2" s="119"/>
      <c r="H2" s="119"/>
      <c r="I2" s="119"/>
      <c r="J2" s="119"/>
      <c r="K2" s="119"/>
    </row>
    <row r="3" spans="2:11" ht="36" customHeight="1">
      <c r="B3" s="258" t="s">
        <v>1</v>
      </c>
    </row>
    <row r="4" spans="2:11" ht="36" customHeight="1">
      <c r="B4" s="258" t="s">
        <v>2</v>
      </c>
    </row>
    <row r="5" spans="2:11" ht="36" customHeight="1">
      <c r="B5" s="258" t="s">
        <v>3</v>
      </c>
    </row>
    <row r="6" spans="2:11" ht="27" customHeight="1">
      <c r="B6" s="259" t="s">
        <v>4</v>
      </c>
    </row>
    <row r="7" spans="2:11" ht="36.75" customHeight="1">
      <c r="B7" s="255" t="s">
        <v>5</v>
      </c>
    </row>
    <row r="8" spans="2:11" ht="36.75" customHeight="1">
      <c r="B8" s="258" t="s">
        <v>6</v>
      </c>
    </row>
    <row r="9" spans="2:11" ht="36.75" customHeight="1">
      <c r="B9" s="259" t="s">
        <v>7</v>
      </c>
    </row>
    <row r="10" spans="2:11" ht="26.25" customHeight="1">
      <c r="B10" s="256" t="s">
        <v>8</v>
      </c>
    </row>
    <row r="11" spans="2:11" ht="34.5">
      <c r="B11" s="255" t="s">
        <v>9</v>
      </c>
    </row>
    <row r="12" spans="2:11" ht="18.600000000000001" customHeight="1">
      <c r="B12" s="255" t="s">
        <v>10</v>
      </c>
    </row>
    <row r="13" spans="2:11" ht="15.75">
      <c r="B13" s="405" t="s">
        <v>11</v>
      </c>
    </row>
    <row r="14" spans="2:11" ht="15.75">
      <c r="B14" s="405" t="s">
        <v>12</v>
      </c>
    </row>
    <row r="15" spans="2:11" ht="21" customHeight="1" thickBot="1">
      <c r="B15" s="258" t="s">
        <v>13</v>
      </c>
    </row>
    <row r="16" spans="2:11" ht="21" customHeight="1">
      <c r="B16" s="406" t="s">
        <v>14</v>
      </c>
    </row>
    <row r="17" spans="2:2" ht="21" customHeight="1">
      <c r="B17" s="407" t="s">
        <v>15</v>
      </c>
    </row>
    <row r="18" spans="2:2" ht="15.75">
      <c r="B18" s="408" t="s">
        <v>16</v>
      </c>
    </row>
    <row r="19" spans="2:2" ht="31.5">
      <c r="B19" s="409" t="s">
        <v>17</v>
      </c>
    </row>
    <row r="20" spans="2:2" ht="15.75">
      <c r="B20" s="409" t="s">
        <v>18</v>
      </c>
    </row>
    <row r="21" spans="2:2" ht="15.75">
      <c r="B21" s="410" t="s">
        <v>19</v>
      </c>
    </row>
    <row r="22" spans="2:2" ht="63" customHeight="1" thickBot="1">
      <c r="B22" s="411" t="s">
        <v>20</v>
      </c>
    </row>
    <row r="23" spans="2:2" ht="5.25" customHeight="1">
      <c r="B23" s="250"/>
    </row>
    <row r="24" spans="2:2" ht="25.5" customHeight="1">
      <c r="B24" s="251" t="s">
        <v>21</v>
      </c>
    </row>
    <row r="25" spans="2:2" ht="53.25" customHeight="1">
      <c r="B25" s="252" t="s">
        <v>22</v>
      </c>
    </row>
    <row r="26" spans="2:2" ht="57.75" customHeight="1">
      <c r="B26" s="253" t="s">
        <v>23</v>
      </c>
    </row>
    <row r="27" spans="2:2" ht="38.25" customHeight="1">
      <c r="B27" s="254" t="s">
        <v>24</v>
      </c>
    </row>
    <row r="28" spans="2:2" ht="16.5" customHeight="1"/>
    <row r="29" spans="2:2" ht="16.5" customHeight="1"/>
    <row r="31" spans="2:2" ht="15" customHeight="1"/>
    <row r="32" spans="2:2" ht="15" customHeight="1"/>
  </sheetData>
  <pageMargins left="0.7" right="0.7" top="0.65" bottom="0.3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1A3E-6B40-42DE-9CBD-848630BE634C}">
  <sheetPr>
    <tabColor rgb="FF66FF33"/>
  </sheetPr>
  <dimension ref="A1:AB369"/>
  <sheetViews>
    <sheetView workbookViewId="0">
      <pane xSplit="3" ySplit="6" topLeftCell="D7" activePane="bottomRight" state="frozen"/>
      <selection pane="bottomRight" activeCell="P6" sqref="P6"/>
      <selection pane="bottomLeft" activeCell="A6" sqref="A6"/>
      <selection pane="topRight" activeCell="C1" sqref="C1"/>
    </sheetView>
  </sheetViews>
  <sheetFormatPr defaultColWidth="8.85546875" defaultRowHeight="15"/>
  <cols>
    <col min="1" max="1" width="8.85546875" style="225"/>
    <col min="2" max="2" width="9" style="225" bestFit="1" customWidth="1"/>
    <col min="3" max="3" width="49.140625" style="225" bestFit="1" customWidth="1"/>
    <col min="4" max="4" width="11.28515625" style="225" bestFit="1" customWidth="1"/>
    <col min="5" max="5" width="12.28515625" style="225" bestFit="1" customWidth="1"/>
    <col min="6" max="6" width="11.28515625" style="225" bestFit="1" customWidth="1"/>
    <col min="7" max="7" width="12.85546875" style="225" customWidth="1"/>
    <col min="8" max="8" width="11.7109375" style="225" customWidth="1"/>
    <col min="9" max="9" width="12.28515625" style="225" bestFit="1" customWidth="1"/>
    <col min="10" max="10" width="12.5703125" style="225" customWidth="1"/>
    <col min="11" max="11" width="13" style="225" customWidth="1"/>
    <col min="12" max="12" width="11.7109375" style="225" customWidth="1"/>
    <col min="13" max="13" width="12.5703125" style="225" bestFit="1" customWidth="1"/>
    <col min="14" max="14" width="14.140625" style="225" bestFit="1" customWidth="1"/>
    <col min="15" max="15" width="12.7109375" style="225" customWidth="1"/>
    <col min="16" max="16" width="12.85546875" style="225" bestFit="1" customWidth="1"/>
    <col min="17" max="17" width="12.5703125" style="225" bestFit="1" customWidth="1"/>
    <col min="18" max="18" width="13.28515625" style="225" customWidth="1"/>
    <col min="19" max="19" width="13.140625" customWidth="1"/>
    <col min="21" max="21" width="6" bestFit="1" customWidth="1"/>
    <col min="22" max="22" width="54.28515625" bestFit="1" customWidth="1"/>
    <col min="23" max="24" width="13.28515625" hidden="1" customWidth="1"/>
    <col min="25" max="25" width="11.5703125" hidden="1" customWidth="1"/>
    <col min="26" max="27" width="14.28515625" hidden="1" customWidth="1"/>
    <col min="28" max="28" width="15.28515625" bestFit="1" customWidth="1"/>
    <col min="29" max="16384" width="8.85546875" style="225"/>
  </cols>
  <sheetData>
    <row r="1" spans="1:19">
      <c r="D1" s="225" t="s">
        <v>1336</v>
      </c>
      <c r="H1" s="225" t="s">
        <v>1337</v>
      </c>
      <c r="L1" s="225" t="s">
        <v>1338</v>
      </c>
      <c r="P1" s="225" t="s">
        <v>1339</v>
      </c>
      <c r="R1"/>
    </row>
    <row r="2" spans="1:19">
      <c r="B2" s="224">
        <v>1</v>
      </c>
      <c r="C2" s="224">
        <v>2</v>
      </c>
      <c r="D2" s="238">
        <v>42</v>
      </c>
      <c r="E2" s="238">
        <v>43</v>
      </c>
      <c r="H2" s="238">
        <v>42</v>
      </c>
      <c r="I2" s="238">
        <v>43</v>
      </c>
      <c r="L2" s="238">
        <v>42</v>
      </c>
      <c r="M2" s="238">
        <v>43</v>
      </c>
      <c r="P2" s="238">
        <v>42</v>
      </c>
      <c r="Q2" s="238">
        <v>43</v>
      </c>
      <c r="R2"/>
    </row>
    <row r="3" spans="1:19">
      <c r="B3" s="226"/>
      <c r="C3" s="226"/>
      <c r="D3" s="239" t="s">
        <v>743</v>
      </c>
      <c r="E3" s="239" t="s">
        <v>743</v>
      </c>
      <c r="G3" s="227" t="s">
        <v>1340</v>
      </c>
      <c r="H3" s="239" t="s">
        <v>743</v>
      </c>
      <c r="I3" s="239" t="s">
        <v>743</v>
      </c>
      <c r="L3" s="239" t="s">
        <v>743</v>
      </c>
      <c r="M3" s="239" t="s">
        <v>743</v>
      </c>
      <c r="P3" s="239" t="s">
        <v>743</v>
      </c>
      <c r="Q3" s="239" t="s">
        <v>743</v>
      </c>
      <c r="R3"/>
    </row>
    <row r="4" spans="1:19" ht="30">
      <c r="B4" s="78"/>
      <c r="C4" s="78"/>
      <c r="D4" s="400" t="s">
        <v>1341</v>
      </c>
      <c r="E4" s="400" t="s">
        <v>1342</v>
      </c>
      <c r="F4" s="400" t="s">
        <v>1342</v>
      </c>
      <c r="G4" s="400" t="s">
        <v>1342</v>
      </c>
      <c r="H4" s="400" t="s">
        <v>1342</v>
      </c>
      <c r="I4" s="400" t="s">
        <v>1343</v>
      </c>
      <c r="J4" s="400" t="s">
        <v>1343</v>
      </c>
      <c r="K4" s="400" t="s">
        <v>1344</v>
      </c>
      <c r="L4" s="400" t="s">
        <v>1345</v>
      </c>
      <c r="M4" s="400" t="s">
        <v>1346</v>
      </c>
      <c r="N4" s="400" t="s">
        <v>1347</v>
      </c>
      <c r="O4" s="400" t="s">
        <v>1348</v>
      </c>
      <c r="P4" s="400" t="s">
        <v>1349</v>
      </c>
      <c r="Q4" s="400" t="s">
        <v>1350</v>
      </c>
      <c r="R4" s="400" t="s">
        <v>1349</v>
      </c>
      <c r="S4" s="400" t="s">
        <v>1349</v>
      </c>
    </row>
    <row r="5" spans="1:19" ht="30">
      <c r="B5" s="78"/>
      <c r="C5" s="78"/>
      <c r="D5" s="401" t="s">
        <v>820</v>
      </c>
      <c r="E5" s="227" t="s">
        <v>821</v>
      </c>
      <c r="F5" s="228" t="s">
        <v>1351</v>
      </c>
      <c r="G5" s="248" t="s">
        <v>1265</v>
      </c>
      <c r="H5" s="401" t="s">
        <v>820</v>
      </c>
      <c r="I5" s="227" t="s">
        <v>821</v>
      </c>
      <c r="J5" s="280" t="s">
        <v>1351</v>
      </c>
      <c r="K5" s="248" t="s">
        <v>1265</v>
      </c>
      <c r="L5" s="227" t="s">
        <v>820</v>
      </c>
      <c r="M5" s="227" t="s">
        <v>821</v>
      </c>
      <c r="N5" s="280" t="s">
        <v>1351</v>
      </c>
      <c r="O5" s="248" t="s">
        <v>1265</v>
      </c>
      <c r="P5" s="227" t="s">
        <v>820</v>
      </c>
      <c r="Q5" s="227" t="s">
        <v>821</v>
      </c>
      <c r="R5" s="280" t="s">
        <v>1351</v>
      </c>
      <c r="S5" s="248" t="s">
        <v>1265</v>
      </c>
    </row>
    <row r="6" spans="1:19">
      <c r="B6" s="78" t="s">
        <v>823</v>
      </c>
      <c r="C6" s="78" t="s">
        <v>824</v>
      </c>
      <c r="D6" s="229">
        <v>4431745.6099999975</v>
      </c>
      <c r="E6" s="230">
        <f t="shared" ref="E6:O6" si="0">SUM(E7:E334)</f>
        <v>75279599.129999995</v>
      </c>
      <c r="F6" s="230">
        <f t="shared" si="0"/>
        <v>79711344.73999998</v>
      </c>
      <c r="G6" s="230">
        <f t="shared" si="0"/>
        <v>71820404.569999948</v>
      </c>
      <c r="H6" s="230">
        <f t="shared" si="0"/>
        <v>11041926.849999992</v>
      </c>
      <c r="I6" s="230">
        <f t="shared" si="0"/>
        <v>106014026.81</v>
      </c>
      <c r="J6" s="230">
        <f t="shared" si="0"/>
        <v>117055953.66000012</v>
      </c>
      <c r="K6" s="230">
        <f t="shared" si="0"/>
        <v>109592989.97</v>
      </c>
      <c r="L6" s="230">
        <f t="shared" si="0"/>
        <v>14991267.160000002</v>
      </c>
      <c r="M6" s="230">
        <f t="shared" si="0"/>
        <v>106461457.42999989</v>
      </c>
      <c r="N6" s="230">
        <f>SUM(N7:N334)</f>
        <v>121452724.58999999</v>
      </c>
      <c r="O6" s="230">
        <f t="shared" si="0"/>
        <v>109751696.99000007</v>
      </c>
      <c r="P6" s="274">
        <f>SUM(P7:P334)</f>
        <v>21144053.22000001</v>
      </c>
      <c r="Q6" s="274">
        <f>SUM(Q7:Q334)</f>
        <v>116411601.61999999</v>
      </c>
      <c r="R6" s="230">
        <f>SUM(R7:R334)</f>
        <v>137555654.84000003</v>
      </c>
      <c r="S6" s="230">
        <f t="shared" ref="S6" si="1">SUM(S7:S334)</f>
        <v>0</v>
      </c>
    </row>
    <row r="7" spans="1:19">
      <c r="A7" s="272">
        <v>1</v>
      </c>
      <c r="B7" s="78" t="s">
        <v>31</v>
      </c>
      <c r="C7" s="78" t="s">
        <v>825</v>
      </c>
      <c r="D7" s="229">
        <v>9625.910000000018</v>
      </c>
      <c r="E7" s="231">
        <v>221517.12</v>
      </c>
      <c r="F7" s="232">
        <f t="shared" ref="F7:F38" si="2">+D7+E7</f>
        <v>231143.03000000003</v>
      </c>
      <c r="G7" s="249">
        <v>205945.92</v>
      </c>
      <c r="H7" s="241">
        <v>25197.110000000015</v>
      </c>
      <c r="I7" s="231">
        <v>302266.43</v>
      </c>
      <c r="J7" s="232">
        <f t="shared" ref="J7:J38" si="3">+H7+I7</f>
        <v>327463.54000000004</v>
      </c>
      <c r="K7" s="281">
        <v>268870.09000000003</v>
      </c>
      <c r="L7" s="232">
        <v>58593.450000000012</v>
      </c>
      <c r="M7" s="274">
        <v>305959.77</v>
      </c>
      <c r="N7" s="232">
        <f t="shared" ref="N7:N70" si="4">+L7+M7</f>
        <v>364553.22000000003</v>
      </c>
      <c r="O7" s="281">
        <v>314410.52999999997</v>
      </c>
      <c r="P7" s="402">
        <v>50142.690000000061</v>
      </c>
      <c r="Q7" s="274">
        <v>335212.83999999997</v>
      </c>
      <c r="R7" s="232">
        <f t="shared" ref="R7:R70" si="5">+P7+Q7</f>
        <v>385355.53</v>
      </c>
      <c r="S7" s="281"/>
    </row>
    <row r="8" spans="1:19">
      <c r="A8" s="272">
        <v>2</v>
      </c>
      <c r="B8" s="78" t="s">
        <v>35</v>
      </c>
      <c r="C8" s="78" t="s">
        <v>826</v>
      </c>
      <c r="D8" s="229">
        <v>0</v>
      </c>
      <c r="E8" s="231">
        <v>39549.07</v>
      </c>
      <c r="F8" s="232">
        <f t="shared" si="2"/>
        <v>39549.07</v>
      </c>
      <c r="G8" s="249">
        <v>35521.78</v>
      </c>
      <c r="H8" s="241">
        <v>4027.2900000000009</v>
      </c>
      <c r="I8" s="231">
        <v>54665.869999999995</v>
      </c>
      <c r="J8" s="232">
        <f t="shared" si="3"/>
        <v>58693.159999999996</v>
      </c>
      <c r="K8" s="281">
        <v>65238.89</v>
      </c>
      <c r="L8" s="232">
        <v>0</v>
      </c>
      <c r="M8" s="274">
        <v>58486.439999999995</v>
      </c>
      <c r="N8" s="232">
        <f t="shared" si="4"/>
        <v>58486.439999999995</v>
      </c>
      <c r="O8" s="281">
        <v>63104.67</v>
      </c>
      <c r="P8" s="402">
        <v>0</v>
      </c>
      <c r="Q8" s="274">
        <v>64225.45</v>
      </c>
      <c r="R8" s="232">
        <f t="shared" si="5"/>
        <v>64225.45</v>
      </c>
      <c r="S8" s="281"/>
    </row>
    <row r="9" spans="1:19">
      <c r="A9" s="272">
        <v>3</v>
      </c>
      <c r="B9" s="78" t="s">
        <v>37</v>
      </c>
      <c r="C9" s="78" t="s">
        <v>827</v>
      </c>
      <c r="D9" s="229">
        <v>0</v>
      </c>
      <c r="E9" s="231">
        <v>13204.449999999999</v>
      </c>
      <c r="F9" s="232">
        <f t="shared" si="2"/>
        <v>13204.449999999999</v>
      </c>
      <c r="G9" s="249">
        <v>2509.5500000000002</v>
      </c>
      <c r="H9" s="241">
        <v>10694.899999999998</v>
      </c>
      <c r="I9" s="231">
        <v>20031.070000000003</v>
      </c>
      <c r="J9" s="232">
        <f t="shared" si="3"/>
        <v>30725.97</v>
      </c>
      <c r="K9" s="281">
        <v>3893.6</v>
      </c>
      <c r="L9" s="232">
        <v>26832.370000000003</v>
      </c>
      <c r="M9" s="274">
        <v>21333.45</v>
      </c>
      <c r="N9" s="232">
        <f t="shared" si="4"/>
        <v>48165.820000000007</v>
      </c>
      <c r="O9" s="281">
        <v>894.51</v>
      </c>
      <c r="P9" s="402">
        <v>47271.310000000005</v>
      </c>
      <c r="Q9" s="274">
        <v>22579.13</v>
      </c>
      <c r="R9" s="232">
        <f t="shared" si="5"/>
        <v>69850.44</v>
      </c>
      <c r="S9" s="281"/>
    </row>
    <row r="10" spans="1:19">
      <c r="A10" s="272">
        <v>4</v>
      </c>
      <c r="B10" s="78" t="s">
        <v>41</v>
      </c>
      <c r="C10" s="78" t="s">
        <v>828</v>
      </c>
      <c r="D10" s="229">
        <v>0</v>
      </c>
      <c r="E10" s="231">
        <v>175788.77999999997</v>
      </c>
      <c r="F10" s="232">
        <f t="shared" si="2"/>
        <v>175788.77999999997</v>
      </c>
      <c r="G10" s="249">
        <v>343995.45</v>
      </c>
      <c r="H10" s="241">
        <v>0</v>
      </c>
      <c r="I10" s="231">
        <v>239784.36</v>
      </c>
      <c r="J10" s="232">
        <f t="shared" si="3"/>
        <v>239784.36</v>
      </c>
      <c r="K10" s="281">
        <v>317863.43</v>
      </c>
      <c r="L10" s="232">
        <v>0</v>
      </c>
      <c r="M10" s="274">
        <v>237721.8</v>
      </c>
      <c r="N10" s="232">
        <f t="shared" si="4"/>
        <v>237721.8</v>
      </c>
      <c r="O10" s="281">
        <v>326223.56000000006</v>
      </c>
      <c r="P10" s="402">
        <v>0</v>
      </c>
      <c r="Q10" s="274">
        <v>264780.55000000005</v>
      </c>
      <c r="R10" s="232">
        <f t="shared" si="5"/>
        <v>264780.55000000005</v>
      </c>
      <c r="S10" s="281"/>
    </row>
    <row r="11" spans="1:19">
      <c r="A11" s="272">
        <v>5</v>
      </c>
      <c r="B11" s="78" t="s">
        <v>43</v>
      </c>
      <c r="C11" s="78" t="s">
        <v>829</v>
      </c>
      <c r="D11" s="229">
        <v>10462.94000000009</v>
      </c>
      <c r="E11" s="231">
        <v>399146.57</v>
      </c>
      <c r="F11" s="232">
        <f t="shared" si="2"/>
        <v>409609.51000000013</v>
      </c>
      <c r="G11" s="249">
        <v>382702.78</v>
      </c>
      <c r="H11" s="241">
        <v>26906.730000000098</v>
      </c>
      <c r="I11" s="231">
        <v>547695.9</v>
      </c>
      <c r="J11" s="232">
        <f t="shared" si="3"/>
        <v>574602.63000000012</v>
      </c>
      <c r="K11" s="281">
        <v>606157.09000000008</v>
      </c>
      <c r="L11" s="232">
        <v>0</v>
      </c>
      <c r="M11" s="274">
        <v>542520.91</v>
      </c>
      <c r="N11" s="232">
        <f t="shared" si="4"/>
        <v>542520.91</v>
      </c>
      <c r="O11" s="281">
        <v>569298.42000000004</v>
      </c>
      <c r="P11" s="402">
        <v>0</v>
      </c>
      <c r="Q11" s="274">
        <v>589501.20000000007</v>
      </c>
      <c r="R11" s="232">
        <f t="shared" si="5"/>
        <v>589501.20000000007</v>
      </c>
      <c r="S11" s="281"/>
    </row>
    <row r="12" spans="1:19">
      <c r="A12" s="272">
        <v>6</v>
      </c>
      <c r="B12" s="78" t="s">
        <v>45</v>
      </c>
      <c r="C12" s="78" t="s">
        <v>831</v>
      </c>
      <c r="D12" s="229">
        <v>588.37000000000262</v>
      </c>
      <c r="E12" s="231">
        <v>37704.5</v>
      </c>
      <c r="F12" s="232">
        <f t="shared" si="2"/>
        <v>38292.870000000003</v>
      </c>
      <c r="G12" s="249">
        <v>38172.629999999997</v>
      </c>
      <c r="H12" s="241">
        <v>120.24000000000524</v>
      </c>
      <c r="I12" s="231">
        <v>59746.350000000006</v>
      </c>
      <c r="J12" s="232">
        <f t="shared" si="3"/>
        <v>59866.590000000011</v>
      </c>
      <c r="K12" s="281">
        <v>61433.119999999995</v>
      </c>
      <c r="L12" s="232">
        <v>0</v>
      </c>
      <c r="M12" s="274">
        <v>60272.929999999993</v>
      </c>
      <c r="N12" s="232">
        <f t="shared" si="4"/>
        <v>60272.929999999993</v>
      </c>
      <c r="O12" s="281">
        <v>59117.919999999998</v>
      </c>
      <c r="P12" s="402">
        <v>1155.0099999999948</v>
      </c>
      <c r="Q12" s="274">
        <v>64172.84</v>
      </c>
      <c r="R12" s="232">
        <f t="shared" si="5"/>
        <v>65327.849999999991</v>
      </c>
      <c r="S12" s="281"/>
    </row>
    <row r="13" spans="1:19">
      <c r="A13" s="272">
        <v>7</v>
      </c>
      <c r="B13" s="78" t="s">
        <v>47</v>
      </c>
      <c r="C13" s="78" t="s">
        <v>832</v>
      </c>
      <c r="D13" s="229">
        <v>13096.360000000102</v>
      </c>
      <c r="E13" s="231">
        <v>1282819.8699999999</v>
      </c>
      <c r="F13" s="232">
        <f t="shared" si="2"/>
        <v>1295916.23</v>
      </c>
      <c r="G13" s="249">
        <v>723273.16</v>
      </c>
      <c r="H13" s="241">
        <v>572643.06999999995</v>
      </c>
      <c r="I13" s="231">
        <v>1850391.1</v>
      </c>
      <c r="J13" s="232">
        <f t="shared" si="3"/>
        <v>2423034.17</v>
      </c>
      <c r="K13" s="281">
        <v>565011.19000000006</v>
      </c>
      <c r="L13" s="232">
        <v>1858022.98</v>
      </c>
      <c r="M13" s="274">
        <v>1872584.93</v>
      </c>
      <c r="N13" s="232">
        <f t="shared" si="4"/>
        <v>3730607.91</v>
      </c>
      <c r="O13" s="281">
        <v>410067.67</v>
      </c>
      <c r="P13" s="402">
        <v>3320540.24</v>
      </c>
      <c r="Q13" s="274">
        <v>2080316.4700000002</v>
      </c>
      <c r="R13" s="232">
        <f t="shared" si="5"/>
        <v>5400856.7100000009</v>
      </c>
      <c r="S13" s="281"/>
    </row>
    <row r="14" spans="1:19">
      <c r="A14" s="272">
        <v>8</v>
      </c>
      <c r="B14" s="78" t="s">
        <v>49</v>
      </c>
      <c r="C14" s="78" t="s">
        <v>1352</v>
      </c>
      <c r="D14" s="229">
        <v>0</v>
      </c>
      <c r="E14" s="231">
        <v>251833.88999999998</v>
      </c>
      <c r="F14" s="232">
        <f t="shared" si="2"/>
        <v>251833.88999999998</v>
      </c>
      <c r="G14" s="249">
        <v>290595.01</v>
      </c>
      <c r="H14" s="241">
        <v>0</v>
      </c>
      <c r="I14" s="231">
        <v>342775.97999999992</v>
      </c>
      <c r="J14" s="232">
        <f t="shared" si="3"/>
        <v>342775.97999999992</v>
      </c>
      <c r="K14" s="281">
        <v>480337.08999999997</v>
      </c>
      <c r="L14" s="232">
        <v>0</v>
      </c>
      <c r="M14" s="274">
        <v>353654.44999999995</v>
      </c>
      <c r="N14" s="232">
        <f t="shared" si="4"/>
        <v>353654.44999999995</v>
      </c>
      <c r="O14" s="281">
        <v>435041.71000000008</v>
      </c>
      <c r="P14" s="402">
        <v>0</v>
      </c>
      <c r="Q14" s="274">
        <v>382050.65</v>
      </c>
      <c r="R14" s="232">
        <f t="shared" si="5"/>
        <v>382050.65</v>
      </c>
      <c r="S14" s="281"/>
    </row>
    <row r="15" spans="1:19">
      <c r="A15" s="272">
        <v>9</v>
      </c>
      <c r="B15" s="78" t="s">
        <v>51</v>
      </c>
      <c r="C15" s="78" t="s">
        <v>834</v>
      </c>
      <c r="D15" s="229">
        <v>180656.74</v>
      </c>
      <c r="E15" s="231">
        <v>735047.54</v>
      </c>
      <c r="F15" s="232">
        <f t="shared" si="2"/>
        <v>915704.28</v>
      </c>
      <c r="G15" s="249">
        <v>546286.39</v>
      </c>
      <c r="H15" s="241">
        <v>369417.89</v>
      </c>
      <c r="I15" s="231">
        <v>944857.62999999989</v>
      </c>
      <c r="J15" s="232">
        <f t="shared" si="3"/>
        <v>1314275.52</v>
      </c>
      <c r="K15" s="281">
        <v>1141487.2000000002</v>
      </c>
      <c r="L15" s="232">
        <v>172788.31999999983</v>
      </c>
      <c r="M15" s="274">
        <v>993802.53</v>
      </c>
      <c r="N15" s="232">
        <f t="shared" si="4"/>
        <v>1166590.8499999999</v>
      </c>
      <c r="O15" s="281">
        <v>620940.84999999986</v>
      </c>
      <c r="P15" s="402">
        <v>545650</v>
      </c>
      <c r="Q15" s="274">
        <v>1131333.2</v>
      </c>
      <c r="R15" s="232">
        <f t="shared" si="5"/>
        <v>1676983.2</v>
      </c>
      <c r="S15" s="281"/>
    </row>
    <row r="16" spans="1:19">
      <c r="A16" s="272">
        <v>10</v>
      </c>
      <c r="B16" s="78" t="s">
        <v>53</v>
      </c>
      <c r="C16" s="78" t="s">
        <v>835</v>
      </c>
      <c r="D16" s="229">
        <v>69719.280000000144</v>
      </c>
      <c r="E16" s="231">
        <v>1402931.35</v>
      </c>
      <c r="F16" s="232">
        <f t="shared" si="2"/>
        <v>1472650.6300000004</v>
      </c>
      <c r="G16" s="249">
        <v>1725033.79</v>
      </c>
      <c r="H16" s="241">
        <v>0</v>
      </c>
      <c r="I16" s="231">
        <v>1995367.2599999998</v>
      </c>
      <c r="J16" s="232">
        <f t="shared" si="3"/>
        <v>1995367.2599999998</v>
      </c>
      <c r="K16" s="281">
        <v>2308382.44</v>
      </c>
      <c r="L16" s="232">
        <v>0</v>
      </c>
      <c r="M16" s="274">
        <v>1891310.53</v>
      </c>
      <c r="N16" s="232">
        <f t="shared" si="4"/>
        <v>1891310.53</v>
      </c>
      <c r="O16" s="281">
        <v>2234498.31</v>
      </c>
      <c r="P16" s="402">
        <v>0</v>
      </c>
      <c r="Q16" s="274">
        <v>2071883.37</v>
      </c>
      <c r="R16" s="232">
        <f t="shared" si="5"/>
        <v>2071883.37</v>
      </c>
      <c r="S16" s="281"/>
    </row>
    <row r="17" spans="1:19">
      <c r="A17" s="272">
        <v>11</v>
      </c>
      <c r="B17" s="78" t="s">
        <v>55</v>
      </c>
      <c r="C17" s="78" t="s">
        <v>836</v>
      </c>
      <c r="D17" s="229">
        <v>0</v>
      </c>
      <c r="E17" s="231">
        <v>781204.3600000001</v>
      </c>
      <c r="F17" s="232">
        <f t="shared" si="2"/>
        <v>781204.3600000001</v>
      </c>
      <c r="G17" s="249">
        <v>908454.25</v>
      </c>
      <c r="H17" s="241">
        <v>0</v>
      </c>
      <c r="I17" s="231">
        <v>1083382.06</v>
      </c>
      <c r="J17" s="232">
        <f t="shared" si="3"/>
        <v>1083382.06</v>
      </c>
      <c r="K17" s="281">
        <v>1050916.4999999998</v>
      </c>
      <c r="L17" s="232">
        <v>32465.560000000289</v>
      </c>
      <c r="M17" s="274">
        <v>1097833.1199999999</v>
      </c>
      <c r="N17" s="232">
        <f t="shared" si="4"/>
        <v>1130298.6800000002</v>
      </c>
      <c r="O17" s="281">
        <v>1137920.76</v>
      </c>
      <c r="P17" s="402">
        <v>0</v>
      </c>
      <c r="Q17" s="274">
        <v>1189284.3</v>
      </c>
      <c r="R17" s="232">
        <f t="shared" si="5"/>
        <v>1189284.3</v>
      </c>
      <c r="S17" s="281"/>
    </row>
    <row r="18" spans="1:19">
      <c r="A18" s="272">
        <v>12</v>
      </c>
      <c r="B18" s="78" t="s">
        <v>57</v>
      </c>
      <c r="C18" s="78" t="s">
        <v>837</v>
      </c>
      <c r="D18" s="229">
        <v>15.17999999999995</v>
      </c>
      <c r="E18" s="231">
        <v>2290.9499999999998</v>
      </c>
      <c r="F18" s="232">
        <f t="shared" si="2"/>
        <v>2306.1299999999997</v>
      </c>
      <c r="G18" s="249"/>
      <c r="H18" s="241">
        <v>2306.1299999999997</v>
      </c>
      <c r="I18" s="231">
        <v>3272.66</v>
      </c>
      <c r="J18" s="232">
        <f t="shared" si="3"/>
        <v>5578.7899999999991</v>
      </c>
      <c r="K18" s="281">
        <v>50</v>
      </c>
      <c r="L18" s="232">
        <v>5528.7899999999991</v>
      </c>
      <c r="M18" s="274">
        <v>2921.46</v>
      </c>
      <c r="N18" s="232">
        <f t="shared" si="4"/>
        <v>8450.25</v>
      </c>
      <c r="O18" s="281">
        <v>5250.52</v>
      </c>
      <c r="P18" s="402">
        <v>3199.7299999999996</v>
      </c>
      <c r="Q18" s="274">
        <v>2908.01</v>
      </c>
      <c r="R18" s="232">
        <f t="shared" si="5"/>
        <v>6107.74</v>
      </c>
      <c r="S18" s="281"/>
    </row>
    <row r="19" spans="1:19">
      <c r="A19" s="272">
        <v>13</v>
      </c>
      <c r="B19" s="78" t="s">
        <v>59</v>
      </c>
      <c r="C19" s="78" t="s">
        <v>838</v>
      </c>
      <c r="D19" s="229">
        <v>138866.75</v>
      </c>
      <c r="E19" s="231">
        <v>1285710.29</v>
      </c>
      <c r="F19" s="232">
        <f t="shared" si="2"/>
        <v>1424577.04</v>
      </c>
      <c r="G19" s="249">
        <v>1760340.11</v>
      </c>
      <c r="H19" s="241">
        <v>0</v>
      </c>
      <c r="I19" s="231">
        <v>1828148.7</v>
      </c>
      <c r="J19" s="232">
        <f t="shared" si="3"/>
        <v>1828148.7</v>
      </c>
      <c r="K19" s="281">
        <v>1832083.8499999999</v>
      </c>
      <c r="L19" s="232">
        <v>0</v>
      </c>
      <c r="M19" s="274">
        <v>1818329.8399999999</v>
      </c>
      <c r="N19" s="232">
        <f t="shared" si="4"/>
        <v>1818329.8399999999</v>
      </c>
      <c r="O19" s="281">
        <v>1363804.97</v>
      </c>
      <c r="P19" s="402">
        <v>454524.86999999988</v>
      </c>
      <c r="Q19" s="274">
        <v>2016573.6400000001</v>
      </c>
      <c r="R19" s="232">
        <f t="shared" si="5"/>
        <v>2471098.5099999998</v>
      </c>
      <c r="S19" s="281"/>
    </row>
    <row r="20" spans="1:19">
      <c r="A20" s="272">
        <v>14</v>
      </c>
      <c r="B20" s="78" t="s">
        <v>61</v>
      </c>
      <c r="C20" s="78" t="s">
        <v>839</v>
      </c>
      <c r="D20" s="229">
        <v>289.88999999999942</v>
      </c>
      <c r="E20" s="231">
        <v>13241.37</v>
      </c>
      <c r="F20" s="232">
        <f t="shared" si="2"/>
        <v>13531.26</v>
      </c>
      <c r="G20" s="249">
        <v>3104.85</v>
      </c>
      <c r="H20" s="241">
        <v>10426.41</v>
      </c>
      <c r="I20" s="231">
        <v>18261.71</v>
      </c>
      <c r="J20" s="232">
        <f t="shared" si="3"/>
        <v>28688.12</v>
      </c>
      <c r="K20" s="281">
        <v>15325.579999999998</v>
      </c>
      <c r="L20" s="232">
        <v>13362.54</v>
      </c>
      <c r="M20" s="274">
        <v>18821.87</v>
      </c>
      <c r="N20" s="232">
        <f t="shared" si="4"/>
        <v>32184.41</v>
      </c>
      <c r="O20" s="281">
        <v>9755.57</v>
      </c>
      <c r="P20" s="402">
        <v>22428.84</v>
      </c>
      <c r="Q20" s="274">
        <v>19607.22</v>
      </c>
      <c r="R20" s="232">
        <f t="shared" si="5"/>
        <v>42036.06</v>
      </c>
      <c r="S20" s="281"/>
    </row>
    <row r="21" spans="1:19">
      <c r="A21" s="272">
        <v>15</v>
      </c>
      <c r="B21" s="78" t="s">
        <v>63</v>
      </c>
      <c r="C21" s="78" t="s">
        <v>840</v>
      </c>
      <c r="D21" s="229">
        <v>0</v>
      </c>
      <c r="E21" s="231">
        <v>159782.18</v>
      </c>
      <c r="F21" s="232">
        <f t="shared" si="2"/>
        <v>159782.18</v>
      </c>
      <c r="G21" s="249">
        <v>150796.54999999999</v>
      </c>
      <c r="H21" s="241">
        <v>8985.6300000000047</v>
      </c>
      <c r="I21" s="231">
        <v>224512.77</v>
      </c>
      <c r="J21" s="232">
        <f t="shared" si="3"/>
        <v>233498.4</v>
      </c>
      <c r="K21" s="281">
        <v>196261.3</v>
      </c>
      <c r="L21" s="232">
        <v>37237.100000000006</v>
      </c>
      <c r="M21" s="274">
        <v>221575.74</v>
      </c>
      <c r="N21" s="232">
        <f t="shared" si="4"/>
        <v>258812.84</v>
      </c>
      <c r="O21" s="281">
        <v>196991.22</v>
      </c>
      <c r="P21" s="402">
        <v>61821.619999999995</v>
      </c>
      <c r="Q21" s="274">
        <v>230010.46000000002</v>
      </c>
      <c r="R21" s="232">
        <f t="shared" si="5"/>
        <v>291832.08</v>
      </c>
      <c r="S21" s="281"/>
    </row>
    <row r="22" spans="1:19">
      <c r="A22" s="272">
        <v>16</v>
      </c>
      <c r="B22" s="78" t="s">
        <v>65</v>
      </c>
      <c r="C22" s="78" t="s">
        <v>841</v>
      </c>
      <c r="D22" s="229">
        <v>0</v>
      </c>
      <c r="E22" s="231">
        <v>6854.0899999999992</v>
      </c>
      <c r="F22" s="232">
        <f t="shared" si="2"/>
        <v>6854.0899999999992</v>
      </c>
      <c r="G22" s="249"/>
      <c r="H22" s="241">
        <v>6854.0899999999992</v>
      </c>
      <c r="I22" s="231">
        <v>9285.2900000000009</v>
      </c>
      <c r="J22" s="232">
        <f t="shared" si="3"/>
        <v>16139.380000000001</v>
      </c>
      <c r="K22" s="281">
        <v>1675</v>
      </c>
      <c r="L22" s="232">
        <v>14464.380000000001</v>
      </c>
      <c r="M22" s="274">
        <v>8844.4</v>
      </c>
      <c r="N22" s="232">
        <f t="shared" si="4"/>
        <v>23308.78</v>
      </c>
      <c r="O22" s="281"/>
      <c r="P22" s="402">
        <v>23308.78</v>
      </c>
      <c r="Q22" s="274">
        <v>8798.35</v>
      </c>
      <c r="R22" s="232">
        <f t="shared" si="5"/>
        <v>32107.129999999997</v>
      </c>
      <c r="S22" s="281"/>
    </row>
    <row r="23" spans="1:19">
      <c r="A23" s="272">
        <v>17</v>
      </c>
      <c r="B23" s="78" t="s">
        <v>67</v>
      </c>
      <c r="C23" s="78" t="s">
        <v>842</v>
      </c>
      <c r="D23" s="229">
        <v>22186.539999999979</v>
      </c>
      <c r="E23" s="231">
        <v>383717.68</v>
      </c>
      <c r="F23" s="232">
        <f t="shared" si="2"/>
        <v>405904.22</v>
      </c>
      <c r="G23" s="249">
        <v>366033.48</v>
      </c>
      <c r="H23" s="241">
        <v>39870.739999999991</v>
      </c>
      <c r="I23" s="231">
        <v>525451.71</v>
      </c>
      <c r="J23" s="232">
        <f t="shared" si="3"/>
        <v>565322.44999999995</v>
      </c>
      <c r="K23" s="281">
        <v>528080.2699999999</v>
      </c>
      <c r="L23" s="232">
        <v>37242.180000000051</v>
      </c>
      <c r="M23" s="274">
        <v>516389.1</v>
      </c>
      <c r="N23" s="232">
        <f t="shared" si="4"/>
        <v>553631.28</v>
      </c>
      <c r="O23" s="281">
        <v>537860.39</v>
      </c>
      <c r="P23" s="402">
        <v>15770.890000000014</v>
      </c>
      <c r="Q23" s="274">
        <v>557267.32000000007</v>
      </c>
      <c r="R23" s="232">
        <f t="shared" si="5"/>
        <v>573038.21000000008</v>
      </c>
      <c r="S23" s="281"/>
    </row>
    <row r="24" spans="1:19">
      <c r="A24" s="272">
        <v>18</v>
      </c>
      <c r="B24" s="78" t="s">
        <v>69</v>
      </c>
      <c r="C24" s="78" t="s">
        <v>843</v>
      </c>
      <c r="D24" s="229">
        <v>0</v>
      </c>
      <c r="E24" s="231">
        <v>66863.81</v>
      </c>
      <c r="F24" s="232">
        <f t="shared" si="2"/>
        <v>66863.81</v>
      </c>
      <c r="G24" s="249">
        <v>56066.42</v>
      </c>
      <c r="H24" s="241">
        <v>10797.39</v>
      </c>
      <c r="I24" s="231">
        <v>96448.21</v>
      </c>
      <c r="J24" s="232">
        <f t="shared" si="3"/>
        <v>107245.6</v>
      </c>
      <c r="K24" s="281">
        <v>81421.079999999973</v>
      </c>
      <c r="L24" s="232">
        <v>25824.520000000033</v>
      </c>
      <c r="M24" s="274">
        <v>100266.53</v>
      </c>
      <c r="N24" s="232">
        <f t="shared" si="4"/>
        <v>126091.05000000003</v>
      </c>
      <c r="O24" s="281">
        <v>94550.88</v>
      </c>
      <c r="P24" s="402">
        <v>31540.170000000027</v>
      </c>
      <c r="Q24" s="274">
        <v>110591.35</v>
      </c>
      <c r="R24" s="232">
        <f t="shared" si="5"/>
        <v>142131.52000000002</v>
      </c>
      <c r="S24" s="281"/>
    </row>
    <row r="25" spans="1:19">
      <c r="A25" s="272">
        <v>19</v>
      </c>
      <c r="B25" s="78" t="s">
        <v>71</v>
      </c>
      <c r="C25" s="78" t="s">
        <v>844</v>
      </c>
      <c r="D25" s="229">
        <v>0</v>
      </c>
      <c r="E25" s="231">
        <v>55379.88</v>
      </c>
      <c r="F25" s="232">
        <f t="shared" si="2"/>
        <v>55379.88</v>
      </c>
      <c r="G25" s="249">
        <v>54699.94</v>
      </c>
      <c r="H25" s="241">
        <v>679.93999999999505</v>
      </c>
      <c r="I25" s="231">
        <v>80208.39</v>
      </c>
      <c r="J25" s="232">
        <f t="shared" si="3"/>
        <v>80888.329999999987</v>
      </c>
      <c r="K25" s="281">
        <v>64431.619999999995</v>
      </c>
      <c r="L25" s="232">
        <v>16456.709999999992</v>
      </c>
      <c r="M25" s="274">
        <v>79486.89</v>
      </c>
      <c r="N25" s="232">
        <f t="shared" si="4"/>
        <v>95943.599999999991</v>
      </c>
      <c r="O25" s="281">
        <v>66487.98</v>
      </c>
      <c r="P25" s="402">
        <v>29455.619999999995</v>
      </c>
      <c r="Q25" s="274">
        <v>86881.57</v>
      </c>
      <c r="R25" s="232">
        <f t="shared" si="5"/>
        <v>116337.19</v>
      </c>
      <c r="S25" s="281"/>
    </row>
    <row r="26" spans="1:19">
      <c r="A26" s="272">
        <v>20</v>
      </c>
      <c r="B26" s="78" t="s">
        <v>73</v>
      </c>
      <c r="C26" s="78" t="s">
        <v>845</v>
      </c>
      <c r="D26" s="229">
        <v>580.96</v>
      </c>
      <c r="E26" s="231">
        <v>5049.0400000000009</v>
      </c>
      <c r="F26" s="232">
        <f t="shared" si="2"/>
        <v>5630.0000000000009</v>
      </c>
      <c r="G26" s="249">
        <v>4520.88</v>
      </c>
      <c r="H26" s="241">
        <v>1109.1200000000008</v>
      </c>
      <c r="I26" s="231">
        <v>8152.18</v>
      </c>
      <c r="J26" s="232">
        <f t="shared" si="3"/>
        <v>9261.3000000000011</v>
      </c>
      <c r="K26" s="281">
        <v>6031.8600000000006</v>
      </c>
      <c r="L26" s="232">
        <v>3229.4400000000005</v>
      </c>
      <c r="M26" s="274">
        <v>8346.32</v>
      </c>
      <c r="N26" s="232">
        <f t="shared" si="4"/>
        <v>11575.76</v>
      </c>
      <c r="O26" s="281">
        <v>6846.3600000000006</v>
      </c>
      <c r="P26" s="402">
        <v>4729.3999999999996</v>
      </c>
      <c r="Q26" s="274">
        <v>9043.0400000000009</v>
      </c>
      <c r="R26" s="232">
        <f t="shared" si="5"/>
        <v>13772.44</v>
      </c>
      <c r="S26" s="281"/>
    </row>
    <row r="27" spans="1:19">
      <c r="A27" s="272">
        <v>21</v>
      </c>
      <c r="B27" s="78" t="s">
        <v>75</v>
      </c>
      <c r="C27" s="78" t="s">
        <v>1353</v>
      </c>
      <c r="D27" s="229">
        <v>0</v>
      </c>
      <c r="E27" s="231">
        <v>266280.18999999994</v>
      </c>
      <c r="F27" s="232">
        <f t="shared" si="2"/>
        <v>266280.18999999994</v>
      </c>
      <c r="G27" s="249">
        <v>313589.40999999997</v>
      </c>
      <c r="H27" s="241">
        <v>0</v>
      </c>
      <c r="I27" s="231">
        <v>375972.04</v>
      </c>
      <c r="J27" s="232">
        <f t="shared" si="3"/>
        <v>375972.04</v>
      </c>
      <c r="K27" s="281">
        <v>424308.39999999997</v>
      </c>
      <c r="L27" s="232">
        <v>0</v>
      </c>
      <c r="M27" s="274">
        <v>367753.95</v>
      </c>
      <c r="N27" s="232">
        <f t="shared" si="4"/>
        <v>367753.95</v>
      </c>
      <c r="O27" s="281">
        <v>404316.04000000004</v>
      </c>
      <c r="P27" s="402">
        <v>0</v>
      </c>
      <c r="Q27" s="274">
        <v>399363.54</v>
      </c>
      <c r="R27" s="232">
        <f t="shared" si="5"/>
        <v>399363.54</v>
      </c>
      <c r="S27" s="281"/>
    </row>
    <row r="28" spans="1:19">
      <c r="A28" s="272">
        <v>22</v>
      </c>
      <c r="B28" s="78" t="s">
        <v>77</v>
      </c>
      <c r="C28" s="78" t="s">
        <v>847</v>
      </c>
      <c r="D28" s="229">
        <v>0</v>
      </c>
      <c r="E28" s="231">
        <v>459024.76999999996</v>
      </c>
      <c r="F28" s="232">
        <f t="shared" si="2"/>
        <v>459024.76999999996</v>
      </c>
      <c r="G28" s="249">
        <v>476843.58</v>
      </c>
      <c r="H28" s="241">
        <v>0</v>
      </c>
      <c r="I28" s="231">
        <v>652696.09</v>
      </c>
      <c r="J28" s="232">
        <f t="shared" si="3"/>
        <v>652696.09</v>
      </c>
      <c r="K28" s="281">
        <v>813582.94000000006</v>
      </c>
      <c r="L28" s="232">
        <v>0</v>
      </c>
      <c r="M28" s="274">
        <v>644508.97</v>
      </c>
      <c r="N28" s="232">
        <f t="shared" si="4"/>
        <v>644508.97</v>
      </c>
      <c r="O28" s="281">
        <v>931327.01</v>
      </c>
      <c r="P28" s="402">
        <v>0</v>
      </c>
      <c r="Q28" s="274">
        <v>705181.39</v>
      </c>
      <c r="R28" s="232">
        <f t="shared" si="5"/>
        <v>705181.39</v>
      </c>
      <c r="S28" s="281"/>
    </row>
    <row r="29" spans="1:19">
      <c r="A29" s="272">
        <v>23</v>
      </c>
      <c r="B29" s="78" t="s">
        <v>79</v>
      </c>
      <c r="C29" s="78" t="s">
        <v>848</v>
      </c>
      <c r="D29" s="229">
        <v>21186.09</v>
      </c>
      <c r="E29" s="231">
        <v>45131.519999999997</v>
      </c>
      <c r="F29" s="232">
        <f t="shared" si="2"/>
        <v>66317.61</v>
      </c>
      <c r="G29" s="249">
        <v>70381.070000000007</v>
      </c>
      <c r="H29" s="241">
        <v>0</v>
      </c>
      <c r="I29" s="231">
        <v>67132.19</v>
      </c>
      <c r="J29" s="232">
        <f t="shared" si="3"/>
        <v>67132.19</v>
      </c>
      <c r="K29" s="281">
        <v>64871.25</v>
      </c>
      <c r="L29" s="232">
        <v>2260.9400000000023</v>
      </c>
      <c r="M29" s="274">
        <v>64920.81</v>
      </c>
      <c r="N29" s="232">
        <f t="shared" si="4"/>
        <v>67181.75</v>
      </c>
      <c r="O29" s="281">
        <v>69469.489999999991</v>
      </c>
      <c r="P29" s="402">
        <v>0</v>
      </c>
      <c r="Q29" s="274">
        <v>69068.31</v>
      </c>
      <c r="R29" s="232">
        <f t="shared" si="5"/>
        <v>69068.31</v>
      </c>
      <c r="S29" s="281"/>
    </row>
    <row r="30" spans="1:19">
      <c r="A30" s="272">
        <v>24</v>
      </c>
      <c r="B30" s="78" t="s">
        <v>81</v>
      </c>
      <c r="C30" s="78" t="s">
        <v>849</v>
      </c>
      <c r="D30" s="229">
        <v>691.28999999999905</v>
      </c>
      <c r="E30" s="231">
        <v>12579.119999999999</v>
      </c>
      <c r="F30" s="232">
        <f t="shared" si="2"/>
        <v>13270.409999999998</v>
      </c>
      <c r="G30" s="249">
        <v>10305.56</v>
      </c>
      <c r="H30" s="241">
        <v>2964.8499999999985</v>
      </c>
      <c r="I30" s="231">
        <v>19477.900000000001</v>
      </c>
      <c r="J30" s="232">
        <f t="shared" si="3"/>
        <v>22442.75</v>
      </c>
      <c r="K30" s="281">
        <v>16475.5</v>
      </c>
      <c r="L30" s="232">
        <v>5967.25</v>
      </c>
      <c r="M30" s="274">
        <v>19107.190000000002</v>
      </c>
      <c r="N30" s="232">
        <f t="shared" si="4"/>
        <v>25074.440000000002</v>
      </c>
      <c r="O30" s="281">
        <v>8645.23</v>
      </c>
      <c r="P30" s="402">
        <v>16429.210000000003</v>
      </c>
      <c r="Q30" s="274">
        <v>19939.68</v>
      </c>
      <c r="R30" s="232">
        <f t="shared" si="5"/>
        <v>36368.89</v>
      </c>
      <c r="S30" s="281"/>
    </row>
    <row r="31" spans="1:19">
      <c r="A31" s="272">
        <v>25</v>
      </c>
      <c r="B31" s="78" t="s">
        <v>83</v>
      </c>
      <c r="C31" s="78" t="s">
        <v>850</v>
      </c>
      <c r="D31" s="229">
        <v>37553.340000000004</v>
      </c>
      <c r="E31" s="231">
        <v>75844.11</v>
      </c>
      <c r="F31" s="232">
        <f t="shared" si="2"/>
        <v>113397.45000000001</v>
      </c>
      <c r="G31" s="249">
        <v>82437.240000000005</v>
      </c>
      <c r="H31" s="241">
        <v>30960.210000000006</v>
      </c>
      <c r="I31" s="231">
        <v>101436.2</v>
      </c>
      <c r="J31" s="232">
        <f t="shared" si="3"/>
        <v>132396.41</v>
      </c>
      <c r="K31" s="281">
        <v>142531.88000000003</v>
      </c>
      <c r="L31" s="232">
        <v>0</v>
      </c>
      <c r="M31" s="274">
        <v>107613.41</v>
      </c>
      <c r="N31" s="232">
        <f t="shared" si="4"/>
        <v>107613.41</v>
      </c>
      <c r="O31" s="281">
        <v>146752.41999999998</v>
      </c>
      <c r="P31" s="402">
        <v>0</v>
      </c>
      <c r="Q31" s="274">
        <v>117640.42000000001</v>
      </c>
      <c r="R31" s="232">
        <f t="shared" si="5"/>
        <v>117640.42000000001</v>
      </c>
      <c r="S31" s="281"/>
    </row>
    <row r="32" spans="1:19">
      <c r="A32" s="272">
        <v>26</v>
      </c>
      <c r="B32" s="78" t="s">
        <v>85</v>
      </c>
      <c r="C32" s="78" t="s">
        <v>851</v>
      </c>
      <c r="D32" s="229">
        <v>0</v>
      </c>
      <c r="E32" s="231">
        <v>101689.51000000001</v>
      </c>
      <c r="F32" s="232">
        <f t="shared" si="2"/>
        <v>101689.51000000001</v>
      </c>
      <c r="G32" s="249">
        <v>100717.38</v>
      </c>
      <c r="H32" s="241">
        <v>972.13000000000466</v>
      </c>
      <c r="I32" s="231">
        <v>151027.12</v>
      </c>
      <c r="J32" s="232">
        <f t="shared" si="3"/>
        <v>151999.25</v>
      </c>
      <c r="K32" s="281">
        <v>161485.47</v>
      </c>
      <c r="L32" s="232">
        <v>0</v>
      </c>
      <c r="M32" s="274">
        <v>148797.45000000001</v>
      </c>
      <c r="N32" s="232">
        <f t="shared" si="4"/>
        <v>148797.45000000001</v>
      </c>
      <c r="O32" s="281">
        <v>168177.52000000002</v>
      </c>
      <c r="P32" s="402">
        <v>0</v>
      </c>
      <c r="Q32" s="274">
        <v>164617.56</v>
      </c>
      <c r="R32" s="232">
        <f t="shared" si="5"/>
        <v>164617.56</v>
      </c>
      <c r="S32" s="281"/>
    </row>
    <row r="33" spans="1:19">
      <c r="A33" s="272">
        <v>27</v>
      </c>
      <c r="B33" s="78" t="s">
        <v>87</v>
      </c>
      <c r="C33" s="78" t="s">
        <v>852</v>
      </c>
      <c r="D33" s="229">
        <v>10674.570000000003</v>
      </c>
      <c r="E33" s="231">
        <v>90980.56</v>
      </c>
      <c r="F33" s="232">
        <f t="shared" si="2"/>
        <v>101655.13</v>
      </c>
      <c r="G33" s="249">
        <v>68954.28</v>
      </c>
      <c r="H33" s="241">
        <v>32700.850000000006</v>
      </c>
      <c r="I33" s="231">
        <v>127613.24000000002</v>
      </c>
      <c r="J33" s="232">
        <f t="shared" si="3"/>
        <v>160314.09000000003</v>
      </c>
      <c r="K33" s="281">
        <v>128308.57000000002</v>
      </c>
      <c r="L33" s="232">
        <v>32005.520000000004</v>
      </c>
      <c r="M33" s="274">
        <v>127784.99</v>
      </c>
      <c r="N33" s="232">
        <f t="shared" si="4"/>
        <v>159790.51</v>
      </c>
      <c r="O33" s="281">
        <v>171969.28</v>
      </c>
      <c r="P33" s="402">
        <v>0</v>
      </c>
      <c r="Q33" s="274">
        <v>146105.32999999999</v>
      </c>
      <c r="R33" s="232">
        <f t="shared" si="5"/>
        <v>146105.32999999999</v>
      </c>
      <c r="S33" s="281"/>
    </row>
    <row r="34" spans="1:19">
      <c r="A34" s="272">
        <v>28</v>
      </c>
      <c r="B34" s="233" t="s">
        <v>89</v>
      </c>
      <c r="C34" s="78" t="s">
        <v>1354</v>
      </c>
      <c r="D34" s="229"/>
      <c r="E34" s="231"/>
      <c r="F34" s="232">
        <f t="shared" si="2"/>
        <v>0</v>
      </c>
      <c r="G34" s="249"/>
      <c r="H34" s="242">
        <v>0</v>
      </c>
      <c r="I34" s="231">
        <v>20871.8</v>
      </c>
      <c r="J34" s="232">
        <f t="shared" si="3"/>
        <v>20871.8</v>
      </c>
      <c r="K34" s="281">
        <v>16368.93</v>
      </c>
      <c r="L34" s="232">
        <v>4502.869999999999</v>
      </c>
      <c r="M34" s="274">
        <v>34659</v>
      </c>
      <c r="N34" s="232">
        <f t="shared" si="4"/>
        <v>39161.869999999995</v>
      </c>
      <c r="O34" s="281">
        <v>30702.32</v>
      </c>
      <c r="P34" s="402">
        <v>8459.5499999999956</v>
      </c>
      <c r="Q34" s="274">
        <v>55331.329999999994</v>
      </c>
      <c r="R34" s="232">
        <f t="shared" si="5"/>
        <v>63790.87999999999</v>
      </c>
      <c r="S34" s="281"/>
    </row>
    <row r="35" spans="1:19">
      <c r="A35" s="272">
        <v>29</v>
      </c>
      <c r="B35" s="78" t="s">
        <v>91</v>
      </c>
      <c r="C35" s="78" t="s">
        <v>854</v>
      </c>
      <c r="D35" s="229">
        <v>0</v>
      </c>
      <c r="E35" s="231">
        <v>5277.8600000000006</v>
      </c>
      <c r="F35" s="232">
        <f t="shared" si="2"/>
        <v>5277.8600000000006</v>
      </c>
      <c r="G35" s="249">
        <v>4978.6400000000003</v>
      </c>
      <c r="H35" s="241">
        <v>299.22000000000025</v>
      </c>
      <c r="I35" s="231">
        <v>8200.2199999999993</v>
      </c>
      <c r="J35" s="232">
        <f t="shared" si="3"/>
        <v>8499.4399999999987</v>
      </c>
      <c r="K35" s="281">
        <v>4430.5200000000004</v>
      </c>
      <c r="L35" s="232">
        <v>4068.9199999999983</v>
      </c>
      <c r="M35" s="274">
        <v>8289.3599999999988</v>
      </c>
      <c r="N35" s="232">
        <f t="shared" si="4"/>
        <v>12358.279999999997</v>
      </c>
      <c r="O35" s="281">
        <v>7173.55</v>
      </c>
      <c r="P35" s="402">
        <v>5184.7299999999968</v>
      </c>
      <c r="Q35" s="274">
        <v>9609.7100000000009</v>
      </c>
      <c r="R35" s="232">
        <f t="shared" si="5"/>
        <v>14794.439999999999</v>
      </c>
      <c r="S35" s="281"/>
    </row>
    <row r="36" spans="1:19">
      <c r="A36" s="272">
        <v>30</v>
      </c>
      <c r="B36" s="78" t="s">
        <v>93</v>
      </c>
      <c r="C36" s="78" t="s">
        <v>855</v>
      </c>
      <c r="D36" s="229">
        <v>98218.450000000012</v>
      </c>
      <c r="E36" s="231">
        <v>827753.23</v>
      </c>
      <c r="F36" s="232">
        <f t="shared" si="2"/>
        <v>925971.67999999993</v>
      </c>
      <c r="G36" s="249">
        <v>653734.68000000005</v>
      </c>
      <c r="H36" s="241">
        <v>272236.99999999988</v>
      </c>
      <c r="I36" s="231">
        <v>1097864.22</v>
      </c>
      <c r="J36" s="232">
        <f t="shared" si="3"/>
        <v>1370101.2199999997</v>
      </c>
      <c r="K36" s="281">
        <v>1992802.23</v>
      </c>
      <c r="L36" s="232">
        <v>0</v>
      </c>
      <c r="M36" s="274">
        <v>1134960.98</v>
      </c>
      <c r="N36" s="232">
        <f t="shared" si="4"/>
        <v>1134960.98</v>
      </c>
      <c r="O36" s="281">
        <v>1134960.98</v>
      </c>
      <c r="P36" s="402">
        <v>0</v>
      </c>
      <c r="Q36" s="274">
        <v>1229228.1099999999</v>
      </c>
      <c r="R36" s="232">
        <f t="shared" si="5"/>
        <v>1229228.1099999999</v>
      </c>
      <c r="S36" s="281"/>
    </row>
    <row r="37" spans="1:19">
      <c r="A37" s="272">
        <v>31</v>
      </c>
      <c r="B37" s="78" t="s">
        <v>95</v>
      </c>
      <c r="C37" s="78" t="s">
        <v>856</v>
      </c>
      <c r="D37" s="229">
        <v>0</v>
      </c>
      <c r="E37" s="231">
        <v>876722.45999999985</v>
      </c>
      <c r="F37" s="232">
        <f t="shared" si="2"/>
        <v>876722.45999999985</v>
      </c>
      <c r="G37" s="249">
        <v>1072817.82</v>
      </c>
      <c r="H37" s="241">
        <v>0</v>
      </c>
      <c r="I37" s="231">
        <v>1236070.1399999999</v>
      </c>
      <c r="J37" s="232">
        <f t="shared" si="3"/>
        <v>1236070.1399999999</v>
      </c>
      <c r="K37" s="281">
        <v>1101982.0000000002</v>
      </c>
      <c r="L37" s="232">
        <v>134088.13999999966</v>
      </c>
      <c r="M37" s="274">
        <v>1266040.7</v>
      </c>
      <c r="N37" s="232">
        <f t="shared" si="4"/>
        <v>1400128.8399999996</v>
      </c>
      <c r="O37" s="281">
        <v>1032708.98</v>
      </c>
      <c r="P37" s="402">
        <v>367419.85999999964</v>
      </c>
      <c r="Q37" s="274">
        <v>1387423.1199999999</v>
      </c>
      <c r="R37" s="232">
        <f t="shared" si="5"/>
        <v>1754842.9799999995</v>
      </c>
      <c r="S37" s="281"/>
    </row>
    <row r="38" spans="1:19">
      <c r="A38" s="272">
        <v>32</v>
      </c>
      <c r="B38" s="78" t="s">
        <v>97</v>
      </c>
      <c r="C38" s="78" t="s">
        <v>857</v>
      </c>
      <c r="D38" s="229">
        <v>2863.3300000000163</v>
      </c>
      <c r="E38" s="231">
        <v>224913.62</v>
      </c>
      <c r="F38" s="232">
        <f t="shared" si="2"/>
        <v>227776.95</v>
      </c>
      <c r="G38" s="249">
        <v>230166.2</v>
      </c>
      <c r="H38" s="241">
        <v>0</v>
      </c>
      <c r="I38" s="231">
        <v>331220.31000000006</v>
      </c>
      <c r="J38" s="232">
        <f t="shared" si="3"/>
        <v>331220.31000000006</v>
      </c>
      <c r="K38" s="281">
        <v>319231.03999999998</v>
      </c>
      <c r="L38" s="232">
        <v>11989.270000000077</v>
      </c>
      <c r="M38" s="274">
        <v>338708.95</v>
      </c>
      <c r="N38" s="232">
        <f t="shared" si="4"/>
        <v>350698.22000000009</v>
      </c>
      <c r="O38" s="281">
        <v>322226.94999999995</v>
      </c>
      <c r="P38" s="402">
        <v>28471.270000000135</v>
      </c>
      <c r="Q38" s="274">
        <v>372653.76</v>
      </c>
      <c r="R38" s="232">
        <f t="shared" si="5"/>
        <v>401125.03000000014</v>
      </c>
      <c r="S38" s="281"/>
    </row>
    <row r="39" spans="1:19">
      <c r="A39" s="272">
        <v>33</v>
      </c>
      <c r="B39" s="78" t="s">
        <v>99</v>
      </c>
      <c r="C39" s="78" t="s">
        <v>858</v>
      </c>
      <c r="D39" s="229">
        <v>0</v>
      </c>
      <c r="E39" s="231">
        <v>190269.51</v>
      </c>
      <c r="F39" s="232">
        <f t="shared" ref="F39:F70" si="6">+D39+E39</f>
        <v>190269.51</v>
      </c>
      <c r="G39" s="249">
        <v>196864.37</v>
      </c>
      <c r="H39" s="241">
        <v>0</v>
      </c>
      <c r="I39" s="231">
        <v>275721.3</v>
      </c>
      <c r="J39" s="232">
        <f t="shared" ref="J39:J70" si="7">+H39+I39</f>
        <v>275721.3</v>
      </c>
      <c r="K39" s="281">
        <v>292409.83999999997</v>
      </c>
      <c r="L39" s="232">
        <v>0</v>
      </c>
      <c r="M39" s="274">
        <v>271014.65999999997</v>
      </c>
      <c r="N39" s="232">
        <f t="shared" si="4"/>
        <v>271014.65999999997</v>
      </c>
      <c r="O39" s="281">
        <v>286190.07000000007</v>
      </c>
      <c r="P39" s="402">
        <v>0</v>
      </c>
      <c r="Q39" s="274">
        <v>287566.2</v>
      </c>
      <c r="R39" s="232">
        <f t="shared" si="5"/>
        <v>287566.2</v>
      </c>
      <c r="S39" s="281"/>
    </row>
    <row r="40" spans="1:19">
      <c r="A40" s="272">
        <v>34</v>
      </c>
      <c r="B40" s="78" t="s">
        <v>101</v>
      </c>
      <c r="C40" s="78" t="s">
        <v>859</v>
      </c>
      <c r="D40" s="229">
        <v>31461.710000000006</v>
      </c>
      <c r="E40" s="231">
        <v>312671.68000000005</v>
      </c>
      <c r="F40" s="232">
        <f t="shared" si="6"/>
        <v>344133.39000000007</v>
      </c>
      <c r="G40" s="249">
        <v>324839.05</v>
      </c>
      <c r="H40" s="241">
        <v>19294.340000000084</v>
      </c>
      <c r="I40" s="231">
        <v>438704.27</v>
      </c>
      <c r="J40" s="232">
        <f t="shared" si="7"/>
        <v>457998.6100000001</v>
      </c>
      <c r="K40" s="281">
        <v>478598.86000000016</v>
      </c>
      <c r="L40" s="232">
        <v>0</v>
      </c>
      <c r="M40" s="274">
        <v>463817.02999999997</v>
      </c>
      <c r="N40" s="232">
        <f t="shared" si="4"/>
        <v>463817.02999999997</v>
      </c>
      <c r="O40" s="281">
        <v>503099.9</v>
      </c>
      <c r="P40" s="402">
        <v>0</v>
      </c>
      <c r="Q40" s="274">
        <v>516782.13</v>
      </c>
      <c r="R40" s="232">
        <f t="shared" si="5"/>
        <v>516782.13</v>
      </c>
      <c r="S40" s="281"/>
    </row>
    <row r="41" spans="1:19">
      <c r="A41" s="272">
        <v>35</v>
      </c>
      <c r="B41" s="78" t="s">
        <v>103</v>
      </c>
      <c r="C41" s="78" t="s">
        <v>860</v>
      </c>
      <c r="D41" s="229">
        <v>3122.16</v>
      </c>
      <c r="E41" s="231">
        <v>42800.87</v>
      </c>
      <c r="F41" s="232">
        <f t="shared" si="6"/>
        <v>45923.03</v>
      </c>
      <c r="G41" s="249">
        <v>36063.54</v>
      </c>
      <c r="H41" s="241">
        <v>9859.489999999998</v>
      </c>
      <c r="I41" s="231">
        <v>53065.72</v>
      </c>
      <c r="J41" s="232">
        <f t="shared" si="7"/>
        <v>62925.21</v>
      </c>
      <c r="K41" s="281">
        <v>44234.909999999996</v>
      </c>
      <c r="L41" s="232">
        <v>18690.300000000003</v>
      </c>
      <c r="M41" s="274">
        <v>60902</v>
      </c>
      <c r="N41" s="232">
        <f t="shared" si="4"/>
        <v>79592.3</v>
      </c>
      <c r="O41" s="281">
        <v>56113.75</v>
      </c>
      <c r="P41" s="402">
        <v>23478.550000000003</v>
      </c>
      <c r="Q41" s="274">
        <v>68662.820000000007</v>
      </c>
      <c r="R41" s="232">
        <f t="shared" si="5"/>
        <v>92141.37000000001</v>
      </c>
      <c r="S41" s="281"/>
    </row>
    <row r="42" spans="1:19">
      <c r="A42" s="272">
        <v>36</v>
      </c>
      <c r="B42" s="233" t="s">
        <v>105</v>
      </c>
      <c r="C42" s="78" t="s">
        <v>862</v>
      </c>
      <c r="D42" s="229">
        <v>17014.509999999998</v>
      </c>
      <c r="E42" s="231">
        <v>30316.399999999998</v>
      </c>
      <c r="F42" s="232">
        <f t="shared" si="6"/>
        <v>47330.909999999996</v>
      </c>
      <c r="G42" s="249"/>
      <c r="H42" s="241">
        <v>47330.909999999996</v>
      </c>
      <c r="I42" s="231">
        <v>47271.619999999995</v>
      </c>
      <c r="J42" s="232">
        <f t="shared" si="7"/>
        <v>94602.53</v>
      </c>
      <c r="K42" s="281"/>
      <c r="L42" s="232">
        <v>94602.53</v>
      </c>
      <c r="M42" s="274">
        <v>54922.07</v>
      </c>
      <c r="N42" s="232">
        <f t="shared" si="4"/>
        <v>149524.6</v>
      </c>
      <c r="O42" s="281">
        <v>55838.080000000002</v>
      </c>
      <c r="P42" s="402">
        <v>93686.52</v>
      </c>
      <c r="Q42" s="274">
        <v>71059.069999999992</v>
      </c>
      <c r="R42" s="232">
        <f t="shared" si="5"/>
        <v>164745.59</v>
      </c>
      <c r="S42" s="281"/>
    </row>
    <row r="43" spans="1:19">
      <c r="A43" s="272">
        <v>37</v>
      </c>
      <c r="B43" s="78" t="s">
        <v>107</v>
      </c>
      <c r="C43" s="78" t="s">
        <v>863</v>
      </c>
      <c r="D43" s="229">
        <v>27286.76</v>
      </c>
      <c r="E43" s="231">
        <v>56431.49</v>
      </c>
      <c r="F43" s="232">
        <f t="shared" si="6"/>
        <v>83718.25</v>
      </c>
      <c r="G43" s="249">
        <v>47281.52</v>
      </c>
      <c r="H43" s="241">
        <v>36436.730000000003</v>
      </c>
      <c r="I43" s="231">
        <v>72315.839999999997</v>
      </c>
      <c r="J43" s="232">
        <f t="shared" si="7"/>
        <v>108752.57</v>
      </c>
      <c r="K43" s="281">
        <v>65308.520000000004</v>
      </c>
      <c r="L43" s="232">
        <v>43444.05</v>
      </c>
      <c r="M43" s="274">
        <v>68586.459999999992</v>
      </c>
      <c r="N43" s="232">
        <f t="shared" si="4"/>
        <v>112030.51</v>
      </c>
      <c r="O43" s="281">
        <v>60777.44000000001</v>
      </c>
      <c r="P43" s="402">
        <v>51253.069999999985</v>
      </c>
      <c r="Q43" s="274">
        <v>80244.7</v>
      </c>
      <c r="R43" s="232">
        <f t="shared" si="5"/>
        <v>131497.76999999999</v>
      </c>
      <c r="S43" s="281"/>
    </row>
    <row r="44" spans="1:19">
      <c r="A44" s="272">
        <v>38</v>
      </c>
      <c r="B44" s="78" t="s">
        <v>109</v>
      </c>
      <c r="C44" s="78" t="s">
        <v>864</v>
      </c>
      <c r="D44" s="229">
        <v>0</v>
      </c>
      <c r="E44" s="231">
        <v>157801.41</v>
      </c>
      <c r="F44" s="232">
        <f t="shared" si="6"/>
        <v>157801.41</v>
      </c>
      <c r="G44" s="249">
        <v>175036.57</v>
      </c>
      <c r="H44" s="241">
        <v>0</v>
      </c>
      <c r="I44" s="231">
        <v>222572.66999999998</v>
      </c>
      <c r="J44" s="232">
        <f t="shared" si="7"/>
        <v>222572.66999999998</v>
      </c>
      <c r="K44" s="281">
        <v>228187.86000000002</v>
      </c>
      <c r="L44" s="232">
        <v>0</v>
      </c>
      <c r="M44" s="274">
        <v>214171.53999999998</v>
      </c>
      <c r="N44" s="232">
        <f t="shared" si="4"/>
        <v>214171.53999999998</v>
      </c>
      <c r="O44" s="281">
        <v>218115.49</v>
      </c>
      <c r="P44" s="402">
        <v>0</v>
      </c>
      <c r="Q44" s="274">
        <v>239310.15000000002</v>
      </c>
      <c r="R44" s="232">
        <f t="shared" si="5"/>
        <v>239310.15000000002</v>
      </c>
      <c r="S44" s="281"/>
    </row>
    <row r="45" spans="1:19">
      <c r="A45" s="272">
        <v>39</v>
      </c>
      <c r="B45" s="78" t="s">
        <v>111</v>
      </c>
      <c r="C45" s="78" t="s">
        <v>865</v>
      </c>
      <c r="D45" s="229">
        <v>4361.7200000000012</v>
      </c>
      <c r="E45" s="231">
        <v>53411.73</v>
      </c>
      <c r="F45" s="232">
        <f t="shared" si="6"/>
        <v>57773.450000000004</v>
      </c>
      <c r="G45" s="249">
        <v>50143.81</v>
      </c>
      <c r="H45" s="241">
        <v>7629.6400000000067</v>
      </c>
      <c r="I45" s="231">
        <v>75910.25</v>
      </c>
      <c r="J45" s="232">
        <f t="shared" si="7"/>
        <v>83539.890000000014</v>
      </c>
      <c r="K45" s="281">
        <v>83129.38</v>
      </c>
      <c r="L45" s="232">
        <v>410.51000000000931</v>
      </c>
      <c r="M45" s="274">
        <v>78316.400000000009</v>
      </c>
      <c r="N45" s="232">
        <f t="shared" si="4"/>
        <v>78726.910000000018</v>
      </c>
      <c r="O45" s="281">
        <v>100066.54000000001</v>
      </c>
      <c r="P45" s="402">
        <v>0</v>
      </c>
      <c r="Q45" s="274">
        <v>88998.93</v>
      </c>
      <c r="R45" s="232">
        <f t="shared" si="5"/>
        <v>88998.93</v>
      </c>
      <c r="S45" s="281"/>
    </row>
    <row r="46" spans="1:19">
      <c r="A46" s="272">
        <v>40</v>
      </c>
      <c r="B46" s="78" t="s">
        <v>113</v>
      </c>
      <c r="C46" s="78" t="s">
        <v>866</v>
      </c>
      <c r="D46" s="229">
        <v>0</v>
      </c>
      <c r="E46" s="231">
        <v>891396.82</v>
      </c>
      <c r="F46" s="232">
        <f t="shared" si="6"/>
        <v>891396.82</v>
      </c>
      <c r="G46" s="249">
        <v>832821.71</v>
      </c>
      <c r="H46" s="241">
        <v>58575.109999999986</v>
      </c>
      <c r="I46" s="231">
        <v>1242519.06</v>
      </c>
      <c r="J46" s="232">
        <f t="shared" si="7"/>
        <v>1301094.17</v>
      </c>
      <c r="K46" s="281">
        <v>1148137.96</v>
      </c>
      <c r="L46" s="232">
        <v>152956.20999999996</v>
      </c>
      <c r="M46" s="274">
        <v>1212526.2400000002</v>
      </c>
      <c r="N46" s="232">
        <f t="shared" si="4"/>
        <v>1365482.4500000002</v>
      </c>
      <c r="O46" s="281">
        <v>1206593.4100000001</v>
      </c>
      <c r="P46" s="402">
        <v>158889.04000000004</v>
      </c>
      <c r="Q46" s="274">
        <v>1341661.8700000001</v>
      </c>
      <c r="R46" s="232">
        <f t="shared" si="5"/>
        <v>1500550.9100000001</v>
      </c>
      <c r="S46" s="281"/>
    </row>
    <row r="47" spans="1:19">
      <c r="A47" s="272">
        <v>41</v>
      </c>
      <c r="B47" s="78" t="s">
        <v>115</v>
      </c>
      <c r="C47" s="78" t="s">
        <v>867</v>
      </c>
      <c r="D47" s="229">
        <v>4751.7000000000044</v>
      </c>
      <c r="E47" s="231">
        <v>35094.47</v>
      </c>
      <c r="F47" s="232">
        <f t="shared" si="6"/>
        <v>39846.170000000006</v>
      </c>
      <c r="G47" s="249">
        <v>28194.46</v>
      </c>
      <c r="H47" s="241">
        <v>11651.710000000006</v>
      </c>
      <c r="I47" s="231">
        <v>50951.29</v>
      </c>
      <c r="J47" s="232">
        <f t="shared" si="7"/>
        <v>62603.000000000007</v>
      </c>
      <c r="K47" s="281">
        <v>44570.450000000004</v>
      </c>
      <c r="L47" s="232">
        <v>18032.550000000003</v>
      </c>
      <c r="M47" s="274">
        <v>50527.44</v>
      </c>
      <c r="N47" s="232">
        <f t="shared" si="4"/>
        <v>68559.990000000005</v>
      </c>
      <c r="O47" s="281">
        <v>39006.049999999996</v>
      </c>
      <c r="P47" s="402">
        <v>29553.94000000001</v>
      </c>
      <c r="Q47" s="274">
        <v>58456.249999999993</v>
      </c>
      <c r="R47" s="232">
        <f t="shared" si="5"/>
        <v>88010.19</v>
      </c>
      <c r="S47" s="281"/>
    </row>
    <row r="48" spans="1:19">
      <c r="A48" s="272">
        <v>42</v>
      </c>
      <c r="B48" s="78" t="s">
        <v>117</v>
      </c>
      <c r="C48" s="78" t="s">
        <v>868</v>
      </c>
      <c r="D48" s="229">
        <v>11897.199999999997</v>
      </c>
      <c r="E48" s="231">
        <v>102199.89</v>
      </c>
      <c r="F48" s="232">
        <f t="shared" si="6"/>
        <v>114097.09</v>
      </c>
      <c r="G48" s="249">
        <v>35828.61</v>
      </c>
      <c r="H48" s="241">
        <v>78268.479999999996</v>
      </c>
      <c r="I48" s="231">
        <v>153668.64000000001</v>
      </c>
      <c r="J48" s="232">
        <f t="shared" si="7"/>
        <v>231937.12</v>
      </c>
      <c r="K48" s="281">
        <v>183718.14000000004</v>
      </c>
      <c r="L48" s="232">
        <v>48218.979999999952</v>
      </c>
      <c r="M48" s="274">
        <v>152422.78999999998</v>
      </c>
      <c r="N48" s="232">
        <f t="shared" si="4"/>
        <v>200641.76999999993</v>
      </c>
      <c r="O48" s="281">
        <v>98883.98</v>
      </c>
      <c r="P48" s="402">
        <v>101757.78999999994</v>
      </c>
      <c r="Q48" s="274">
        <v>166190.19</v>
      </c>
      <c r="R48" s="232">
        <f t="shared" si="5"/>
        <v>267947.97999999992</v>
      </c>
      <c r="S48" s="281"/>
    </row>
    <row r="49" spans="1:19">
      <c r="A49" s="272">
        <v>43</v>
      </c>
      <c r="B49" s="78" t="s">
        <v>119</v>
      </c>
      <c r="C49" s="78" t="s">
        <v>869</v>
      </c>
      <c r="D49" s="229">
        <v>984.3700000000008</v>
      </c>
      <c r="E49" s="231">
        <v>17459</v>
      </c>
      <c r="F49" s="232">
        <f t="shared" si="6"/>
        <v>18443.370000000003</v>
      </c>
      <c r="G49" s="249">
        <v>15464.09</v>
      </c>
      <c r="H49" s="241">
        <v>2979.2800000000025</v>
      </c>
      <c r="I49" s="231">
        <v>25138.350000000002</v>
      </c>
      <c r="J49" s="232">
        <f t="shared" si="7"/>
        <v>28117.630000000005</v>
      </c>
      <c r="K49" s="281">
        <v>23217.45</v>
      </c>
      <c r="L49" s="232">
        <v>4900.1800000000039</v>
      </c>
      <c r="M49" s="274">
        <v>25897.57</v>
      </c>
      <c r="N49" s="232">
        <f t="shared" si="4"/>
        <v>30797.750000000004</v>
      </c>
      <c r="O49" s="281">
        <v>25286.639999999999</v>
      </c>
      <c r="P49" s="402">
        <v>5511.1100000000042</v>
      </c>
      <c r="Q49" s="274">
        <v>26364.93</v>
      </c>
      <c r="R49" s="232">
        <f t="shared" si="5"/>
        <v>31876.040000000005</v>
      </c>
      <c r="S49" s="281"/>
    </row>
    <row r="50" spans="1:19">
      <c r="A50" s="272">
        <v>44</v>
      </c>
      <c r="B50" s="78" t="s">
        <v>121</v>
      </c>
      <c r="C50" s="78" t="s">
        <v>870</v>
      </c>
      <c r="D50" s="229">
        <v>0</v>
      </c>
      <c r="E50" s="231">
        <v>13367.109999999999</v>
      </c>
      <c r="F50" s="232">
        <f t="shared" si="6"/>
        <v>13367.109999999999</v>
      </c>
      <c r="G50" s="249">
        <v>11624.79</v>
      </c>
      <c r="H50" s="241">
        <v>1742.3199999999979</v>
      </c>
      <c r="I50" s="231">
        <v>20196.390000000003</v>
      </c>
      <c r="J50" s="232">
        <f t="shared" si="7"/>
        <v>21938.71</v>
      </c>
      <c r="K50" s="281">
        <v>17920.849999999999</v>
      </c>
      <c r="L50" s="232">
        <v>4017.8600000000006</v>
      </c>
      <c r="M50" s="274">
        <v>20660.95</v>
      </c>
      <c r="N50" s="232">
        <f t="shared" si="4"/>
        <v>24678.81</v>
      </c>
      <c r="O50" s="281">
        <v>25886.84</v>
      </c>
      <c r="P50" s="402">
        <v>0</v>
      </c>
      <c r="Q50" s="274">
        <v>23738.09</v>
      </c>
      <c r="R50" s="232">
        <f t="shared" si="5"/>
        <v>23738.09</v>
      </c>
      <c r="S50" s="281"/>
    </row>
    <row r="51" spans="1:19">
      <c r="A51" s="272">
        <v>45</v>
      </c>
      <c r="B51" s="78" t="s">
        <v>123</v>
      </c>
      <c r="C51" s="78" t="s">
        <v>1355</v>
      </c>
      <c r="D51" s="229">
        <v>3268.5</v>
      </c>
      <c r="E51" s="231">
        <v>52722.74</v>
      </c>
      <c r="F51" s="232">
        <f t="shared" si="6"/>
        <v>55991.24</v>
      </c>
      <c r="G51" s="249">
        <v>47908.07</v>
      </c>
      <c r="H51" s="241">
        <v>8083.1699999999983</v>
      </c>
      <c r="I51" s="231">
        <v>74875.400000000009</v>
      </c>
      <c r="J51" s="232">
        <f t="shared" si="7"/>
        <v>82958.570000000007</v>
      </c>
      <c r="K51" s="281">
        <v>73374.509999999995</v>
      </c>
      <c r="L51" s="232">
        <v>9584.0600000000122</v>
      </c>
      <c r="M51" s="274">
        <v>78946.359999999986</v>
      </c>
      <c r="N51" s="232">
        <f t="shared" si="4"/>
        <v>88530.42</v>
      </c>
      <c r="O51" s="281">
        <v>69385.84</v>
      </c>
      <c r="P51" s="402">
        <v>19144.580000000002</v>
      </c>
      <c r="Q51" s="274">
        <v>88935.75</v>
      </c>
      <c r="R51" s="232">
        <f t="shared" si="5"/>
        <v>108080.33</v>
      </c>
      <c r="S51" s="281"/>
    </row>
    <row r="52" spans="1:19">
      <c r="A52" s="272">
        <v>46</v>
      </c>
      <c r="B52" s="78" t="s">
        <v>125</v>
      </c>
      <c r="C52" s="78" t="s">
        <v>873</v>
      </c>
      <c r="D52" s="229">
        <v>11476.130000000012</v>
      </c>
      <c r="E52" s="231">
        <v>112449.19</v>
      </c>
      <c r="F52" s="232">
        <f t="shared" si="6"/>
        <v>123925.32</v>
      </c>
      <c r="G52" s="249">
        <v>133857.32999999999</v>
      </c>
      <c r="H52" s="241">
        <v>0</v>
      </c>
      <c r="I52" s="231">
        <v>150618.21</v>
      </c>
      <c r="J52" s="232">
        <f t="shared" si="7"/>
        <v>150618.21</v>
      </c>
      <c r="K52" s="281">
        <v>152633.56999999995</v>
      </c>
      <c r="L52" s="232">
        <v>0</v>
      </c>
      <c r="M52" s="274">
        <v>152899.47</v>
      </c>
      <c r="N52" s="232">
        <f t="shared" si="4"/>
        <v>152899.47</v>
      </c>
      <c r="O52" s="281">
        <v>161166.07</v>
      </c>
      <c r="P52" s="402">
        <v>0</v>
      </c>
      <c r="Q52" s="274">
        <v>175770.70000000004</v>
      </c>
      <c r="R52" s="232">
        <f t="shared" si="5"/>
        <v>175770.70000000004</v>
      </c>
      <c r="S52" s="281"/>
    </row>
    <row r="53" spans="1:19">
      <c r="A53" s="272">
        <v>47</v>
      </c>
      <c r="B53" s="78" t="s">
        <v>127</v>
      </c>
      <c r="C53" s="78" t="s">
        <v>874</v>
      </c>
      <c r="D53" s="229">
        <v>1378.5099999999984</v>
      </c>
      <c r="E53" s="231">
        <v>40776.15</v>
      </c>
      <c r="F53" s="232">
        <f t="shared" si="6"/>
        <v>42154.66</v>
      </c>
      <c r="G53" s="249">
        <v>37843.620000000003</v>
      </c>
      <c r="H53" s="241">
        <v>4311.0400000000009</v>
      </c>
      <c r="I53" s="231">
        <v>60340.060000000012</v>
      </c>
      <c r="J53" s="232">
        <f t="shared" si="7"/>
        <v>64651.100000000013</v>
      </c>
      <c r="K53" s="281">
        <v>58324.669999999991</v>
      </c>
      <c r="L53" s="232">
        <v>6326.4300000000221</v>
      </c>
      <c r="M53" s="274">
        <v>61316.3</v>
      </c>
      <c r="N53" s="232">
        <f t="shared" si="4"/>
        <v>67642.730000000025</v>
      </c>
      <c r="O53" s="281">
        <v>58344.549999999996</v>
      </c>
      <c r="P53" s="402">
        <v>9298.1800000000294</v>
      </c>
      <c r="Q53" s="274">
        <v>67374.430000000008</v>
      </c>
      <c r="R53" s="232">
        <f t="shared" si="5"/>
        <v>76672.610000000044</v>
      </c>
      <c r="S53" s="281"/>
    </row>
    <row r="54" spans="1:19">
      <c r="A54" s="272">
        <v>48</v>
      </c>
      <c r="B54" s="78" t="s">
        <v>129</v>
      </c>
      <c r="C54" s="78" t="s">
        <v>875</v>
      </c>
      <c r="D54" s="229">
        <v>0</v>
      </c>
      <c r="E54" s="231">
        <v>31209.13</v>
      </c>
      <c r="F54" s="232">
        <f t="shared" si="6"/>
        <v>31209.13</v>
      </c>
      <c r="G54" s="249">
        <v>28561.89</v>
      </c>
      <c r="H54" s="241">
        <v>2647.2400000000016</v>
      </c>
      <c r="I54" s="231">
        <v>46495.96</v>
      </c>
      <c r="J54" s="232">
        <f t="shared" si="7"/>
        <v>49143.199999999997</v>
      </c>
      <c r="K54" s="281">
        <v>53129.17</v>
      </c>
      <c r="L54" s="232">
        <v>0</v>
      </c>
      <c r="M54" s="274">
        <v>47335.899999999994</v>
      </c>
      <c r="N54" s="232">
        <f t="shared" si="4"/>
        <v>47335.899999999994</v>
      </c>
      <c r="O54" s="281">
        <v>50661.11</v>
      </c>
      <c r="P54" s="402">
        <v>0</v>
      </c>
      <c r="Q54" s="274">
        <v>47456.54</v>
      </c>
      <c r="R54" s="232">
        <f t="shared" si="5"/>
        <v>47456.54</v>
      </c>
      <c r="S54" s="281"/>
    </row>
    <row r="55" spans="1:19">
      <c r="A55" s="272">
        <v>49</v>
      </c>
      <c r="B55" s="78" t="s">
        <v>131</v>
      </c>
      <c r="C55" s="78" t="s">
        <v>876</v>
      </c>
      <c r="D55" s="229">
        <v>817.57000000000062</v>
      </c>
      <c r="E55" s="231">
        <v>12740.990000000002</v>
      </c>
      <c r="F55" s="232">
        <f t="shared" si="6"/>
        <v>13558.560000000001</v>
      </c>
      <c r="G55" s="249">
        <v>11702.78</v>
      </c>
      <c r="H55" s="241">
        <v>1855.7800000000007</v>
      </c>
      <c r="I55" s="231">
        <v>17487.28</v>
      </c>
      <c r="J55" s="232">
        <f t="shared" si="7"/>
        <v>19343.059999999998</v>
      </c>
      <c r="K55" s="281">
        <v>5100.37</v>
      </c>
      <c r="L55" s="232">
        <v>14242.689999999999</v>
      </c>
      <c r="M55" s="274">
        <v>17653.89</v>
      </c>
      <c r="N55" s="232">
        <f t="shared" si="4"/>
        <v>31896.579999999998</v>
      </c>
      <c r="O55" s="281">
        <v>19940.09</v>
      </c>
      <c r="P55" s="402">
        <v>11956.489999999998</v>
      </c>
      <c r="Q55" s="274">
        <v>20557.11</v>
      </c>
      <c r="R55" s="232">
        <f t="shared" si="5"/>
        <v>32513.599999999999</v>
      </c>
      <c r="S55" s="281"/>
    </row>
    <row r="56" spans="1:19">
      <c r="A56" s="272">
        <v>50</v>
      </c>
      <c r="B56" s="78" t="s">
        <v>133</v>
      </c>
      <c r="C56" s="78" t="s">
        <v>1356</v>
      </c>
      <c r="D56" s="229">
        <v>2501.0199999999995</v>
      </c>
      <c r="E56" s="231">
        <v>18133.260000000002</v>
      </c>
      <c r="F56" s="232">
        <f t="shared" si="6"/>
        <v>20634.280000000002</v>
      </c>
      <c r="G56" s="249">
        <v>15545.38</v>
      </c>
      <c r="H56" s="241">
        <v>5088.9000000000033</v>
      </c>
      <c r="I56" s="231">
        <v>26472.82</v>
      </c>
      <c r="J56" s="232">
        <f t="shared" si="7"/>
        <v>31561.72</v>
      </c>
      <c r="K56" s="281">
        <v>34519.26</v>
      </c>
      <c r="L56" s="232">
        <v>0</v>
      </c>
      <c r="M56" s="274">
        <v>26333.85</v>
      </c>
      <c r="N56" s="232">
        <f t="shared" si="4"/>
        <v>26333.85</v>
      </c>
      <c r="O56" s="281">
        <v>25954.29</v>
      </c>
      <c r="P56" s="402">
        <v>379.55999999999767</v>
      </c>
      <c r="Q56" s="274">
        <v>27724.01</v>
      </c>
      <c r="R56" s="232">
        <f t="shared" si="5"/>
        <v>28103.569999999996</v>
      </c>
      <c r="S56" s="281"/>
    </row>
    <row r="57" spans="1:19">
      <c r="A57" s="272">
        <v>51</v>
      </c>
      <c r="B57" s="78" t="s">
        <v>135</v>
      </c>
      <c r="C57" s="78" t="s">
        <v>879</v>
      </c>
      <c r="D57" s="229">
        <v>30922.139999999996</v>
      </c>
      <c r="E57" s="231">
        <v>70205.2</v>
      </c>
      <c r="F57" s="232">
        <f t="shared" si="6"/>
        <v>101127.34</v>
      </c>
      <c r="G57" s="249">
        <v>82692.73</v>
      </c>
      <c r="H57" s="241">
        <v>18434.61</v>
      </c>
      <c r="I57" s="231">
        <v>96270.799999999988</v>
      </c>
      <c r="J57" s="232">
        <f t="shared" si="7"/>
        <v>114705.40999999999</v>
      </c>
      <c r="K57" s="281">
        <v>83758.91</v>
      </c>
      <c r="L57" s="232">
        <v>30946.499999999985</v>
      </c>
      <c r="M57" s="274">
        <v>96525.689999999973</v>
      </c>
      <c r="N57" s="232">
        <f t="shared" si="4"/>
        <v>127472.18999999996</v>
      </c>
      <c r="O57" s="281">
        <v>94067.22</v>
      </c>
      <c r="P57" s="402">
        <v>33404.969999999958</v>
      </c>
      <c r="Q57" s="274">
        <v>107589.47</v>
      </c>
      <c r="R57" s="232">
        <f t="shared" si="5"/>
        <v>140994.43999999994</v>
      </c>
      <c r="S57" s="281"/>
    </row>
    <row r="58" spans="1:19">
      <c r="A58" s="272">
        <v>52</v>
      </c>
      <c r="B58" s="78" t="s">
        <v>137</v>
      </c>
      <c r="C58" s="78" t="s">
        <v>880</v>
      </c>
      <c r="D58" s="229">
        <v>1793.3700000000008</v>
      </c>
      <c r="E58" s="231">
        <v>20622.54</v>
      </c>
      <c r="F58" s="232">
        <f t="shared" si="6"/>
        <v>22415.910000000003</v>
      </c>
      <c r="G58" s="249">
        <v>21496.1</v>
      </c>
      <c r="H58" s="241">
        <v>919.81000000000495</v>
      </c>
      <c r="I58" s="231">
        <v>27809.940000000002</v>
      </c>
      <c r="J58" s="232">
        <f t="shared" si="7"/>
        <v>28729.750000000007</v>
      </c>
      <c r="K58" s="281">
        <v>36276.68</v>
      </c>
      <c r="L58" s="232">
        <v>0</v>
      </c>
      <c r="M58" s="274">
        <v>29173.39</v>
      </c>
      <c r="N58" s="232">
        <f t="shared" si="4"/>
        <v>29173.39</v>
      </c>
      <c r="O58" s="281">
        <v>61818.92</v>
      </c>
      <c r="P58" s="402">
        <v>0</v>
      </c>
      <c r="Q58" s="274">
        <v>31417.78</v>
      </c>
      <c r="R58" s="232">
        <f t="shared" si="5"/>
        <v>31417.78</v>
      </c>
      <c r="S58" s="281"/>
    </row>
    <row r="59" spans="1:19">
      <c r="A59" s="272">
        <v>53</v>
      </c>
      <c r="B59" s="78" t="s">
        <v>139</v>
      </c>
      <c r="C59" s="78" t="s">
        <v>881</v>
      </c>
      <c r="D59" s="229">
        <v>0</v>
      </c>
      <c r="E59" s="231">
        <v>12944.24</v>
      </c>
      <c r="F59" s="232">
        <f t="shared" si="6"/>
        <v>12944.24</v>
      </c>
      <c r="G59" s="249">
        <v>12535</v>
      </c>
      <c r="H59" s="241">
        <v>409.23999999999978</v>
      </c>
      <c r="I59" s="231">
        <v>19536.559999999998</v>
      </c>
      <c r="J59" s="232">
        <f t="shared" si="7"/>
        <v>19945.799999999996</v>
      </c>
      <c r="K59" s="281">
        <v>12525.32</v>
      </c>
      <c r="L59" s="232">
        <v>7420.4799999999959</v>
      </c>
      <c r="M59" s="274">
        <v>19877.34</v>
      </c>
      <c r="N59" s="232">
        <f t="shared" si="4"/>
        <v>27297.819999999996</v>
      </c>
      <c r="O59" s="281">
        <v>13814.609999999999</v>
      </c>
      <c r="P59" s="402">
        <v>13483.209999999997</v>
      </c>
      <c r="Q59" s="274">
        <v>21305.05</v>
      </c>
      <c r="R59" s="232">
        <f t="shared" si="5"/>
        <v>34788.259999999995</v>
      </c>
      <c r="S59" s="281"/>
    </row>
    <row r="60" spans="1:19">
      <c r="A60" s="272">
        <v>54</v>
      </c>
      <c r="B60" s="78" t="s">
        <v>141</v>
      </c>
      <c r="C60" s="78" t="s">
        <v>882</v>
      </c>
      <c r="D60" s="229">
        <v>0</v>
      </c>
      <c r="E60" s="231">
        <v>17428.8</v>
      </c>
      <c r="F60" s="232">
        <f t="shared" si="6"/>
        <v>17428.8</v>
      </c>
      <c r="G60" s="249">
        <v>6874.05</v>
      </c>
      <c r="H60" s="241">
        <v>10554.75</v>
      </c>
      <c r="I60" s="231">
        <v>25098.409999999996</v>
      </c>
      <c r="J60" s="232">
        <f t="shared" si="7"/>
        <v>35653.159999999996</v>
      </c>
      <c r="K60" s="281">
        <v>21811.1</v>
      </c>
      <c r="L60" s="232">
        <v>13842.059999999998</v>
      </c>
      <c r="M60" s="274">
        <v>26694.11</v>
      </c>
      <c r="N60" s="232">
        <f t="shared" si="4"/>
        <v>40536.17</v>
      </c>
      <c r="O60" s="281">
        <v>20303.650000000001</v>
      </c>
      <c r="P60" s="402">
        <v>20232.519999999997</v>
      </c>
      <c r="Q60" s="274">
        <v>27265.760000000002</v>
      </c>
      <c r="R60" s="232">
        <f t="shared" si="5"/>
        <v>47498.28</v>
      </c>
      <c r="S60" s="281"/>
    </row>
    <row r="61" spans="1:19">
      <c r="A61" s="272">
        <v>55</v>
      </c>
      <c r="B61" s="78" t="s">
        <v>143</v>
      </c>
      <c r="C61" s="78" t="s">
        <v>883</v>
      </c>
      <c r="D61" s="229">
        <v>1933.5899999999992</v>
      </c>
      <c r="E61" s="231">
        <v>19250.04</v>
      </c>
      <c r="F61" s="232">
        <f t="shared" si="6"/>
        <v>21183.63</v>
      </c>
      <c r="G61" s="249"/>
      <c r="H61" s="241">
        <v>21183.63</v>
      </c>
      <c r="I61" s="231">
        <v>30575.230000000003</v>
      </c>
      <c r="J61" s="232">
        <f t="shared" si="7"/>
        <v>51758.86</v>
      </c>
      <c r="K61" s="281">
        <v>29071.79</v>
      </c>
      <c r="L61" s="232">
        <v>22687.07</v>
      </c>
      <c r="M61" s="274">
        <v>30735.190000000002</v>
      </c>
      <c r="N61" s="232">
        <f t="shared" si="4"/>
        <v>53422.26</v>
      </c>
      <c r="O61" s="281">
        <v>18145.96</v>
      </c>
      <c r="P61" s="402">
        <v>35276.300000000003</v>
      </c>
      <c r="Q61" s="274">
        <v>35640.879999999997</v>
      </c>
      <c r="R61" s="232">
        <f t="shared" si="5"/>
        <v>70917.179999999993</v>
      </c>
      <c r="S61" s="281"/>
    </row>
    <row r="62" spans="1:19">
      <c r="A62" s="272">
        <v>56</v>
      </c>
      <c r="B62" s="78" t="s">
        <v>145</v>
      </c>
      <c r="C62" s="78" t="s">
        <v>884</v>
      </c>
      <c r="D62" s="229">
        <v>714.06000000000017</v>
      </c>
      <c r="E62" s="231">
        <v>2696</v>
      </c>
      <c r="F62" s="232">
        <f t="shared" si="6"/>
        <v>3410.0600000000004</v>
      </c>
      <c r="G62" s="249">
        <v>1224.55</v>
      </c>
      <c r="H62" s="241">
        <v>2185.5100000000002</v>
      </c>
      <c r="I62" s="231">
        <v>4257.3999999999996</v>
      </c>
      <c r="J62" s="232">
        <f t="shared" si="7"/>
        <v>6442.91</v>
      </c>
      <c r="K62" s="281">
        <v>995.04000000000008</v>
      </c>
      <c r="L62" s="232">
        <v>5447.87</v>
      </c>
      <c r="M62" s="274">
        <v>4308.3599999999997</v>
      </c>
      <c r="N62" s="232">
        <f t="shared" si="4"/>
        <v>9756.23</v>
      </c>
      <c r="O62" s="281">
        <v>6181.76</v>
      </c>
      <c r="P62" s="402">
        <v>3574.4699999999993</v>
      </c>
      <c r="Q62" s="274">
        <v>4532.4000000000005</v>
      </c>
      <c r="R62" s="232">
        <f t="shared" si="5"/>
        <v>8106.87</v>
      </c>
      <c r="S62" s="281"/>
    </row>
    <row r="63" spans="1:19">
      <c r="A63" s="272">
        <v>57</v>
      </c>
      <c r="B63" s="78" t="s">
        <v>147</v>
      </c>
      <c r="C63" s="78" t="s">
        <v>885</v>
      </c>
      <c r="D63" s="229">
        <v>1681.08</v>
      </c>
      <c r="E63" s="231">
        <v>32328.100000000002</v>
      </c>
      <c r="F63" s="232">
        <f t="shared" si="6"/>
        <v>34009.18</v>
      </c>
      <c r="G63" s="249">
        <v>34009.18</v>
      </c>
      <c r="H63" s="241">
        <v>0</v>
      </c>
      <c r="I63" s="231">
        <v>44003.079999999994</v>
      </c>
      <c r="J63" s="232">
        <f t="shared" si="7"/>
        <v>44003.079999999994</v>
      </c>
      <c r="K63" s="281">
        <v>44003.079999999994</v>
      </c>
      <c r="L63" s="232">
        <v>0</v>
      </c>
      <c r="M63" s="274">
        <v>51622.81</v>
      </c>
      <c r="N63" s="232">
        <f t="shared" si="4"/>
        <v>51622.81</v>
      </c>
      <c r="O63" s="281">
        <v>51629.02</v>
      </c>
      <c r="P63" s="402">
        <v>0</v>
      </c>
      <c r="Q63" s="274">
        <v>56322.14</v>
      </c>
      <c r="R63" s="232">
        <f t="shared" si="5"/>
        <v>56322.14</v>
      </c>
      <c r="S63" s="281"/>
    </row>
    <row r="64" spans="1:19">
      <c r="A64" s="272">
        <v>58</v>
      </c>
      <c r="B64" s="78" t="s">
        <v>149</v>
      </c>
      <c r="C64" s="78" t="s">
        <v>886</v>
      </c>
      <c r="D64" s="229">
        <v>10465.559999999998</v>
      </c>
      <c r="E64" s="231">
        <v>37829.229999999996</v>
      </c>
      <c r="F64" s="232">
        <f t="shared" si="6"/>
        <v>48294.789999999994</v>
      </c>
      <c r="G64" s="249">
        <v>43495.43</v>
      </c>
      <c r="H64" s="241">
        <v>4799.3599999999933</v>
      </c>
      <c r="I64" s="231">
        <v>54391.880000000005</v>
      </c>
      <c r="J64" s="232">
        <f t="shared" si="7"/>
        <v>59191.24</v>
      </c>
      <c r="K64" s="281">
        <v>57861.09</v>
      </c>
      <c r="L64" s="232">
        <v>1330.1500000000015</v>
      </c>
      <c r="M64" s="274">
        <v>56741.56</v>
      </c>
      <c r="N64" s="232">
        <f t="shared" si="4"/>
        <v>58071.71</v>
      </c>
      <c r="O64" s="281">
        <v>39869</v>
      </c>
      <c r="P64" s="402">
        <v>18202.71</v>
      </c>
      <c r="Q64" s="274">
        <v>62881.27</v>
      </c>
      <c r="R64" s="232">
        <f t="shared" si="5"/>
        <v>81083.98</v>
      </c>
      <c r="S64" s="281"/>
    </row>
    <row r="65" spans="1:19">
      <c r="A65" s="272">
        <v>59</v>
      </c>
      <c r="B65" s="78" t="s">
        <v>151</v>
      </c>
      <c r="C65" s="78" t="s">
        <v>887</v>
      </c>
      <c r="D65" s="229">
        <v>0</v>
      </c>
      <c r="E65" s="231">
        <v>25597.329999999998</v>
      </c>
      <c r="F65" s="232">
        <f t="shared" si="6"/>
        <v>25597.329999999998</v>
      </c>
      <c r="G65" s="249">
        <v>24649.9</v>
      </c>
      <c r="H65" s="241">
        <v>947.42999999999665</v>
      </c>
      <c r="I65" s="231">
        <v>38396.990000000005</v>
      </c>
      <c r="J65" s="232">
        <f t="shared" si="7"/>
        <v>39344.42</v>
      </c>
      <c r="K65" s="281">
        <v>25165.27</v>
      </c>
      <c r="L65" s="232">
        <v>14179.149999999998</v>
      </c>
      <c r="M65" s="274">
        <v>38147.25</v>
      </c>
      <c r="N65" s="232">
        <f t="shared" si="4"/>
        <v>52326.399999999994</v>
      </c>
      <c r="O65" s="281">
        <v>36733.4</v>
      </c>
      <c r="P65" s="402">
        <v>15592.999999999993</v>
      </c>
      <c r="Q65" s="274">
        <v>39625.21</v>
      </c>
      <c r="R65" s="232">
        <f t="shared" si="5"/>
        <v>55218.209999999992</v>
      </c>
      <c r="S65" s="281"/>
    </row>
    <row r="66" spans="1:19">
      <c r="A66" s="272">
        <v>60</v>
      </c>
      <c r="B66" s="78" t="s">
        <v>153</v>
      </c>
      <c r="C66" s="78" t="s">
        <v>888</v>
      </c>
      <c r="D66" s="229">
        <v>18066.010000000002</v>
      </c>
      <c r="E66" s="231">
        <v>129530.28</v>
      </c>
      <c r="F66" s="232">
        <f t="shared" si="6"/>
        <v>147596.29</v>
      </c>
      <c r="G66" s="249">
        <v>92465.66</v>
      </c>
      <c r="H66" s="241">
        <v>55130.630000000005</v>
      </c>
      <c r="I66" s="231">
        <v>178818.81</v>
      </c>
      <c r="J66" s="232">
        <f t="shared" si="7"/>
        <v>233949.44</v>
      </c>
      <c r="K66" s="281">
        <v>216407.81000000003</v>
      </c>
      <c r="L66" s="232">
        <v>17541.629999999976</v>
      </c>
      <c r="M66" s="274">
        <v>182098.92</v>
      </c>
      <c r="N66" s="232">
        <f t="shared" si="4"/>
        <v>199640.55</v>
      </c>
      <c r="O66" s="281">
        <v>133753.06</v>
      </c>
      <c r="P66" s="402">
        <v>65887.489999999991</v>
      </c>
      <c r="Q66" s="274">
        <v>207463.96000000002</v>
      </c>
      <c r="R66" s="232">
        <f t="shared" si="5"/>
        <v>273351.45</v>
      </c>
      <c r="S66" s="281"/>
    </row>
    <row r="67" spans="1:19">
      <c r="A67" s="272">
        <v>61</v>
      </c>
      <c r="B67" s="78" t="s">
        <v>155</v>
      </c>
      <c r="C67" s="78" t="s">
        <v>889</v>
      </c>
      <c r="D67" s="229">
        <v>50242.570000000007</v>
      </c>
      <c r="E67" s="231">
        <v>108904.68000000001</v>
      </c>
      <c r="F67" s="232">
        <f t="shared" si="6"/>
        <v>159147.25</v>
      </c>
      <c r="G67" s="249">
        <v>108964.28</v>
      </c>
      <c r="H67" s="241">
        <v>50182.97</v>
      </c>
      <c r="I67" s="231">
        <v>143940.99</v>
      </c>
      <c r="J67" s="232">
        <f t="shared" si="7"/>
        <v>194123.96</v>
      </c>
      <c r="K67" s="281">
        <v>139972.45000000001</v>
      </c>
      <c r="L67" s="232">
        <v>54151.50999999998</v>
      </c>
      <c r="M67" s="274">
        <v>146618.51999999999</v>
      </c>
      <c r="N67" s="232">
        <f t="shared" si="4"/>
        <v>200770.02999999997</v>
      </c>
      <c r="O67" s="281">
        <v>157425.60999999999</v>
      </c>
      <c r="P67" s="402">
        <v>43344.419999999984</v>
      </c>
      <c r="Q67" s="274">
        <v>164257.54999999999</v>
      </c>
      <c r="R67" s="232">
        <f t="shared" si="5"/>
        <v>207601.96999999997</v>
      </c>
      <c r="S67" s="281"/>
    </row>
    <row r="68" spans="1:19">
      <c r="A68" s="272">
        <v>62</v>
      </c>
      <c r="B68" s="78" t="s">
        <v>157</v>
      </c>
      <c r="C68" s="78" t="s">
        <v>890</v>
      </c>
      <c r="D68" s="229">
        <v>68.2199999999998</v>
      </c>
      <c r="E68" s="231">
        <v>2121.89</v>
      </c>
      <c r="F68" s="232">
        <f t="shared" si="6"/>
        <v>2190.1099999999997</v>
      </c>
      <c r="G68" s="249">
        <v>2000.82</v>
      </c>
      <c r="H68" s="241">
        <v>189.28999999999974</v>
      </c>
      <c r="I68" s="231">
        <v>4013.98</v>
      </c>
      <c r="J68" s="232">
        <f t="shared" si="7"/>
        <v>4203.2699999999995</v>
      </c>
      <c r="K68" s="281">
        <v>3836.08</v>
      </c>
      <c r="L68" s="232">
        <v>367.1899999999996</v>
      </c>
      <c r="M68" s="274">
        <v>3704.07</v>
      </c>
      <c r="N68" s="232">
        <f t="shared" si="4"/>
        <v>4071.2599999999998</v>
      </c>
      <c r="O68" s="281">
        <v>3332.4</v>
      </c>
      <c r="P68" s="402">
        <v>738.85999999999967</v>
      </c>
      <c r="Q68" s="274">
        <v>3682.1000000000004</v>
      </c>
      <c r="R68" s="232">
        <f t="shared" si="5"/>
        <v>4420.96</v>
      </c>
      <c r="S68" s="281"/>
    </row>
    <row r="69" spans="1:19">
      <c r="A69" s="272">
        <v>63</v>
      </c>
      <c r="B69" s="78" t="s">
        <v>159</v>
      </c>
      <c r="C69" s="78" t="s">
        <v>1357</v>
      </c>
      <c r="D69" s="229">
        <v>18394.209999999992</v>
      </c>
      <c r="E69" s="231">
        <v>249792.84000000003</v>
      </c>
      <c r="F69" s="232">
        <f t="shared" si="6"/>
        <v>268187.05000000005</v>
      </c>
      <c r="G69" s="249">
        <v>266703.15999999997</v>
      </c>
      <c r="H69" s="241">
        <v>1483.8900000000722</v>
      </c>
      <c r="I69" s="231">
        <v>315777.56</v>
      </c>
      <c r="J69" s="232">
        <f t="shared" si="7"/>
        <v>317261.45000000007</v>
      </c>
      <c r="K69" s="281">
        <v>316914.93</v>
      </c>
      <c r="L69" s="232">
        <v>346.52000000007683</v>
      </c>
      <c r="M69" s="274">
        <v>324479.31</v>
      </c>
      <c r="N69" s="232">
        <f t="shared" si="4"/>
        <v>324825.83000000007</v>
      </c>
      <c r="O69" s="281">
        <v>418581.70000000007</v>
      </c>
      <c r="P69" s="402">
        <v>0</v>
      </c>
      <c r="Q69" s="274">
        <v>354027.85</v>
      </c>
      <c r="R69" s="232">
        <f t="shared" si="5"/>
        <v>354027.85</v>
      </c>
      <c r="S69" s="281"/>
    </row>
    <row r="70" spans="1:19">
      <c r="A70" s="272">
        <v>64</v>
      </c>
      <c r="B70" s="78" t="s">
        <v>161</v>
      </c>
      <c r="C70" s="78" t="s">
        <v>1358</v>
      </c>
      <c r="D70" s="229">
        <v>0</v>
      </c>
      <c r="E70" s="231">
        <v>209237.50999999995</v>
      </c>
      <c r="F70" s="232">
        <f t="shared" si="6"/>
        <v>209237.50999999995</v>
      </c>
      <c r="G70" s="249">
        <v>179658.9</v>
      </c>
      <c r="H70" s="241">
        <v>29578.609999999957</v>
      </c>
      <c r="I70" s="231">
        <v>299349.55</v>
      </c>
      <c r="J70" s="232">
        <f t="shared" si="7"/>
        <v>328928.15999999992</v>
      </c>
      <c r="K70" s="281">
        <v>299198.38000000006</v>
      </c>
      <c r="L70" s="232">
        <v>29729.779999999853</v>
      </c>
      <c r="M70" s="274">
        <v>315312.09999999998</v>
      </c>
      <c r="N70" s="232">
        <f t="shared" si="4"/>
        <v>345041.87999999983</v>
      </c>
      <c r="O70" s="281">
        <v>296746.21000000002</v>
      </c>
      <c r="P70" s="402">
        <v>48295.669999999809</v>
      </c>
      <c r="Q70" s="274">
        <v>345469.72000000003</v>
      </c>
      <c r="R70" s="232">
        <f t="shared" si="5"/>
        <v>393765.38999999984</v>
      </c>
      <c r="S70" s="281"/>
    </row>
    <row r="71" spans="1:19">
      <c r="A71" s="272">
        <v>65</v>
      </c>
      <c r="B71" s="78" t="s">
        <v>163</v>
      </c>
      <c r="C71" s="78" t="s">
        <v>894</v>
      </c>
      <c r="D71" s="229">
        <v>5391.5899999999674</v>
      </c>
      <c r="E71" s="231">
        <v>387248.47</v>
      </c>
      <c r="F71" s="232">
        <f t="shared" ref="F71:F86" si="8">+D71+E71</f>
        <v>392640.05999999994</v>
      </c>
      <c r="G71" s="249">
        <v>497864.82</v>
      </c>
      <c r="H71" s="241">
        <v>0</v>
      </c>
      <c r="I71" s="231">
        <v>533307.26</v>
      </c>
      <c r="J71" s="232">
        <f t="shared" ref="J71:J86" si="9">+H71+I71</f>
        <v>533307.26</v>
      </c>
      <c r="K71" s="281">
        <v>572063.48000000021</v>
      </c>
      <c r="L71" s="232">
        <v>0</v>
      </c>
      <c r="M71" s="274">
        <v>544146.74</v>
      </c>
      <c r="N71" s="232">
        <f t="shared" ref="N71:N134" si="10">+L71+M71</f>
        <v>544146.74</v>
      </c>
      <c r="O71" s="281">
        <v>555141.57999999996</v>
      </c>
      <c r="P71" s="402">
        <v>0</v>
      </c>
      <c r="Q71" s="274">
        <v>591453.89999999991</v>
      </c>
      <c r="R71" s="232">
        <f t="shared" ref="R71:R134" si="11">+P71+Q71</f>
        <v>591453.89999999991</v>
      </c>
      <c r="S71" s="281"/>
    </row>
    <row r="72" spans="1:19">
      <c r="A72" s="272">
        <v>66</v>
      </c>
      <c r="B72" s="78" t="s">
        <v>165</v>
      </c>
      <c r="C72" s="78" t="s">
        <v>895</v>
      </c>
      <c r="D72" s="229">
        <v>2286.1000000000004</v>
      </c>
      <c r="E72" s="231">
        <v>13067.74</v>
      </c>
      <c r="F72" s="232">
        <f t="shared" si="8"/>
        <v>15353.84</v>
      </c>
      <c r="G72" s="249">
        <v>12684.06</v>
      </c>
      <c r="H72" s="241">
        <v>2669.7800000000007</v>
      </c>
      <c r="I72" s="231">
        <v>19633.84</v>
      </c>
      <c r="J72" s="232">
        <f t="shared" si="9"/>
        <v>22303.620000000003</v>
      </c>
      <c r="K72" s="281">
        <v>12301.02</v>
      </c>
      <c r="L72" s="232">
        <v>10002.600000000002</v>
      </c>
      <c r="M72" s="274">
        <v>19771.849999999999</v>
      </c>
      <c r="N72" s="232">
        <f t="shared" si="10"/>
        <v>29774.45</v>
      </c>
      <c r="O72" s="281">
        <v>5567.92</v>
      </c>
      <c r="P72" s="402">
        <v>24206.53</v>
      </c>
      <c r="Q72" s="274">
        <v>21056.86</v>
      </c>
      <c r="R72" s="232">
        <f t="shared" si="11"/>
        <v>45263.39</v>
      </c>
      <c r="S72" s="281"/>
    </row>
    <row r="73" spans="1:19">
      <c r="A73" s="272">
        <v>67</v>
      </c>
      <c r="B73" s="78" t="s">
        <v>167</v>
      </c>
      <c r="C73" s="78" t="s">
        <v>896</v>
      </c>
      <c r="D73" s="229">
        <v>0</v>
      </c>
      <c r="E73" s="231">
        <v>111628.41</v>
      </c>
      <c r="F73" s="232">
        <f t="shared" si="8"/>
        <v>111628.41</v>
      </c>
      <c r="G73" s="249">
        <v>84500.97</v>
      </c>
      <c r="H73" s="241">
        <v>27127.440000000002</v>
      </c>
      <c r="I73" s="231">
        <v>147550.76999999999</v>
      </c>
      <c r="J73" s="232">
        <f t="shared" si="9"/>
        <v>174678.21</v>
      </c>
      <c r="K73" s="281">
        <v>178649.71999999997</v>
      </c>
      <c r="L73" s="232">
        <v>0</v>
      </c>
      <c r="M73" s="274">
        <v>158043.58000000002</v>
      </c>
      <c r="N73" s="232">
        <f t="shared" si="10"/>
        <v>158043.58000000002</v>
      </c>
      <c r="O73" s="281">
        <v>173640.13</v>
      </c>
      <c r="P73" s="402">
        <v>0</v>
      </c>
      <c r="Q73" s="274">
        <v>182508.17</v>
      </c>
      <c r="R73" s="232">
        <f t="shared" si="11"/>
        <v>182508.17</v>
      </c>
      <c r="S73" s="281"/>
    </row>
    <row r="74" spans="1:19">
      <c r="A74" s="272">
        <v>68</v>
      </c>
      <c r="B74" s="78" t="s">
        <v>169</v>
      </c>
      <c r="C74" s="78" t="s">
        <v>897</v>
      </c>
      <c r="D74" s="229">
        <v>110028.19000000006</v>
      </c>
      <c r="E74" s="231">
        <v>1495761.0499999998</v>
      </c>
      <c r="F74" s="232">
        <f t="shared" si="8"/>
        <v>1605789.2399999998</v>
      </c>
      <c r="G74" s="249">
        <v>1251673.6000000001</v>
      </c>
      <c r="H74" s="241">
        <v>354115.63999999966</v>
      </c>
      <c r="I74" s="231">
        <v>2148434.23</v>
      </c>
      <c r="J74" s="232">
        <f t="shared" si="9"/>
        <v>2502549.8699999996</v>
      </c>
      <c r="K74" s="281">
        <v>2148434.23</v>
      </c>
      <c r="L74" s="232">
        <v>354115.63999999966</v>
      </c>
      <c r="M74" s="274">
        <v>2149894.5299999998</v>
      </c>
      <c r="N74" s="232">
        <f t="shared" si="10"/>
        <v>2504010.1699999995</v>
      </c>
      <c r="O74" s="281">
        <v>2148926.35</v>
      </c>
      <c r="P74" s="402">
        <v>355083.81999999937</v>
      </c>
      <c r="Q74" s="274">
        <v>2304116.17</v>
      </c>
      <c r="R74" s="232">
        <f t="shared" si="11"/>
        <v>2659199.9899999993</v>
      </c>
      <c r="S74" s="281"/>
    </row>
    <row r="75" spans="1:19">
      <c r="A75" s="272">
        <v>69</v>
      </c>
      <c r="B75" s="78" t="s">
        <v>171</v>
      </c>
      <c r="C75" s="78" t="s">
        <v>898</v>
      </c>
      <c r="D75" s="229">
        <v>0</v>
      </c>
      <c r="E75" s="231">
        <v>200581.93999999997</v>
      </c>
      <c r="F75" s="232">
        <f t="shared" si="8"/>
        <v>200581.93999999997</v>
      </c>
      <c r="G75" s="249">
        <v>223711.22</v>
      </c>
      <c r="H75" s="241">
        <v>0</v>
      </c>
      <c r="I75" s="231">
        <v>275833.46999999997</v>
      </c>
      <c r="J75" s="232">
        <f t="shared" si="9"/>
        <v>275833.46999999997</v>
      </c>
      <c r="K75" s="281">
        <v>247822.90000000005</v>
      </c>
      <c r="L75" s="232">
        <v>28010.56999999992</v>
      </c>
      <c r="M75" s="274">
        <v>288375.72000000003</v>
      </c>
      <c r="N75" s="232">
        <f t="shared" si="10"/>
        <v>316386.28999999992</v>
      </c>
      <c r="O75" s="281">
        <v>280499.61</v>
      </c>
      <c r="P75" s="402">
        <v>35886.679999999935</v>
      </c>
      <c r="Q75" s="274">
        <v>310588.04000000004</v>
      </c>
      <c r="R75" s="232">
        <f t="shared" si="11"/>
        <v>346474.72</v>
      </c>
      <c r="S75" s="281"/>
    </row>
    <row r="76" spans="1:19">
      <c r="A76" s="272">
        <v>70</v>
      </c>
      <c r="B76" s="78" t="s">
        <v>173</v>
      </c>
      <c r="C76" s="78" t="s">
        <v>899</v>
      </c>
      <c r="D76" s="229">
        <v>0</v>
      </c>
      <c r="E76" s="231">
        <v>106526.43000000001</v>
      </c>
      <c r="F76" s="232">
        <f t="shared" si="8"/>
        <v>106526.43000000001</v>
      </c>
      <c r="G76" s="249">
        <v>100421.02</v>
      </c>
      <c r="H76" s="241">
        <v>6105.4100000000035</v>
      </c>
      <c r="I76" s="231">
        <v>150672.45000000001</v>
      </c>
      <c r="J76" s="232">
        <f t="shared" si="9"/>
        <v>156777.86000000002</v>
      </c>
      <c r="K76" s="281">
        <v>149811.79</v>
      </c>
      <c r="L76" s="232">
        <v>6966.070000000007</v>
      </c>
      <c r="M76" s="274">
        <v>154013.63</v>
      </c>
      <c r="N76" s="232">
        <f t="shared" si="10"/>
        <v>160979.70000000001</v>
      </c>
      <c r="O76" s="281">
        <v>141429.46</v>
      </c>
      <c r="P76" s="402">
        <v>19550.24000000002</v>
      </c>
      <c r="Q76" s="274">
        <v>175382.52</v>
      </c>
      <c r="R76" s="232">
        <f t="shared" si="11"/>
        <v>194932.76</v>
      </c>
      <c r="S76" s="281"/>
    </row>
    <row r="77" spans="1:19">
      <c r="A77" s="272">
        <v>71</v>
      </c>
      <c r="B77" s="78" t="s">
        <v>175</v>
      </c>
      <c r="C77" s="78" t="s">
        <v>900</v>
      </c>
      <c r="D77" s="229">
        <v>764.97000000000025</v>
      </c>
      <c r="E77" s="231">
        <v>12553.25</v>
      </c>
      <c r="F77" s="232">
        <f t="shared" si="8"/>
        <v>13318.220000000001</v>
      </c>
      <c r="G77" s="249">
        <v>13381.05</v>
      </c>
      <c r="H77" s="241">
        <v>0</v>
      </c>
      <c r="I77" s="231">
        <v>19254.27</v>
      </c>
      <c r="J77" s="232">
        <f t="shared" si="9"/>
        <v>19254.27</v>
      </c>
      <c r="K77" s="281">
        <v>19076.599999999999</v>
      </c>
      <c r="L77" s="232">
        <v>177.67000000000189</v>
      </c>
      <c r="M77" s="274">
        <v>19422.939999999999</v>
      </c>
      <c r="N77" s="232">
        <f t="shared" si="10"/>
        <v>19600.61</v>
      </c>
      <c r="O77" s="281">
        <v>23947.760000000002</v>
      </c>
      <c r="P77" s="402">
        <v>0</v>
      </c>
      <c r="Q77" s="274">
        <v>20504.09</v>
      </c>
      <c r="R77" s="232">
        <f t="shared" si="11"/>
        <v>20504.09</v>
      </c>
      <c r="S77" s="281"/>
    </row>
    <row r="78" spans="1:19">
      <c r="A78" s="272">
        <v>72</v>
      </c>
      <c r="B78" s="78" t="s">
        <v>177</v>
      </c>
      <c r="C78" s="78" t="s">
        <v>901</v>
      </c>
      <c r="D78" s="229">
        <v>879.10000000000218</v>
      </c>
      <c r="E78" s="231">
        <v>25870.42</v>
      </c>
      <c r="F78" s="232">
        <f t="shared" si="8"/>
        <v>26749.52</v>
      </c>
      <c r="G78" s="249">
        <v>27298.21</v>
      </c>
      <c r="H78" s="241">
        <v>0</v>
      </c>
      <c r="I78" s="231">
        <v>39254.080000000002</v>
      </c>
      <c r="J78" s="232">
        <f t="shared" si="9"/>
        <v>39254.080000000002</v>
      </c>
      <c r="K78" s="281">
        <v>33610.47</v>
      </c>
      <c r="L78" s="232">
        <v>5643.6100000000006</v>
      </c>
      <c r="M78" s="274">
        <v>40955.26</v>
      </c>
      <c r="N78" s="232">
        <f t="shared" si="10"/>
        <v>46598.87</v>
      </c>
      <c r="O78" s="281">
        <v>32834.230000000003</v>
      </c>
      <c r="P78" s="402">
        <v>13764.64</v>
      </c>
      <c r="Q78" s="274">
        <v>45510.19</v>
      </c>
      <c r="R78" s="232">
        <f t="shared" si="11"/>
        <v>59274.83</v>
      </c>
      <c r="S78" s="281"/>
    </row>
    <row r="79" spans="1:19">
      <c r="A79" s="272">
        <v>73</v>
      </c>
      <c r="B79" s="78" t="s">
        <v>179</v>
      </c>
      <c r="C79" s="78" t="s">
        <v>902</v>
      </c>
      <c r="D79" s="229">
        <v>77504.13</v>
      </c>
      <c r="E79" s="231">
        <v>293751.14</v>
      </c>
      <c r="F79" s="232">
        <f t="shared" si="8"/>
        <v>371255.27</v>
      </c>
      <c r="G79" s="249">
        <v>233052.25</v>
      </c>
      <c r="H79" s="241">
        <v>138203.02000000002</v>
      </c>
      <c r="I79" s="231">
        <v>419949.57999999996</v>
      </c>
      <c r="J79" s="232">
        <f t="shared" si="9"/>
        <v>558152.6</v>
      </c>
      <c r="K79" s="281">
        <v>371398.67000000004</v>
      </c>
      <c r="L79" s="232">
        <v>186753.92999999993</v>
      </c>
      <c r="M79" s="274">
        <v>438004.43</v>
      </c>
      <c r="N79" s="232">
        <f t="shared" si="10"/>
        <v>624758.35999999987</v>
      </c>
      <c r="O79" s="281">
        <v>394147.49000000005</v>
      </c>
      <c r="P79" s="402">
        <v>230610.86999999982</v>
      </c>
      <c r="Q79" s="274">
        <v>486490.75</v>
      </c>
      <c r="R79" s="232">
        <f t="shared" si="11"/>
        <v>717101.61999999988</v>
      </c>
      <c r="S79" s="281"/>
    </row>
    <row r="80" spans="1:19">
      <c r="A80" s="272">
        <v>74</v>
      </c>
      <c r="B80" s="78" t="s">
        <v>181</v>
      </c>
      <c r="C80" s="78" t="s">
        <v>903</v>
      </c>
      <c r="D80" s="229">
        <v>0</v>
      </c>
      <c r="E80" s="231">
        <v>170427.08</v>
      </c>
      <c r="F80" s="232">
        <f t="shared" si="8"/>
        <v>170427.08</v>
      </c>
      <c r="G80" s="249">
        <v>170427.08</v>
      </c>
      <c r="H80" s="241">
        <v>0</v>
      </c>
      <c r="I80" s="231">
        <v>254721.88</v>
      </c>
      <c r="J80" s="232">
        <f t="shared" si="9"/>
        <v>254721.88</v>
      </c>
      <c r="K80" s="281">
        <v>245876.41000000006</v>
      </c>
      <c r="L80" s="232">
        <v>8845.469999999943</v>
      </c>
      <c r="M80" s="274">
        <v>255693.59999999998</v>
      </c>
      <c r="N80" s="232">
        <f t="shared" si="10"/>
        <v>264539.06999999995</v>
      </c>
      <c r="O80" s="281">
        <v>264539.07</v>
      </c>
      <c r="P80" s="402">
        <v>0</v>
      </c>
      <c r="Q80" s="274">
        <v>279159.19999999995</v>
      </c>
      <c r="R80" s="232">
        <f t="shared" si="11"/>
        <v>279159.19999999995</v>
      </c>
      <c r="S80" s="281"/>
    </row>
    <row r="81" spans="1:19">
      <c r="A81" s="272">
        <v>75</v>
      </c>
      <c r="B81" s="234" t="s">
        <v>183</v>
      </c>
      <c r="C81" s="273" t="s">
        <v>904</v>
      </c>
      <c r="D81" s="229">
        <v>0</v>
      </c>
      <c r="E81" s="231"/>
      <c r="F81" s="232">
        <f t="shared" si="8"/>
        <v>0</v>
      </c>
      <c r="G81" s="249"/>
      <c r="H81" s="240">
        <v>0</v>
      </c>
      <c r="I81" s="231"/>
      <c r="J81" s="232">
        <f t="shared" si="9"/>
        <v>0</v>
      </c>
      <c r="K81" s="281"/>
      <c r="L81" s="232">
        <v>0</v>
      </c>
      <c r="M81" s="274"/>
      <c r="N81" s="232">
        <f t="shared" si="10"/>
        <v>0</v>
      </c>
      <c r="O81" s="91"/>
      <c r="P81"/>
      <c r="Q81" s="274"/>
      <c r="R81" s="232">
        <f t="shared" si="11"/>
        <v>0</v>
      </c>
      <c r="S81" s="281"/>
    </row>
    <row r="82" spans="1:19">
      <c r="A82" s="272">
        <v>76</v>
      </c>
      <c r="B82" s="78" t="s">
        <v>185</v>
      </c>
      <c r="C82" s="273" t="s">
        <v>905</v>
      </c>
      <c r="D82" s="229">
        <v>0</v>
      </c>
      <c r="E82" s="231"/>
      <c r="F82" s="232">
        <f t="shared" si="8"/>
        <v>0</v>
      </c>
      <c r="G82" s="249"/>
      <c r="H82" s="240">
        <v>0</v>
      </c>
      <c r="I82" s="231"/>
      <c r="J82" s="232">
        <f t="shared" si="9"/>
        <v>0</v>
      </c>
      <c r="K82" s="281"/>
      <c r="L82" s="232">
        <v>0</v>
      </c>
      <c r="M82" s="274"/>
      <c r="N82" s="232">
        <f t="shared" si="10"/>
        <v>0</v>
      </c>
      <c r="O82" s="91"/>
      <c r="P82"/>
      <c r="Q82" s="274"/>
      <c r="R82" s="232">
        <f t="shared" si="11"/>
        <v>0</v>
      </c>
      <c r="S82" s="281"/>
    </row>
    <row r="83" spans="1:19">
      <c r="A83" s="272">
        <v>77</v>
      </c>
      <c r="B83" s="234" t="s">
        <v>187</v>
      </c>
      <c r="C83" s="273" t="s">
        <v>906</v>
      </c>
      <c r="D83" s="229">
        <v>0</v>
      </c>
      <c r="E83" s="231"/>
      <c r="F83" s="232">
        <f t="shared" si="8"/>
        <v>0</v>
      </c>
      <c r="G83" s="249"/>
      <c r="H83" s="240">
        <v>0</v>
      </c>
      <c r="I83" s="231"/>
      <c r="J83" s="232">
        <f t="shared" si="9"/>
        <v>0</v>
      </c>
      <c r="K83" s="281"/>
      <c r="L83" s="232">
        <v>0</v>
      </c>
      <c r="M83" s="274"/>
      <c r="N83" s="232">
        <f t="shared" si="10"/>
        <v>0</v>
      </c>
      <c r="O83" s="91"/>
      <c r="P83"/>
      <c r="Q83" s="274"/>
      <c r="R83" s="232">
        <f t="shared" si="11"/>
        <v>0</v>
      </c>
      <c r="S83" s="281"/>
    </row>
    <row r="84" spans="1:19">
      <c r="A84" s="272">
        <v>78</v>
      </c>
      <c r="B84" s="234" t="s">
        <v>189</v>
      </c>
      <c r="C84" s="273" t="s">
        <v>907</v>
      </c>
      <c r="D84" s="229">
        <v>0</v>
      </c>
      <c r="E84" s="231"/>
      <c r="F84" s="232">
        <f t="shared" si="8"/>
        <v>0</v>
      </c>
      <c r="G84" s="249"/>
      <c r="H84" s="240">
        <v>0</v>
      </c>
      <c r="I84" s="231"/>
      <c r="J84" s="232">
        <f t="shared" si="9"/>
        <v>0</v>
      </c>
      <c r="K84" s="281"/>
      <c r="L84" s="232">
        <v>0</v>
      </c>
      <c r="M84" s="274"/>
      <c r="N84" s="232">
        <f t="shared" si="10"/>
        <v>0</v>
      </c>
      <c r="O84" s="91"/>
      <c r="P84"/>
      <c r="Q84" s="274"/>
      <c r="R84" s="232">
        <f t="shared" si="11"/>
        <v>0</v>
      </c>
      <c r="S84" s="281"/>
    </row>
    <row r="85" spans="1:19">
      <c r="A85" s="272">
        <v>79</v>
      </c>
      <c r="B85" s="78" t="s">
        <v>191</v>
      </c>
      <c r="C85" s="273" t="s">
        <v>1359</v>
      </c>
      <c r="D85" s="229">
        <v>0</v>
      </c>
      <c r="E85" s="231"/>
      <c r="F85" s="232">
        <f t="shared" si="8"/>
        <v>0</v>
      </c>
      <c r="G85" s="249"/>
      <c r="H85" s="240">
        <v>0</v>
      </c>
      <c r="I85" s="231"/>
      <c r="J85" s="232">
        <f t="shared" si="9"/>
        <v>0</v>
      </c>
      <c r="K85" s="281"/>
      <c r="L85" s="232">
        <v>0</v>
      </c>
      <c r="M85" s="274"/>
      <c r="N85" s="232">
        <f t="shared" si="10"/>
        <v>0</v>
      </c>
      <c r="O85" s="91"/>
      <c r="P85"/>
      <c r="Q85" s="274"/>
      <c r="R85" s="232">
        <f t="shared" si="11"/>
        <v>0</v>
      </c>
      <c r="S85" s="281"/>
    </row>
    <row r="86" spans="1:19">
      <c r="A86" s="272">
        <v>80</v>
      </c>
      <c r="B86" s="234" t="s">
        <v>193</v>
      </c>
      <c r="C86" s="273" t="s">
        <v>1360</v>
      </c>
      <c r="D86" s="229">
        <v>0</v>
      </c>
      <c r="E86" s="231"/>
      <c r="F86" s="232">
        <f t="shared" si="8"/>
        <v>0</v>
      </c>
      <c r="G86" s="249"/>
      <c r="H86" s="240">
        <v>0</v>
      </c>
      <c r="I86" s="231"/>
      <c r="J86" s="232">
        <f t="shared" si="9"/>
        <v>0</v>
      </c>
      <c r="K86" s="281"/>
      <c r="L86" s="232">
        <v>0</v>
      </c>
      <c r="M86" s="274"/>
      <c r="N86" s="232">
        <f t="shared" si="10"/>
        <v>0</v>
      </c>
      <c r="O86" s="91"/>
      <c r="P86"/>
      <c r="Q86" s="274"/>
      <c r="R86" s="232">
        <f t="shared" si="11"/>
        <v>0</v>
      </c>
      <c r="S86" s="281"/>
    </row>
    <row r="87" spans="1:19">
      <c r="A87" s="272">
        <v>81</v>
      </c>
      <c r="B87" s="234" t="s">
        <v>195</v>
      </c>
      <c r="C87" s="273" t="s">
        <v>1361</v>
      </c>
      <c r="D87" s="229"/>
      <c r="E87" s="231"/>
      <c r="F87" s="232"/>
      <c r="G87" s="249"/>
      <c r="H87" s="240"/>
      <c r="I87" s="231"/>
      <c r="J87" s="232"/>
      <c r="K87" s="281"/>
      <c r="L87" s="232">
        <v>0</v>
      </c>
      <c r="M87" s="274"/>
      <c r="N87" s="232">
        <f t="shared" si="10"/>
        <v>0</v>
      </c>
      <c r="O87" s="91"/>
      <c r="P87"/>
      <c r="Q87" s="274"/>
      <c r="R87" s="232">
        <f t="shared" si="11"/>
        <v>0</v>
      </c>
      <c r="S87" s="281"/>
    </row>
    <row r="88" spans="1:19">
      <c r="A88" s="272">
        <v>82</v>
      </c>
      <c r="B88" s="234" t="s">
        <v>197</v>
      </c>
      <c r="C88" s="273" t="s">
        <v>911</v>
      </c>
      <c r="D88" s="229"/>
      <c r="E88" s="231"/>
      <c r="F88" s="232"/>
      <c r="G88" s="249"/>
      <c r="H88" s="240"/>
      <c r="I88" s="231"/>
      <c r="J88" s="232"/>
      <c r="K88" s="281"/>
      <c r="L88" s="232">
        <v>0</v>
      </c>
      <c r="M88" s="274"/>
      <c r="N88" s="232">
        <f t="shared" si="10"/>
        <v>0</v>
      </c>
      <c r="O88" s="91"/>
      <c r="P88"/>
      <c r="Q88" s="274"/>
      <c r="R88" s="232">
        <f t="shared" si="11"/>
        <v>0</v>
      </c>
      <c r="S88" s="281"/>
    </row>
    <row r="89" spans="1:19">
      <c r="A89" s="272">
        <v>83</v>
      </c>
      <c r="B89" s="234" t="s">
        <v>199</v>
      </c>
      <c r="C89" s="273" t="s">
        <v>912</v>
      </c>
      <c r="D89" s="229"/>
      <c r="E89" s="231"/>
      <c r="F89" s="232"/>
      <c r="G89" s="249"/>
      <c r="H89" s="240"/>
      <c r="I89" s="231"/>
      <c r="J89" s="232"/>
      <c r="K89" s="281"/>
      <c r="L89" s="232">
        <v>0</v>
      </c>
      <c r="M89" s="274"/>
      <c r="N89" s="232">
        <f t="shared" si="10"/>
        <v>0</v>
      </c>
      <c r="O89" s="91"/>
      <c r="P89"/>
      <c r="Q89" s="274"/>
      <c r="R89" s="232">
        <f t="shared" si="11"/>
        <v>0</v>
      </c>
      <c r="S89" s="281"/>
    </row>
    <row r="90" spans="1:19">
      <c r="A90" s="272">
        <v>84</v>
      </c>
      <c r="B90" s="78" t="s">
        <v>201</v>
      </c>
      <c r="C90" s="273" t="s">
        <v>1362</v>
      </c>
      <c r="D90" s="229"/>
      <c r="E90" s="231"/>
      <c r="F90" s="232"/>
      <c r="G90" s="249"/>
      <c r="H90" s="240"/>
      <c r="I90" s="231"/>
      <c r="J90" s="232"/>
      <c r="K90" s="281"/>
      <c r="L90" s="232">
        <v>0</v>
      </c>
      <c r="M90" s="274"/>
      <c r="N90" s="232">
        <f t="shared" si="10"/>
        <v>0</v>
      </c>
      <c r="O90" s="91"/>
      <c r="P90"/>
      <c r="Q90" s="274"/>
      <c r="R90" s="232">
        <f t="shared" si="11"/>
        <v>0</v>
      </c>
      <c r="S90" s="281"/>
    </row>
    <row r="91" spans="1:19">
      <c r="A91" s="272">
        <v>85</v>
      </c>
      <c r="B91" s="78" t="s">
        <v>203</v>
      </c>
      <c r="C91" s="78" t="s">
        <v>914</v>
      </c>
      <c r="D91" s="229">
        <v>0</v>
      </c>
      <c r="E91" s="231">
        <v>4173.6900000000005</v>
      </c>
      <c r="F91" s="232">
        <f t="shared" ref="F91:F117" si="12">+D91+E91</f>
        <v>4173.6900000000005</v>
      </c>
      <c r="G91" s="249">
        <v>5319.9</v>
      </c>
      <c r="H91" s="241">
        <v>0</v>
      </c>
      <c r="I91" s="231">
        <v>6343.1299999999992</v>
      </c>
      <c r="J91" s="232">
        <f t="shared" ref="J91:J117" si="13">+H91+I91</f>
        <v>6343.1299999999992</v>
      </c>
      <c r="K91" s="281">
        <v>4726.04</v>
      </c>
      <c r="L91" s="232">
        <v>1617.0899999999992</v>
      </c>
      <c r="M91" s="274">
        <v>4964.25</v>
      </c>
      <c r="N91" s="232">
        <f t="shared" si="10"/>
        <v>6581.3399999999992</v>
      </c>
      <c r="O91" s="281">
        <v>6554.11</v>
      </c>
      <c r="P91" s="402">
        <v>27.229999999999563</v>
      </c>
      <c r="Q91" s="274">
        <v>6162.79</v>
      </c>
      <c r="R91" s="232">
        <f t="shared" si="11"/>
        <v>6190.0199999999995</v>
      </c>
      <c r="S91" s="281"/>
    </row>
    <row r="92" spans="1:19">
      <c r="A92" s="272">
        <v>86</v>
      </c>
      <c r="B92" s="78" t="s">
        <v>205</v>
      </c>
      <c r="C92" s="78" t="s">
        <v>915</v>
      </c>
      <c r="D92" s="229">
        <v>177452.33000000019</v>
      </c>
      <c r="E92" s="231">
        <v>1596736.03</v>
      </c>
      <c r="F92" s="232">
        <f t="shared" si="12"/>
        <v>1774188.3600000003</v>
      </c>
      <c r="G92" s="249">
        <v>2060807.97</v>
      </c>
      <c r="H92" s="241">
        <v>0</v>
      </c>
      <c r="I92" s="231">
        <v>2237790.2799999998</v>
      </c>
      <c r="J92" s="232">
        <f t="shared" si="13"/>
        <v>2237790.2799999998</v>
      </c>
      <c r="K92" s="281">
        <v>2078693.1300000004</v>
      </c>
      <c r="L92" s="232">
        <v>159097.14999999944</v>
      </c>
      <c r="M92" s="274">
        <v>2242836.91</v>
      </c>
      <c r="N92" s="232">
        <f t="shared" si="10"/>
        <v>2401934.0599999996</v>
      </c>
      <c r="O92" s="281">
        <v>2038303.22</v>
      </c>
      <c r="P92" s="402">
        <v>363630.83999999962</v>
      </c>
      <c r="Q92" s="274">
        <v>2405089.75</v>
      </c>
      <c r="R92" s="232">
        <f t="shared" si="11"/>
        <v>2768720.59</v>
      </c>
      <c r="S92" s="281"/>
    </row>
    <row r="93" spans="1:19">
      <c r="A93" s="272">
        <v>87</v>
      </c>
      <c r="B93" s="78" t="s">
        <v>207</v>
      </c>
      <c r="C93" s="78" t="s">
        <v>1363</v>
      </c>
      <c r="D93" s="229">
        <v>144749.91999999969</v>
      </c>
      <c r="E93" s="231">
        <v>1706088.6999999997</v>
      </c>
      <c r="F93" s="232">
        <f t="shared" si="12"/>
        <v>1850838.6199999994</v>
      </c>
      <c r="G93" s="249">
        <v>1202621.1100000001</v>
      </c>
      <c r="H93" s="241">
        <v>648217.50999999931</v>
      </c>
      <c r="I93" s="231">
        <v>2385497.5200000005</v>
      </c>
      <c r="J93" s="232">
        <f t="shared" si="13"/>
        <v>3033715.03</v>
      </c>
      <c r="K93" s="281">
        <v>2401826.7399999993</v>
      </c>
      <c r="L93" s="232">
        <v>631888.2900000005</v>
      </c>
      <c r="M93" s="274">
        <v>2313360.0499999998</v>
      </c>
      <c r="N93" s="232">
        <f t="shared" si="10"/>
        <v>2945248.3400000003</v>
      </c>
      <c r="O93" s="281">
        <v>3346936.4000000004</v>
      </c>
      <c r="P93" s="402">
        <v>0</v>
      </c>
      <c r="Q93" s="274">
        <v>2530760.19</v>
      </c>
      <c r="R93" s="232">
        <f t="shared" si="11"/>
        <v>2530760.19</v>
      </c>
      <c r="S93" s="281"/>
    </row>
    <row r="94" spans="1:19">
      <c r="A94" s="272">
        <v>88</v>
      </c>
      <c r="B94" s="78" t="s">
        <v>209</v>
      </c>
      <c r="C94" s="78" t="s">
        <v>1364</v>
      </c>
      <c r="D94" s="229">
        <v>0</v>
      </c>
      <c r="E94" s="231">
        <v>2845.8999999999996</v>
      </c>
      <c r="F94" s="232">
        <f t="shared" si="12"/>
        <v>2845.8999999999996</v>
      </c>
      <c r="G94" s="249">
        <v>2859.67</v>
      </c>
      <c r="H94" s="241">
        <v>0</v>
      </c>
      <c r="I94" s="231">
        <v>4318.3999999999996</v>
      </c>
      <c r="J94" s="232">
        <f t="shared" si="13"/>
        <v>4318.3999999999996</v>
      </c>
      <c r="K94" s="281">
        <v>5664.46</v>
      </c>
      <c r="L94" s="232">
        <v>0</v>
      </c>
      <c r="M94" s="274">
        <v>4354.3599999999997</v>
      </c>
      <c r="N94" s="232">
        <f t="shared" si="10"/>
        <v>4354.3599999999997</v>
      </c>
      <c r="O94" s="281">
        <v>5072.6900000000005</v>
      </c>
      <c r="P94" s="402">
        <v>0</v>
      </c>
      <c r="Q94" s="274">
        <v>4753.1399999999994</v>
      </c>
      <c r="R94" s="232">
        <f t="shared" si="11"/>
        <v>4753.1399999999994</v>
      </c>
      <c r="S94" s="281"/>
    </row>
    <row r="95" spans="1:19">
      <c r="A95" s="272">
        <v>89</v>
      </c>
      <c r="B95" s="78" t="s">
        <v>211</v>
      </c>
      <c r="C95" s="78" t="s">
        <v>918</v>
      </c>
      <c r="D95" s="229">
        <v>108354.80999999994</v>
      </c>
      <c r="E95" s="231">
        <v>1661018.2500000002</v>
      </c>
      <c r="F95" s="232">
        <f t="shared" si="12"/>
        <v>1769373.06</v>
      </c>
      <c r="G95" s="249">
        <v>1440632</v>
      </c>
      <c r="H95" s="241">
        <v>328741.06000000006</v>
      </c>
      <c r="I95" s="231">
        <v>2292388.9700000002</v>
      </c>
      <c r="J95" s="232">
        <f t="shared" si="13"/>
        <v>2621130.0300000003</v>
      </c>
      <c r="K95" s="281">
        <v>2368440</v>
      </c>
      <c r="L95" s="232">
        <v>252690.03000000026</v>
      </c>
      <c r="M95" s="274">
        <v>2250711.8899999997</v>
      </c>
      <c r="N95" s="232">
        <f t="shared" si="10"/>
        <v>2503401.92</v>
      </c>
      <c r="O95" s="281">
        <v>2291520</v>
      </c>
      <c r="P95" s="402">
        <v>211881.91999999993</v>
      </c>
      <c r="Q95" s="274">
        <v>2497063.98</v>
      </c>
      <c r="R95" s="232">
        <f t="shared" si="11"/>
        <v>2708945.9</v>
      </c>
      <c r="S95" s="281"/>
    </row>
    <row r="96" spans="1:19">
      <c r="A96" s="272">
        <v>90</v>
      </c>
      <c r="B96" s="78" t="s">
        <v>213</v>
      </c>
      <c r="C96" s="78" t="s">
        <v>919</v>
      </c>
      <c r="D96" s="229">
        <v>0</v>
      </c>
      <c r="E96" s="231">
        <v>321900.28999999998</v>
      </c>
      <c r="F96" s="232">
        <f t="shared" si="12"/>
        <v>321900.28999999998</v>
      </c>
      <c r="G96" s="249">
        <v>190969.7</v>
      </c>
      <c r="H96" s="241">
        <v>130930.58999999997</v>
      </c>
      <c r="I96" s="231">
        <v>436880.08</v>
      </c>
      <c r="J96" s="232">
        <f t="shared" si="13"/>
        <v>567810.66999999993</v>
      </c>
      <c r="K96" s="281">
        <v>573033.88000000012</v>
      </c>
      <c r="L96" s="232">
        <v>0</v>
      </c>
      <c r="M96" s="274">
        <v>443905.46</v>
      </c>
      <c r="N96" s="232">
        <f t="shared" si="10"/>
        <v>443905.46</v>
      </c>
      <c r="O96" s="281">
        <v>233403.94</v>
      </c>
      <c r="P96" s="402">
        <v>210501.52000000002</v>
      </c>
      <c r="Q96" s="274">
        <v>503618.13</v>
      </c>
      <c r="R96" s="232">
        <f t="shared" si="11"/>
        <v>714119.65</v>
      </c>
      <c r="S96" s="281"/>
    </row>
    <row r="97" spans="1:19">
      <c r="A97" s="272">
        <v>91</v>
      </c>
      <c r="B97" s="78" t="s">
        <v>215</v>
      </c>
      <c r="C97" s="78" t="s">
        <v>920</v>
      </c>
      <c r="D97" s="229">
        <v>0</v>
      </c>
      <c r="E97" s="231">
        <v>259470.17</v>
      </c>
      <c r="F97" s="232">
        <f t="shared" si="12"/>
        <v>259470.17</v>
      </c>
      <c r="G97" s="249">
        <v>325140.93</v>
      </c>
      <c r="H97" s="241">
        <v>0</v>
      </c>
      <c r="I97" s="231">
        <v>375544.22</v>
      </c>
      <c r="J97" s="232">
        <f t="shared" si="13"/>
        <v>375544.22</v>
      </c>
      <c r="K97" s="281">
        <v>142316.31</v>
      </c>
      <c r="L97" s="232">
        <v>233227.90999999997</v>
      </c>
      <c r="M97" s="274">
        <v>382313.36999999994</v>
      </c>
      <c r="N97" s="232">
        <f t="shared" si="10"/>
        <v>615541.27999999991</v>
      </c>
      <c r="O97" s="281">
        <v>620521.55999999994</v>
      </c>
      <c r="P97" s="402">
        <v>0</v>
      </c>
      <c r="Q97" s="274">
        <v>406050.33999999997</v>
      </c>
      <c r="R97" s="232">
        <f t="shared" si="11"/>
        <v>406050.33999999997</v>
      </c>
      <c r="S97" s="281"/>
    </row>
    <row r="98" spans="1:19">
      <c r="A98" s="272">
        <v>92</v>
      </c>
      <c r="B98" s="78" t="s">
        <v>217</v>
      </c>
      <c r="C98" s="78" t="s">
        <v>921</v>
      </c>
      <c r="D98" s="229">
        <v>9969.1600000000035</v>
      </c>
      <c r="E98" s="231">
        <v>58949.61</v>
      </c>
      <c r="F98" s="232">
        <f t="shared" si="12"/>
        <v>68918.77</v>
      </c>
      <c r="G98" s="249">
        <v>48534</v>
      </c>
      <c r="H98" s="241">
        <v>20384.770000000004</v>
      </c>
      <c r="I98" s="231">
        <v>87890.25</v>
      </c>
      <c r="J98" s="232">
        <f t="shared" si="13"/>
        <v>108275.02</v>
      </c>
      <c r="K98" s="281">
        <v>63041.17</v>
      </c>
      <c r="L98" s="232">
        <v>45233.850000000006</v>
      </c>
      <c r="M98" s="274">
        <v>85590.92</v>
      </c>
      <c r="N98" s="232">
        <f t="shared" si="10"/>
        <v>130824.77</v>
      </c>
      <c r="O98" s="281">
        <v>35635.25</v>
      </c>
      <c r="P98" s="402">
        <v>95189.52</v>
      </c>
      <c r="Q98" s="274">
        <v>94571.98</v>
      </c>
      <c r="R98" s="232">
        <f t="shared" si="11"/>
        <v>189761.5</v>
      </c>
      <c r="S98" s="281"/>
    </row>
    <row r="99" spans="1:19">
      <c r="A99" s="272">
        <v>93</v>
      </c>
      <c r="B99" s="78" t="s">
        <v>219</v>
      </c>
      <c r="C99" s="78" t="s">
        <v>922</v>
      </c>
      <c r="D99" s="229">
        <v>73423.650000000023</v>
      </c>
      <c r="E99" s="231">
        <v>539315.82000000007</v>
      </c>
      <c r="F99" s="232">
        <f t="shared" si="12"/>
        <v>612739.47000000009</v>
      </c>
      <c r="G99" s="249">
        <v>359436.39</v>
      </c>
      <c r="H99" s="241">
        <v>253303.08000000007</v>
      </c>
      <c r="I99" s="231">
        <v>777238.88</v>
      </c>
      <c r="J99" s="232">
        <f t="shared" si="13"/>
        <v>1030541.9600000001</v>
      </c>
      <c r="K99" s="281">
        <v>534470.14</v>
      </c>
      <c r="L99" s="232">
        <v>496071.82000000007</v>
      </c>
      <c r="M99" s="274">
        <v>765178</v>
      </c>
      <c r="N99" s="232">
        <f t="shared" si="10"/>
        <v>1261249.82</v>
      </c>
      <c r="O99" s="281">
        <v>881404.86</v>
      </c>
      <c r="P99" s="402">
        <v>379844.96000000008</v>
      </c>
      <c r="Q99" s="274">
        <v>826494.56</v>
      </c>
      <c r="R99" s="232">
        <f t="shared" si="11"/>
        <v>1206339.52</v>
      </c>
      <c r="S99" s="281"/>
    </row>
    <row r="100" spans="1:19">
      <c r="A100" s="272">
        <v>94</v>
      </c>
      <c r="B100" s="78" t="s">
        <v>221</v>
      </c>
      <c r="C100" s="78" t="s">
        <v>923</v>
      </c>
      <c r="D100" s="229">
        <v>2209.5500000000029</v>
      </c>
      <c r="E100" s="231">
        <v>53427.939999999995</v>
      </c>
      <c r="F100" s="232">
        <f t="shared" si="12"/>
        <v>55637.49</v>
      </c>
      <c r="G100" s="249">
        <v>49903.37</v>
      </c>
      <c r="H100" s="241">
        <v>5734.1199999999953</v>
      </c>
      <c r="I100" s="231">
        <v>74784.09</v>
      </c>
      <c r="J100" s="232">
        <f t="shared" si="13"/>
        <v>80518.209999999992</v>
      </c>
      <c r="K100" s="281">
        <v>79012.39</v>
      </c>
      <c r="L100" s="232">
        <v>1505.8199999999924</v>
      </c>
      <c r="M100" s="274">
        <v>77116.27</v>
      </c>
      <c r="N100" s="232">
        <f t="shared" si="10"/>
        <v>78622.09</v>
      </c>
      <c r="O100" s="281">
        <v>86171.479999999981</v>
      </c>
      <c r="P100" s="402">
        <v>0</v>
      </c>
      <c r="Q100" s="274">
        <v>87400.49</v>
      </c>
      <c r="R100" s="232">
        <f t="shared" si="11"/>
        <v>87400.49</v>
      </c>
      <c r="S100" s="281"/>
    </row>
    <row r="101" spans="1:19">
      <c r="A101" s="272">
        <v>95</v>
      </c>
      <c r="B101" s="78" t="s">
        <v>223</v>
      </c>
      <c r="C101" s="78" t="s">
        <v>924</v>
      </c>
      <c r="D101" s="229">
        <v>3108.2700000000013</v>
      </c>
      <c r="E101" s="231">
        <v>14936.109999999999</v>
      </c>
      <c r="F101" s="232">
        <f t="shared" si="12"/>
        <v>18044.38</v>
      </c>
      <c r="G101" s="249"/>
      <c r="H101" s="241">
        <v>18044.38</v>
      </c>
      <c r="I101" s="231">
        <v>20485.8</v>
      </c>
      <c r="J101" s="232">
        <f t="shared" si="13"/>
        <v>38530.18</v>
      </c>
      <c r="K101" s="281">
        <v>12265.400000000001</v>
      </c>
      <c r="L101" s="232">
        <v>26264.78</v>
      </c>
      <c r="M101" s="274">
        <v>21084.93</v>
      </c>
      <c r="N101" s="232">
        <f t="shared" si="10"/>
        <v>47349.71</v>
      </c>
      <c r="O101" s="281">
        <v>19005.689999999999</v>
      </c>
      <c r="P101" s="402">
        <v>28344.02</v>
      </c>
      <c r="Q101" s="274">
        <v>22631.77</v>
      </c>
      <c r="R101" s="232">
        <f t="shared" si="11"/>
        <v>50975.79</v>
      </c>
      <c r="S101" s="281"/>
    </row>
    <row r="102" spans="1:19">
      <c r="A102" s="272">
        <v>96</v>
      </c>
      <c r="B102" s="78" t="s">
        <v>225</v>
      </c>
      <c r="C102" s="78" t="s">
        <v>925</v>
      </c>
      <c r="D102" s="229">
        <v>5737.32</v>
      </c>
      <c r="E102" s="231">
        <v>12353.5</v>
      </c>
      <c r="F102" s="232">
        <f t="shared" si="12"/>
        <v>18090.82</v>
      </c>
      <c r="G102" s="249">
        <v>1058.8800000000001</v>
      </c>
      <c r="H102" s="241">
        <v>17031.939999999999</v>
      </c>
      <c r="I102" s="231">
        <v>18755.11</v>
      </c>
      <c r="J102" s="232">
        <f t="shared" si="13"/>
        <v>35787.050000000003</v>
      </c>
      <c r="K102" s="281">
        <v>5967.52</v>
      </c>
      <c r="L102" s="232">
        <v>29819.530000000002</v>
      </c>
      <c r="M102" s="274">
        <v>18881.89</v>
      </c>
      <c r="N102" s="232">
        <f t="shared" si="10"/>
        <v>48701.42</v>
      </c>
      <c r="O102" s="281">
        <v>9026.86</v>
      </c>
      <c r="P102" s="402">
        <v>39674.559999999998</v>
      </c>
      <c r="Q102" s="274">
        <v>19925.75</v>
      </c>
      <c r="R102" s="232">
        <f t="shared" si="11"/>
        <v>59600.31</v>
      </c>
      <c r="S102" s="281"/>
    </row>
    <row r="103" spans="1:19">
      <c r="A103" s="272">
        <v>97</v>
      </c>
      <c r="B103" s="78" t="s">
        <v>227</v>
      </c>
      <c r="C103" s="78" t="s">
        <v>926</v>
      </c>
      <c r="D103" s="229">
        <v>0</v>
      </c>
      <c r="E103" s="231">
        <v>50810.53</v>
      </c>
      <c r="F103" s="232">
        <f t="shared" si="12"/>
        <v>50810.53</v>
      </c>
      <c r="G103" s="249">
        <v>24151.49</v>
      </c>
      <c r="H103" s="241">
        <v>26659.039999999997</v>
      </c>
      <c r="I103" s="231">
        <v>69494.28</v>
      </c>
      <c r="J103" s="232">
        <f t="shared" si="13"/>
        <v>96153.319999999992</v>
      </c>
      <c r="K103" s="281">
        <v>72335.399999999994</v>
      </c>
      <c r="L103" s="232">
        <v>23817.919999999998</v>
      </c>
      <c r="M103" s="274">
        <v>76228.539999999994</v>
      </c>
      <c r="N103" s="232">
        <f t="shared" si="10"/>
        <v>100046.45999999999</v>
      </c>
      <c r="O103" s="281">
        <v>65591.149999999994</v>
      </c>
      <c r="P103" s="402">
        <v>34455.31</v>
      </c>
      <c r="Q103" s="274">
        <v>86808.87999999999</v>
      </c>
      <c r="R103" s="232">
        <f t="shared" si="11"/>
        <v>121264.18999999999</v>
      </c>
      <c r="S103" s="281"/>
    </row>
    <row r="104" spans="1:19">
      <c r="A104" s="272">
        <v>98</v>
      </c>
      <c r="B104" s="78" t="s">
        <v>229</v>
      </c>
      <c r="C104" s="78" t="s">
        <v>927</v>
      </c>
      <c r="D104" s="229">
        <v>0</v>
      </c>
      <c r="E104" s="231">
        <v>46050.359999999993</v>
      </c>
      <c r="F104" s="232">
        <f t="shared" si="12"/>
        <v>46050.359999999993</v>
      </c>
      <c r="G104" s="249">
        <v>58915.99</v>
      </c>
      <c r="H104" s="241">
        <v>0</v>
      </c>
      <c r="I104" s="231">
        <v>65671.679999999993</v>
      </c>
      <c r="J104" s="232">
        <f t="shared" si="13"/>
        <v>65671.679999999993</v>
      </c>
      <c r="K104" s="281">
        <v>55155.240000000005</v>
      </c>
      <c r="L104" s="232">
        <v>10516.439999999988</v>
      </c>
      <c r="M104" s="274">
        <v>65719.570000000007</v>
      </c>
      <c r="N104" s="232">
        <f t="shared" si="10"/>
        <v>76236.009999999995</v>
      </c>
      <c r="O104" s="281">
        <v>60072.409999999996</v>
      </c>
      <c r="P104" s="402">
        <v>16163.599999999999</v>
      </c>
      <c r="Q104" s="274">
        <v>74123.59</v>
      </c>
      <c r="R104" s="232">
        <f t="shared" si="11"/>
        <v>90287.19</v>
      </c>
      <c r="S104" s="281"/>
    </row>
    <row r="105" spans="1:19">
      <c r="A105" s="272">
        <v>99</v>
      </c>
      <c r="B105" s="78" t="s">
        <v>231</v>
      </c>
      <c r="C105" s="78" t="s">
        <v>928</v>
      </c>
      <c r="D105" s="229">
        <v>0</v>
      </c>
      <c r="E105" s="231">
        <v>251678.83000000002</v>
      </c>
      <c r="F105" s="232">
        <f t="shared" si="12"/>
        <v>251678.83000000002</v>
      </c>
      <c r="G105" s="249">
        <v>251681.33</v>
      </c>
      <c r="H105" s="241">
        <v>0</v>
      </c>
      <c r="I105" s="231">
        <v>367544.88</v>
      </c>
      <c r="J105" s="232">
        <f t="shared" si="13"/>
        <v>367544.88</v>
      </c>
      <c r="K105" s="281">
        <v>368484.41999999993</v>
      </c>
      <c r="L105" s="232">
        <v>0</v>
      </c>
      <c r="M105" s="274">
        <v>366320.28</v>
      </c>
      <c r="N105" s="232">
        <f t="shared" si="10"/>
        <v>366320.28</v>
      </c>
      <c r="O105" s="281">
        <v>366320.27999999997</v>
      </c>
      <c r="P105" s="402">
        <v>5.8207660913467407E-11</v>
      </c>
      <c r="Q105" s="274">
        <v>394864.37</v>
      </c>
      <c r="R105" s="232">
        <f t="shared" si="11"/>
        <v>394864.37000000005</v>
      </c>
      <c r="S105" s="281"/>
    </row>
    <row r="106" spans="1:19">
      <c r="A106" s="272">
        <v>100</v>
      </c>
      <c r="B106" s="78" t="s">
        <v>233</v>
      </c>
      <c r="C106" s="78" t="s">
        <v>929</v>
      </c>
      <c r="D106" s="229">
        <v>0</v>
      </c>
      <c r="E106" s="231">
        <v>104427.12999999999</v>
      </c>
      <c r="F106" s="232">
        <f t="shared" si="12"/>
        <v>104427.12999999999</v>
      </c>
      <c r="G106" s="249">
        <v>78999.83</v>
      </c>
      <c r="H106" s="241">
        <v>25427.299999999988</v>
      </c>
      <c r="I106" s="231">
        <v>155675.93</v>
      </c>
      <c r="J106" s="232">
        <f t="shared" si="13"/>
        <v>181103.22999999998</v>
      </c>
      <c r="K106" s="281">
        <v>150164.44999999998</v>
      </c>
      <c r="L106" s="232">
        <v>30938.78</v>
      </c>
      <c r="M106" s="274">
        <v>159424.28000000003</v>
      </c>
      <c r="N106" s="232">
        <f t="shared" si="10"/>
        <v>190363.06000000003</v>
      </c>
      <c r="O106" s="281">
        <v>105948.44</v>
      </c>
      <c r="P106" s="402">
        <v>84414.620000000024</v>
      </c>
      <c r="Q106" s="274">
        <v>170199.05</v>
      </c>
      <c r="R106" s="232">
        <f t="shared" si="11"/>
        <v>254613.67</v>
      </c>
      <c r="S106" s="281"/>
    </row>
    <row r="107" spans="1:19">
      <c r="A107" s="272">
        <v>101</v>
      </c>
      <c r="B107" s="78" t="s">
        <v>235</v>
      </c>
      <c r="C107" s="78" t="s">
        <v>930</v>
      </c>
      <c r="D107" s="229">
        <v>64084.380000000005</v>
      </c>
      <c r="E107" s="231">
        <v>141560.62</v>
      </c>
      <c r="F107" s="232">
        <f t="shared" si="12"/>
        <v>205645</v>
      </c>
      <c r="G107" s="249">
        <v>125136</v>
      </c>
      <c r="H107" s="241">
        <v>80509</v>
      </c>
      <c r="I107" s="231">
        <v>203918.41000000003</v>
      </c>
      <c r="J107" s="232">
        <f t="shared" si="13"/>
        <v>284427.41000000003</v>
      </c>
      <c r="K107" s="281">
        <v>255685.08999999997</v>
      </c>
      <c r="L107" s="232">
        <v>28742.320000000065</v>
      </c>
      <c r="M107" s="274">
        <v>214574.25</v>
      </c>
      <c r="N107" s="232">
        <f t="shared" si="10"/>
        <v>243316.57000000007</v>
      </c>
      <c r="O107" s="281">
        <v>213081.1</v>
      </c>
      <c r="P107" s="402">
        <v>30235.470000000059</v>
      </c>
      <c r="Q107" s="274">
        <v>232577.49</v>
      </c>
      <c r="R107" s="232">
        <f t="shared" si="11"/>
        <v>262812.96000000008</v>
      </c>
      <c r="S107" s="281"/>
    </row>
    <row r="108" spans="1:19">
      <c r="A108" s="272">
        <v>102</v>
      </c>
      <c r="B108" s="78" t="s">
        <v>237</v>
      </c>
      <c r="C108" s="78" t="s">
        <v>931</v>
      </c>
      <c r="D108" s="229">
        <v>0</v>
      </c>
      <c r="E108" s="231">
        <v>12636.81</v>
      </c>
      <c r="F108" s="232">
        <f t="shared" si="12"/>
        <v>12636.81</v>
      </c>
      <c r="G108" s="249">
        <v>17241.560000000001</v>
      </c>
      <c r="H108" s="241">
        <v>0</v>
      </c>
      <c r="I108" s="231">
        <v>17491.39</v>
      </c>
      <c r="J108" s="232">
        <f t="shared" si="13"/>
        <v>17491.39</v>
      </c>
      <c r="K108" s="281">
        <v>20859.13</v>
      </c>
      <c r="L108" s="232">
        <v>0</v>
      </c>
      <c r="M108" s="274">
        <v>20504.309999999998</v>
      </c>
      <c r="N108" s="232">
        <f t="shared" si="10"/>
        <v>20504.309999999998</v>
      </c>
      <c r="O108" s="281">
        <v>27367.17</v>
      </c>
      <c r="P108" s="402">
        <v>0</v>
      </c>
      <c r="Q108" s="274">
        <v>23229.980000000003</v>
      </c>
      <c r="R108" s="232">
        <f t="shared" si="11"/>
        <v>23229.980000000003</v>
      </c>
      <c r="S108" s="281"/>
    </row>
    <row r="109" spans="1:19">
      <c r="A109" s="272">
        <v>103</v>
      </c>
      <c r="B109" s="78" t="s">
        <v>239</v>
      </c>
      <c r="C109" s="78" t="s">
        <v>932</v>
      </c>
      <c r="D109" s="229">
        <v>142.74</v>
      </c>
      <c r="E109" s="231">
        <v>2932.4700000000003</v>
      </c>
      <c r="F109" s="232">
        <f t="shared" si="12"/>
        <v>3075.21</v>
      </c>
      <c r="G109" s="249">
        <v>413.21</v>
      </c>
      <c r="H109" s="241">
        <v>2662</v>
      </c>
      <c r="I109" s="231">
        <v>4350.7</v>
      </c>
      <c r="J109" s="232">
        <f t="shared" si="13"/>
        <v>7012.7</v>
      </c>
      <c r="K109" s="281">
        <v>4362.8</v>
      </c>
      <c r="L109" s="232">
        <v>2649.8999999999996</v>
      </c>
      <c r="M109" s="274">
        <v>4211.3999999999996</v>
      </c>
      <c r="N109" s="232">
        <f t="shared" si="10"/>
        <v>6861.2999999999993</v>
      </c>
      <c r="O109" s="281">
        <v>3025.29</v>
      </c>
      <c r="P109" s="402">
        <v>3836.0099999999993</v>
      </c>
      <c r="Q109" s="274">
        <v>4771.12</v>
      </c>
      <c r="R109" s="232">
        <f t="shared" si="11"/>
        <v>8607.1299999999992</v>
      </c>
      <c r="S109" s="281"/>
    </row>
    <row r="110" spans="1:19">
      <c r="A110" s="272">
        <v>104</v>
      </c>
      <c r="B110" s="78" t="s">
        <v>241</v>
      </c>
      <c r="C110" s="78" t="s">
        <v>933</v>
      </c>
      <c r="D110" s="229">
        <v>581.68000000000029</v>
      </c>
      <c r="E110" s="231">
        <v>9329.5500000000011</v>
      </c>
      <c r="F110" s="232">
        <f t="shared" si="12"/>
        <v>9911.2300000000014</v>
      </c>
      <c r="G110" s="249">
        <v>9842.65</v>
      </c>
      <c r="H110" s="241">
        <v>68.580000000001746</v>
      </c>
      <c r="I110" s="231">
        <v>13839.099999999999</v>
      </c>
      <c r="J110" s="232">
        <f t="shared" si="13"/>
        <v>13907.68</v>
      </c>
      <c r="K110" s="281">
        <v>13833.869999999999</v>
      </c>
      <c r="L110" s="232">
        <v>73.81000000000131</v>
      </c>
      <c r="M110" s="274">
        <v>13793.82</v>
      </c>
      <c r="N110" s="232">
        <f t="shared" si="10"/>
        <v>13867.630000000001</v>
      </c>
      <c r="O110" s="281">
        <v>14516.5</v>
      </c>
      <c r="P110" s="402">
        <v>0</v>
      </c>
      <c r="Q110" s="274">
        <v>16307.72</v>
      </c>
      <c r="R110" s="232">
        <f t="shared" si="11"/>
        <v>16307.72</v>
      </c>
      <c r="S110" s="281"/>
    </row>
    <row r="111" spans="1:19">
      <c r="A111" s="272">
        <v>105</v>
      </c>
      <c r="B111" s="78" t="s">
        <v>243</v>
      </c>
      <c r="C111" s="78" t="s">
        <v>934</v>
      </c>
      <c r="D111" s="229">
        <v>0</v>
      </c>
      <c r="E111" s="231">
        <v>38176.33</v>
      </c>
      <c r="F111" s="232">
        <f t="shared" si="12"/>
        <v>38176.33</v>
      </c>
      <c r="G111" s="249">
        <v>29603.32</v>
      </c>
      <c r="H111" s="241">
        <v>8573.010000000002</v>
      </c>
      <c r="I111" s="231">
        <v>54575.31</v>
      </c>
      <c r="J111" s="232">
        <f t="shared" si="13"/>
        <v>63148.32</v>
      </c>
      <c r="K111" s="281">
        <v>60014.93</v>
      </c>
      <c r="L111" s="232">
        <v>3133.3899999999994</v>
      </c>
      <c r="M111" s="274">
        <v>55114.020000000004</v>
      </c>
      <c r="N111" s="232">
        <f t="shared" si="10"/>
        <v>58247.41</v>
      </c>
      <c r="O111" s="281">
        <v>63445.2</v>
      </c>
      <c r="P111" s="402">
        <v>0</v>
      </c>
      <c r="Q111" s="274">
        <v>56041.55</v>
      </c>
      <c r="R111" s="232">
        <f t="shared" si="11"/>
        <v>56041.55</v>
      </c>
      <c r="S111" s="281"/>
    </row>
    <row r="112" spans="1:19">
      <c r="A112" s="272">
        <v>106</v>
      </c>
      <c r="B112" s="78" t="s">
        <v>245</v>
      </c>
      <c r="C112" s="78" t="s">
        <v>935</v>
      </c>
      <c r="D112" s="229">
        <v>914.59999999999945</v>
      </c>
      <c r="E112" s="231">
        <v>15600.23</v>
      </c>
      <c r="F112" s="232">
        <f t="shared" si="12"/>
        <v>16514.829999999998</v>
      </c>
      <c r="G112" s="249"/>
      <c r="H112" s="241">
        <v>16514.829999999998</v>
      </c>
      <c r="I112" s="231">
        <v>22758.850000000002</v>
      </c>
      <c r="J112" s="232">
        <f t="shared" si="13"/>
        <v>39273.68</v>
      </c>
      <c r="K112" s="281"/>
      <c r="L112" s="232">
        <v>39273.68</v>
      </c>
      <c r="M112" s="274">
        <v>23621.97</v>
      </c>
      <c r="N112" s="232">
        <f t="shared" si="10"/>
        <v>62895.65</v>
      </c>
      <c r="O112" s="281">
        <v>1157.26</v>
      </c>
      <c r="P112" s="402">
        <v>61738.39</v>
      </c>
      <c r="Q112" s="274">
        <v>26241.140000000003</v>
      </c>
      <c r="R112" s="232">
        <f t="shared" si="11"/>
        <v>87979.53</v>
      </c>
      <c r="S112" s="281"/>
    </row>
    <row r="113" spans="1:19">
      <c r="A113" s="272">
        <v>107</v>
      </c>
      <c r="B113" s="78" t="s">
        <v>247</v>
      </c>
      <c r="C113" s="78" t="s">
        <v>936</v>
      </c>
      <c r="D113" s="229">
        <v>12406.689999999991</v>
      </c>
      <c r="E113" s="231">
        <v>76151.5</v>
      </c>
      <c r="F113" s="232">
        <f t="shared" si="12"/>
        <v>88558.189999999988</v>
      </c>
      <c r="G113" s="249">
        <v>55367.26</v>
      </c>
      <c r="H113" s="241">
        <v>33190.929999999986</v>
      </c>
      <c r="I113" s="231">
        <v>107022.85</v>
      </c>
      <c r="J113" s="232">
        <f t="shared" si="13"/>
        <v>140213.78</v>
      </c>
      <c r="K113" s="281">
        <v>126390.23000000001</v>
      </c>
      <c r="L113" s="232">
        <v>13823.549999999988</v>
      </c>
      <c r="M113" s="274">
        <v>105293.4</v>
      </c>
      <c r="N113" s="232">
        <f t="shared" si="10"/>
        <v>119116.94999999998</v>
      </c>
      <c r="O113" s="281">
        <v>88663.01999999999</v>
      </c>
      <c r="P113" s="402">
        <v>30453.929999999993</v>
      </c>
      <c r="Q113" s="274">
        <v>119342.03</v>
      </c>
      <c r="R113" s="232">
        <f t="shared" si="11"/>
        <v>149795.96</v>
      </c>
      <c r="S113" s="281"/>
    </row>
    <row r="114" spans="1:19">
      <c r="A114" s="272">
        <v>108</v>
      </c>
      <c r="B114" s="78" t="s">
        <v>249</v>
      </c>
      <c r="C114" s="78" t="s">
        <v>937</v>
      </c>
      <c r="D114" s="229">
        <v>48157.130000000005</v>
      </c>
      <c r="E114" s="231">
        <v>1497782.76</v>
      </c>
      <c r="F114" s="232">
        <f t="shared" si="12"/>
        <v>1545939.8900000001</v>
      </c>
      <c r="G114" s="249">
        <v>925131.03</v>
      </c>
      <c r="H114" s="241">
        <v>620808.8600000001</v>
      </c>
      <c r="I114" s="231">
        <v>2194656.54</v>
      </c>
      <c r="J114" s="232">
        <f t="shared" si="13"/>
        <v>2815465.4000000004</v>
      </c>
      <c r="K114" s="281">
        <v>3013965.89</v>
      </c>
      <c r="L114" s="232">
        <v>0</v>
      </c>
      <c r="M114" s="274">
        <v>2133703.48</v>
      </c>
      <c r="N114" s="232">
        <f t="shared" si="10"/>
        <v>2133703.48</v>
      </c>
      <c r="O114" s="281">
        <v>3067904.7300000004</v>
      </c>
      <c r="P114" s="402">
        <v>0</v>
      </c>
      <c r="Q114" s="274">
        <v>2303648.75</v>
      </c>
      <c r="R114" s="232">
        <f t="shared" si="11"/>
        <v>2303648.75</v>
      </c>
      <c r="S114" s="281"/>
    </row>
    <row r="115" spans="1:19">
      <c r="A115" s="272">
        <v>109</v>
      </c>
      <c r="B115" s="78" t="s">
        <v>251</v>
      </c>
      <c r="C115" s="78" t="s">
        <v>938</v>
      </c>
      <c r="D115" s="229">
        <v>0</v>
      </c>
      <c r="E115" s="231">
        <v>117929.25000000001</v>
      </c>
      <c r="F115" s="232">
        <f t="shared" si="12"/>
        <v>117929.25000000001</v>
      </c>
      <c r="G115" s="249">
        <v>116644.08</v>
      </c>
      <c r="H115" s="241">
        <v>1285.1700000000128</v>
      </c>
      <c r="I115" s="231">
        <v>157366.15</v>
      </c>
      <c r="J115" s="232">
        <f t="shared" si="13"/>
        <v>158651.32</v>
      </c>
      <c r="K115" s="281">
        <v>183598.90000000002</v>
      </c>
      <c r="L115" s="232">
        <v>0</v>
      </c>
      <c r="M115" s="274">
        <v>170951.08999999997</v>
      </c>
      <c r="N115" s="232">
        <f t="shared" si="10"/>
        <v>170951.08999999997</v>
      </c>
      <c r="O115" s="281">
        <v>171429.02</v>
      </c>
      <c r="P115" s="402">
        <v>0</v>
      </c>
      <c r="Q115" s="274">
        <v>193424.22</v>
      </c>
      <c r="R115" s="232">
        <f t="shared" si="11"/>
        <v>193424.22</v>
      </c>
      <c r="S115" s="281"/>
    </row>
    <row r="116" spans="1:19">
      <c r="A116" s="272">
        <v>110</v>
      </c>
      <c r="B116" s="78" t="s">
        <v>253</v>
      </c>
      <c r="C116" s="78" t="s">
        <v>939</v>
      </c>
      <c r="D116" s="229">
        <v>122.08000000000175</v>
      </c>
      <c r="E116" s="231">
        <v>21062.17</v>
      </c>
      <c r="F116" s="232">
        <f t="shared" si="12"/>
        <v>21184.25</v>
      </c>
      <c r="G116" s="249">
        <v>21583.11</v>
      </c>
      <c r="H116" s="241">
        <v>0</v>
      </c>
      <c r="I116" s="231">
        <v>30066.17</v>
      </c>
      <c r="J116" s="232">
        <f t="shared" si="13"/>
        <v>30066.17</v>
      </c>
      <c r="K116" s="281">
        <v>38715.310000000005</v>
      </c>
      <c r="L116" s="232">
        <v>0</v>
      </c>
      <c r="M116" s="274">
        <v>31164.29</v>
      </c>
      <c r="N116" s="232">
        <f t="shared" si="10"/>
        <v>31164.29</v>
      </c>
      <c r="O116" s="281">
        <v>25587.019999999997</v>
      </c>
      <c r="P116" s="402">
        <v>5577.2700000000041</v>
      </c>
      <c r="Q116" s="274">
        <v>36971.61</v>
      </c>
      <c r="R116" s="232">
        <f t="shared" si="11"/>
        <v>42548.880000000005</v>
      </c>
      <c r="S116" s="281"/>
    </row>
    <row r="117" spans="1:19">
      <c r="A117" s="272">
        <v>111</v>
      </c>
      <c r="B117" s="78" t="s">
        <v>255</v>
      </c>
      <c r="C117" s="78" t="s">
        <v>940</v>
      </c>
      <c r="D117" s="229">
        <v>5284.9500000000044</v>
      </c>
      <c r="E117" s="231">
        <v>100759.10999999999</v>
      </c>
      <c r="F117" s="232">
        <f t="shared" si="12"/>
        <v>106044.06</v>
      </c>
      <c r="G117" s="249">
        <v>90007</v>
      </c>
      <c r="H117" s="241">
        <v>16037.059999999998</v>
      </c>
      <c r="I117" s="231">
        <v>142919.77000000002</v>
      </c>
      <c r="J117" s="232">
        <f t="shared" si="13"/>
        <v>158956.83000000002</v>
      </c>
      <c r="K117" s="281">
        <v>145002.62</v>
      </c>
      <c r="L117" s="232">
        <v>13954.210000000021</v>
      </c>
      <c r="M117" s="274">
        <v>144378.49</v>
      </c>
      <c r="N117" s="232">
        <f t="shared" si="10"/>
        <v>158332.70000000001</v>
      </c>
      <c r="O117" s="281">
        <v>193769.5</v>
      </c>
      <c r="P117" s="402">
        <v>0</v>
      </c>
      <c r="Q117" s="274">
        <v>165468.27000000002</v>
      </c>
      <c r="R117" s="232">
        <f t="shared" si="11"/>
        <v>165468.27000000002</v>
      </c>
      <c r="S117" s="281"/>
    </row>
    <row r="118" spans="1:19">
      <c r="A118" s="272">
        <v>112</v>
      </c>
      <c r="B118" s="233" t="s">
        <v>257</v>
      </c>
      <c r="C118" s="233" t="s">
        <v>1365</v>
      </c>
      <c r="D118" s="229"/>
      <c r="E118" s="231"/>
      <c r="F118" s="232"/>
      <c r="G118" s="249"/>
      <c r="H118" s="241"/>
      <c r="I118" s="231"/>
      <c r="J118" s="232"/>
      <c r="K118" s="281"/>
      <c r="L118" s="232">
        <v>0</v>
      </c>
      <c r="M118" s="274">
        <v>32456.47</v>
      </c>
      <c r="N118" s="232">
        <f t="shared" si="10"/>
        <v>32456.47</v>
      </c>
      <c r="O118" s="281">
        <v>28972.25</v>
      </c>
      <c r="P118" s="402">
        <v>3484.2200000000012</v>
      </c>
      <c r="Q118" s="274">
        <v>45847.979999999996</v>
      </c>
      <c r="R118" s="232">
        <f t="shared" si="11"/>
        <v>49332.2</v>
      </c>
      <c r="S118" s="281"/>
    </row>
    <row r="119" spans="1:19">
      <c r="A119" s="272">
        <v>113</v>
      </c>
      <c r="B119" s="233" t="s">
        <v>259</v>
      </c>
      <c r="C119" s="78" t="s">
        <v>1366</v>
      </c>
      <c r="D119" s="229">
        <v>8074.01</v>
      </c>
      <c r="E119" s="231">
        <v>24853.040000000001</v>
      </c>
      <c r="F119" s="232">
        <f t="shared" ref="F119:F150" si="14">+D119+E119</f>
        <v>32927.050000000003</v>
      </c>
      <c r="G119" s="249"/>
      <c r="H119" s="242">
        <v>32927.050000000003</v>
      </c>
      <c r="I119" s="231">
        <v>56523.880000000005</v>
      </c>
      <c r="J119" s="232">
        <f t="shared" ref="J119:J150" si="15">+H119+I119</f>
        <v>89450.930000000008</v>
      </c>
      <c r="K119" s="281">
        <v>18167.03</v>
      </c>
      <c r="L119" s="232">
        <v>71283.900000000009</v>
      </c>
      <c r="M119" s="274">
        <v>76852.579999999987</v>
      </c>
      <c r="N119" s="232">
        <f t="shared" si="10"/>
        <v>148136.47999999998</v>
      </c>
      <c r="O119" s="281">
        <v>48203.12</v>
      </c>
      <c r="P119" s="402">
        <v>99933.359999999986</v>
      </c>
      <c r="Q119" s="274">
        <v>84652.2</v>
      </c>
      <c r="R119" s="232">
        <f t="shared" si="11"/>
        <v>184585.56</v>
      </c>
      <c r="S119" s="281"/>
    </row>
    <row r="120" spans="1:19">
      <c r="A120" s="272">
        <v>114</v>
      </c>
      <c r="B120" s="233" t="s">
        <v>261</v>
      </c>
      <c r="C120" s="78" t="s">
        <v>1367</v>
      </c>
      <c r="D120" s="229"/>
      <c r="E120" s="231"/>
      <c r="F120" s="232">
        <f t="shared" si="14"/>
        <v>0</v>
      </c>
      <c r="G120" s="249"/>
      <c r="H120" s="242">
        <v>0</v>
      </c>
      <c r="I120" s="231">
        <v>15807.9</v>
      </c>
      <c r="J120" s="232">
        <f t="shared" si="15"/>
        <v>15807.9</v>
      </c>
      <c r="K120" s="281">
        <v>5499.26</v>
      </c>
      <c r="L120" s="232">
        <v>10308.64</v>
      </c>
      <c r="M120" s="274">
        <v>35401.279999999999</v>
      </c>
      <c r="N120" s="232">
        <f t="shared" si="10"/>
        <v>45709.919999999998</v>
      </c>
      <c r="O120" s="281">
        <v>27028.22</v>
      </c>
      <c r="P120" s="402">
        <v>18681.699999999997</v>
      </c>
      <c r="Q120" s="274">
        <v>48226.229999999996</v>
      </c>
      <c r="R120" s="232">
        <f t="shared" si="11"/>
        <v>66907.929999999993</v>
      </c>
      <c r="S120" s="281"/>
    </row>
    <row r="121" spans="1:19">
      <c r="A121" s="272">
        <v>115</v>
      </c>
      <c r="B121" s="78" t="s">
        <v>263</v>
      </c>
      <c r="C121" s="78" t="s">
        <v>945</v>
      </c>
      <c r="D121" s="229">
        <v>986.35000000000036</v>
      </c>
      <c r="E121" s="231">
        <v>18685.43</v>
      </c>
      <c r="F121" s="232">
        <f t="shared" si="14"/>
        <v>19671.78</v>
      </c>
      <c r="G121" s="249">
        <v>23522.12</v>
      </c>
      <c r="H121" s="241">
        <v>0</v>
      </c>
      <c r="I121" s="231">
        <v>28277.91</v>
      </c>
      <c r="J121" s="232">
        <f t="shared" si="15"/>
        <v>28277.91</v>
      </c>
      <c r="K121" s="281">
        <v>34808.25</v>
      </c>
      <c r="L121" s="232">
        <v>0</v>
      </c>
      <c r="M121" s="274">
        <v>29681.25</v>
      </c>
      <c r="N121" s="232">
        <f t="shared" si="10"/>
        <v>29681.25</v>
      </c>
      <c r="O121" s="281">
        <v>16687.509999999998</v>
      </c>
      <c r="P121" s="402">
        <v>12993.740000000002</v>
      </c>
      <c r="Q121" s="274">
        <v>30549.58</v>
      </c>
      <c r="R121" s="232">
        <f t="shared" si="11"/>
        <v>43543.320000000007</v>
      </c>
      <c r="S121" s="281"/>
    </row>
    <row r="122" spans="1:19">
      <c r="A122" s="272">
        <v>116</v>
      </c>
      <c r="B122" s="78" t="s">
        <v>265</v>
      </c>
      <c r="C122" s="78" t="s">
        <v>946</v>
      </c>
      <c r="D122" s="229">
        <v>167.45000000000005</v>
      </c>
      <c r="E122" s="231">
        <v>4084.3900000000003</v>
      </c>
      <c r="F122" s="232">
        <f t="shared" si="14"/>
        <v>4251.84</v>
      </c>
      <c r="G122" s="249">
        <v>3927.77</v>
      </c>
      <c r="H122" s="241">
        <v>324.07000000000016</v>
      </c>
      <c r="I122" s="231">
        <v>6026.2199999999993</v>
      </c>
      <c r="J122" s="232">
        <f t="shared" si="15"/>
        <v>6350.2899999999991</v>
      </c>
      <c r="K122" s="281">
        <v>6350.29</v>
      </c>
      <c r="L122" s="232">
        <v>0</v>
      </c>
      <c r="M122" s="274">
        <v>6118.5700000000006</v>
      </c>
      <c r="N122" s="232">
        <f t="shared" si="10"/>
        <v>6118.5700000000006</v>
      </c>
      <c r="O122" s="281">
        <v>6118.57</v>
      </c>
      <c r="P122" s="402">
        <v>9.0949470177292824E-13</v>
      </c>
      <c r="Q122" s="274">
        <v>5499.09</v>
      </c>
      <c r="R122" s="232">
        <f t="shared" si="11"/>
        <v>5499.0900000000011</v>
      </c>
      <c r="S122" s="281"/>
    </row>
    <row r="123" spans="1:19">
      <c r="A123" s="272">
        <v>117</v>
      </c>
      <c r="B123" s="78" t="s">
        <v>267</v>
      </c>
      <c r="C123" s="78" t="s">
        <v>947</v>
      </c>
      <c r="D123" s="229">
        <v>49273.380000000005</v>
      </c>
      <c r="E123" s="231">
        <v>1362594.86</v>
      </c>
      <c r="F123" s="232">
        <f t="shared" si="14"/>
        <v>1411868.2400000002</v>
      </c>
      <c r="G123" s="249">
        <v>1242253.6399999999</v>
      </c>
      <c r="H123" s="241">
        <v>169614.60000000033</v>
      </c>
      <c r="I123" s="231">
        <v>1918688.67</v>
      </c>
      <c r="J123" s="232">
        <f t="shared" si="15"/>
        <v>2088303.2700000003</v>
      </c>
      <c r="K123" s="281">
        <v>1805937.33</v>
      </c>
      <c r="L123" s="232">
        <v>282365.94000000018</v>
      </c>
      <c r="M123" s="274">
        <v>1895792.86</v>
      </c>
      <c r="N123" s="232">
        <f t="shared" si="10"/>
        <v>2178158.8000000003</v>
      </c>
      <c r="O123" s="281">
        <v>1754876.5199999996</v>
      </c>
      <c r="P123" s="402">
        <v>423282.28000000073</v>
      </c>
      <c r="Q123" s="274">
        <v>2064749.8000000003</v>
      </c>
      <c r="R123" s="232">
        <f t="shared" si="11"/>
        <v>2488032.080000001</v>
      </c>
      <c r="S123" s="281"/>
    </row>
    <row r="124" spans="1:19">
      <c r="A124" s="272">
        <v>118</v>
      </c>
      <c r="B124" s="78" t="s">
        <v>269</v>
      </c>
      <c r="C124" s="78" t="s">
        <v>948</v>
      </c>
      <c r="D124" s="229">
        <v>0</v>
      </c>
      <c r="E124" s="231">
        <v>12338.36</v>
      </c>
      <c r="F124" s="232">
        <f t="shared" si="14"/>
        <v>12338.36</v>
      </c>
      <c r="G124" s="249">
        <v>12440.51</v>
      </c>
      <c r="H124" s="241">
        <v>0</v>
      </c>
      <c r="I124" s="231">
        <v>18812.93</v>
      </c>
      <c r="J124" s="232">
        <f t="shared" si="15"/>
        <v>18812.93</v>
      </c>
      <c r="K124" s="281">
        <v>18587.68</v>
      </c>
      <c r="L124" s="232">
        <v>225.25</v>
      </c>
      <c r="M124" s="274">
        <v>18744.759999999998</v>
      </c>
      <c r="N124" s="232">
        <f t="shared" si="10"/>
        <v>18970.009999999998</v>
      </c>
      <c r="O124" s="281">
        <v>13557.96</v>
      </c>
      <c r="P124" s="402">
        <v>5412.0499999999993</v>
      </c>
      <c r="Q124" s="274">
        <v>19860.97</v>
      </c>
      <c r="R124" s="232">
        <f t="shared" si="11"/>
        <v>25273.02</v>
      </c>
      <c r="S124" s="281"/>
    </row>
    <row r="125" spans="1:19">
      <c r="A125" s="272">
        <v>119</v>
      </c>
      <c r="B125" s="78" t="s">
        <v>271</v>
      </c>
      <c r="C125" s="78" t="s">
        <v>949</v>
      </c>
      <c r="D125" s="229">
        <v>0</v>
      </c>
      <c r="E125" s="231">
        <v>52375.3</v>
      </c>
      <c r="F125" s="232">
        <f t="shared" si="14"/>
        <v>52375.3</v>
      </c>
      <c r="G125" s="249"/>
      <c r="H125" s="241">
        <v>52375.3</v>
      </c>
      <c r="I125" s="231">
        <v>78196.350000000006</v>
      </c>
      <c r="J125" s="232">
        <f t="shared" si="15"/>
        <v>130571.65000000001</v>
      </c>
      <c r="K125" s="281"/>
      <c r="L125" s="232">
        <v>130571.65000000001</v>
      </c>
      <c r="M125" s="274">
        <v>78793.759999999995</v>
      </c>
      <c r="N125" s="232">
        <f t="shared" si="10"/>
        <v>209365.41</v>
      </c>
      <c r="O125" s="281">
        <v>97649.38</v>
      </c>
      <c r="P125" s="402">
        <v>111716.03</v>
      </c>
      <c r="Q125" s="274">
        <v>93551.75</v>
      </c>
      <c r="R125" s="232">
        <f t="shared" si="11"/>
        <v>205267.78</v>
      </c>
      <c r="S125" s="281"/>
    </row>
    <row r="126" spans="1:19">
      <c r="A126" s="272">
        <v>120</v>
      </c>
      <c r="B126" s="78" t="s">
        <v>273</v>
      </c>
      <c r="C126" s="78" t="s">
        <v>950</v>
      </c>
      <c r="D126" s="229">
        <v>116.76000000000022</v>
      </c>
      <c r="E126" s="231">
        <v>2997.93</v>
      </c>
      <c r="F126" s="232">
        <f t="shared" si="14"/>
        <v>3114.69</v>
      </c>
      <c r="G126" s="249"/>
      <c r="H126" s="241">
        <v>3114.69</v>
      </c>
      <c r="I126" s="231">
        <v>4421.53</v>
      </c>
      <c r="J126" s="232">
        <f t="shared" si="15"/>
        <v>7536.2199999999993</v>
      </c>
      <c r="K126" s="281">
        <v>6257.4</v>
      </c>
      <c r="L126" s="232">
        <v>1278.8199999999997</v>
      </c>
      <c r="M126" s="274">
        <v>4037.26</v>
      </c>
      <c r="N126" s="232">
        <f t="shared" si="10"/>
        <v>5316.08</v>
      </c>
      <c r="O126" s="281"/>
      <c r="P126" s="402">
        <v>5316.08</v>
      </c>
      <c r="Q126" s="274">
        <v>5134.91</v>
      </c>
      <c r="R126" s="232">
        <f t="shared" si="11"/>
        <v>10450.99</v>
      </c>
      <c r="S126" s="281"/>
    </row>
    <row r="127" spans="1:19">
      <c r="A127" s="272">
        <v>121</v>
      </c>
      <c r="B127" s="78" t="s">
        <v>275</v>
      </c>
      <c r="C127" s="78" t="s">
        <v>951</v>
      </c>
      <c r="D127" s="229">
        <v>0</v>
      </c>
      <c r="E127" s="231">
        <v>321784.86000000004</v>
      </c>
      <c r="F127" s="232">
        <f t="shared" si="14"/>
        <v>321784.86000000004</v>
      </c>
      <c r="G127" s="249">
        <v>236210.02</v>
      </c>
      <c r="H127" s="241">
        <v>85574.840000000055</v>
      </c>
      <c r="I127" s="231">
        <v>405813.58</v>
      </c>
      <c r="J127" s="232">
        <f t="shared" si="15"/>
        <v>491388.42000000004</v>
      </c>
      <c r="K127" s="281">
        <v>293925.09999999998</v>
      </c>
      <c r="L127" s="232">
        <v>197463.32000000007</v>
      </c>
      <c r="M127" s="274">
        <v>450674.72</v>
      </c>
      <c r="N127" s="232">
        <f t="shared" si="10"/>
        <v>648138.04</v>
      </c>
      <c r="O127" s="281">
        <v>303100.40000000002</v>
      </c>
      <c r="P127" s="402">
        <v>345037.64</v>
      </c>
      <c r="Q127" s="274">
        <v>511771.32999999996</v>
      </c>
      <c r="R127" s="232">
        <f t="shared" si="11"/>
        <v>856808.97</v>
      </c>
      <c r="S127" s="281"/>
    </row>
    <row r="128" spans="1:19">
      <c r="A128" s="272">
        <v>122</v>
      </c>
      <c r="B128" s="78" t="s">
        <v>277</v>
      </c>
      <c r="C128" s="78" t="s">
        <v>952</v>
      </c>
      <c r="D128" s="229">
        <v>0</v>
      </c>
      <c r="E128" s="231">
        <v>1199384.1200000001</v>
      </c>
      <c r="F128" s="232">
        <f t="shared" si="14"/>
        <v>1199384.1200000001</v>
      </c>
      <c r="G128" s="249">
        <v>1219363.01</v>
      </c>
      <c r="H128" s="241">
        <v>0</v>
      </c>
      <c r="I128" s="231">
        <v>1721624.32</v>
      </c>
      <c r="J128" s="232">
        <f t="shared" si="15"/>
        <v>1721624.32</v>
      </c>
      <c r="K128" s="281">
        <v>2173038.1300000004</v>
      </c>
      <c r="L128" s="232">
        <v>0</v>
      </c>
      <c r="M128" s="274">
        <v>1746296.17</v>
      </c>
      <c r="N128" s="232">
        <f t="shared" si="10"/>
        <v>1746296.17</v>
      </c>
      <c r="O128" s="281">
        <v>1792181.4600000002</v>
      </c>
      <c r="P128" s="402">
        <v>0</v>
      </c>
      <c r="Q128" s="274">
        <v>1937495.91</v>
      </c>
      <c r="R128" s="232">
        <f t="shared" si="11"/>
        <v>1937495.91</v>
      </c>
      <c r="S128" s="281"/>
    </row>
    <row r="129" spans="1:19">
      <c r="A129" s="272">
        <v>123</v>
      </c>
      <c r="B129" s="78" t="s">
        <v>279</v>
      </c>
      <c r="C129" s="78" t="s">
        <v>953</v>
      </c>
      <c r="D129" s="229">
        <v>221338.32999999984</v>
      </c>
      <c r="E129" s="231">
        <v>1961263.98</v>
      </c>
      <c r="F129" s="232">
        <f t="shared" si="14"/>
        <v>2182602.3099999996</v>
      </c>
      <c r="G129" s="249">
        <v>1727220.26</v>
      </c>
      <c r="H129" s="241">
        <v>455382.04999999958</v>
      </c>
      <c r="I129" s="231">
        <v>2813234.2899999996</v>
      </c>
      <c r="J129" s="232">
        <f t="shared" si="15"/>
        <v>3268616.3399999989</v>
      </c>
      <c r="K129" s="281">
        <v>3110868.919999999</v>
      </c>
      <c r="L129" s="232">
        <v>157747.41999999993</v>
      </c>
      <c r="M129" s="274">
        <v>2790990.9</v>
      </c>
      <c r="N129" s="232">
        <f t="shared" si="10"/>
        <v>2948738.32</v>
      </c>
      <c r="O129" s="281">
        <v>3309766.86</v>
      </c>
      <c r="P129" s="402">
        <v>0</v>
      </c>
      <c r="Q129" s="274">
        <v>3079348.44</v>
      </c>
      <c r="R129" s="232">
        <f t="shared" si="11"/>
        <v>3079348.44</v>
      </c>
      <c r="S129" s="281"/>
    </row>
    <row r="130" spans="1:19">
      <c r="A130" s="272">
        <v>124</v>
      </c>
      <c r="B130" s="78" t="s">
        <v>281</v>
      </c>
      <c r="C130" s="78" t="s">
        <v>954</v>
      </c>
      <c r="D130" s="229">
        <v>3763.9799999999959</v>
      </c>
      <c r="E130" s="231">
        <v>54061.7</v>
      </c>
      <c r="F130" s="232">
        <f t="shared" si="14"/>
        <v>57825.679999999993</v>
      </c>
      <c r="G130" s="249">
        <v>47991.51</v>
      </c>
      <c r="H130" s="241">
        <v>9834.169999999991</v>
      </c>
      <c r="I130" s="231">
        <v>77110.429999999993</v>
      </c>
      <c r="J130" s="232">
        <f t="shared" si="15"/>
        <v>86944.599999999977</v>
      </c>
      <c r="K130" s="281">
        <v>82242.01999999999</v>
      </c>
      <c r="L130" s="232">
        <v>4702.5799999999872</v>
      </c>
      <c r="M130" s="274">
        <v>76701.320000000007</v>
      </c>
      <c r="N130" s="232">
        <f t="shared" si="10"/>
        <v>81403.899999999994</v>
      </c>
      <c r="O130" s="281">
        <v>74829.34</v>
      </c>
      <c r="P130" s="402">
        <v>6574.5599999999977</v>
      </c>
      <c r="Q130" s="274">
        <v>88001.64</v>
      </c>
      <c r="R130" s="232">
        <f t="shared" si="11"/>
        <v>94576.2</v>
      </c>
      <c r="S130" s="281"/>
    </row>
    <row r="131" spans="1:19">
      <c r="A131" s="272">
        <v>125</v>
      </c>
      <c r="B131" s="78" t="s">
        <v>283</v>
      </c>
      <c r="C131" s="78" t="s">
        <v>1368</v>
      </c>
      <c r="D131" s="229">
        <v>0</v>
      </c>
      <c r="E131" s="231">
        <v>93852.72</v>
      </c>
      <c r="F131" s="232">
        <f t="shared" si="14"/>
        <v>93852.72</v>
      </c>
      <c r="G131" s="249">
        <v>95288.44</v>
      </c>
      <c r="H131" s="241">
        <v>0</v>
      </c>
      <c r="I131" s="231">
        <v>137832.32000000001</v>
      </c>
      <c r="J131" s="232">
        <f t="shared" si="15"/>
        <v>137832.32000000001</v>
      </c>
      <c r="K131" s="281">
        <v>139040.27000000002</v>
      </c>
      <c r="L131" s="232">
        <v>0</v>
      </c>
      <c r="M131" s="274">
        <v>143557.91</v>
      </c>
      <c r="N131" s="232">
        <f t="shared" si="10"/>
        <v>143557.91</v>
      </c>
      <c r="O131" s="281">
        <v>150771</v>
      </c>
      <c r="P131" s="402">
        <v>0</v>
      </c>
      <c r="Q131" s="274">
        <v>150374.20000000001</v>
      </c>
      <c r="R131" s="232">
        <f t="shared" si="11"/>
        <v>150374.20000000001</v>
      </c>
      <c r="S131" s="281"/>
    </row>
    <row r="132" spans="1:19">
      <c r="A132" s="272">
        <v>126</v>
      </c>
      <c r="B132" s="78" t="s">
        <v>285</v>
      </c>
      <c r="C132" s="78" t="s">
        <v>956</v>
      </c>
      <c r="D132" s="229">
        <v>2482.1100000000006</v>
      </c>
      <c r="E132" s="231">
        <v>41069.39</v>
      </c>
      <c r="F132" s="232">
        <f t="shared" si="14"/>
        <v>43551.5</v>
      </c>
      <c r="G132" s="249">
        <v>43106.6</v>
      </c>
      <c r="H132" s="241">
        <v>444.90000000000146</v>
      </c>
      <c r="I132" s="231">
        <v>57158.44</v>
      </c>
      <c r="J132" s="232">
        <f t="shared" si="15"/>
        <v>57603.340000000004</v>
      </c>
      <c r="K132" s="281">
        <v>34568.949999999997</v>
      </c>
      <c r="L132" s="232">
        <v>23034.390000000007</v>
      </c>
      <c r="M132" s="274">
        <v>55938.32</v>
      </c>
      <c r="N132" s="232">
        <f t="shared" si="10"/>
        <v>78972.710000000006</v>
      </c>
      <c r="O132" s="281">
        <v>35346.9</v>
      </c>
      <c r="P132" s="402">
        <v>43625.810000000005</v>
      </c>
      <c r="Q132" s="274">
        <v>60208.66</v>
      </c>
      <c r="R132" s="232">
        <f t="shared" si="11"/>
        <v>103834.47</v>
      </c>
      <c r="S132" s="281"/>
    </row>
    <row r="133" spans="1:19">
      <c r="A133" s="272">
        <v>127</v>
      </c>
      <c r="B133" s="78" t="s">
        <v>287</v>
      </c>
      <c r="C133" s="78" t="s">
        <v>957</v>
      </c>
      <c r="D133" s="229">
        <v>2941.46</v>
      </c>
      <c r="E133" s="231">
        <v>12611.93</v>
      </c>
      <c r="F133" s="232">
        <f t="shared" si="14"/>
        <v>15553.39</v>
      </c>
      <c r="G133" s="249">
        <v>7588.65</v>
      </c>
      <c r="H133" s="241">
        <v>7964.74</v>
      </c>
      <c r="I133" s="231">
        <v>19060.11</v>
      </c>
      <c r="J133" s="232">
        <f t="shared" si="15"/>
        <v>27024.85</v>
      </c>
      <c r="K133" s="281">
        <v>7992.17</v>
      </c>
      <c r="L133" s="232">
        <v>19032.68</v>
      </c>
      <c r="M133" s="274">
        <v>19736.64</v>
      </c>
      <c r="N133" s="232">
        <f t="shared" si="10"/>
        <v>38769.32</v>
      </c>
      <c r="O133" s="281">
        <v>14894.45</v>
      </c>
      <c r="P133" s="402">
        <v>23874.87</v>
      </c>
      <c r="Q133" s="274">
        <v>21159.54</v>
      </c>
      <c r="R133" s="232">
        <f t="shared" si="11"/>
        <v>45034.41</v>
      </c>
      <c r="S133" s="281"/>
    </row>
    <row r="134" spans="1:19">
      <c r="A134" s="272">
        <v>128</v>
      </c>
      <c r="B134" s="78" t="s">
        <v>289</v>
      </c>
      <c r="C134" s="78" t="s">
        <v>958</v>
      </c>
      <c r="D134" s="229">
        <v>0</v>
      </c>
      <c r="E134" s="231">
        <v>47848.420000000006</v>
      </c>
      <c r="F134" s="232">
        <f t="shared" si="14"/>
        <v>47848.420000000006</v>
      </c>
      <c r="G134" s="249">
        <v>48964.98</v>
      </c>
      <c r="H134" s="241">
        <v>0</v>
      </c>
      <c r="I134" s="231">
        <v>66829.39</v>
      </c>
      <c r="J134" s="232">
        <f t="shared" si="15"/>
        <v>66829.39</v>
      </c>
      <c r="K134" s="281">
        <v>68620.08</v>
      </c>
      <c r="L134" s="232">
        <v>0</v>
      </c>
      <c r="M134" s="274">
        <v>64529.5</v>
      </c>
      <c r="N134" s="232">
        <f t="shared" si="10"/>
        <v>64529.5</v>
      </c>
      <c r="O134" s="281">
        <v>77440.569999999992</v>
      </c>
      <c r="P134" s="402">
        <v>0</v>
      </c>
      <c r="Q134" s="274">
        <v>69114.070000000007</v>
      </c>
      <c r="R134" s="232">
        <f t="shared" si="11"/>
        <v>69114.070000000007</v>
      </c>
      <c r="S134" s="281"/>
    </row>
    <row r="135" spans="1:19">
      <c r="A135" s="272">
        <v>129</v>
      </c>
      <c r="B135" s="78" t="s">
        <v>291</v>
      </c>
      <c r="C135" s="78" t="s">
        <v>1369</v>
      </c>
      <c r="D135" s="229">
        <v>45455.72</v>
      </c>
      <c r="E135" s="231">
        <v>105514.59999999999</v>
      </c>
      <c r="F135" s="232">
        <f t="shared" si="14"/>
        <v>150970.32</v>
      </c>
      <c r="G135" s="249">
        <v>109808.03</v>
      </c>
      <c r="H135" s="241">
        <v>41162.290000000008</v>
      </c>
      <c r="I135" s="231">
        <v>139662.26999999999</v>
      </c>
      <c r="J135" s="232">
        <f t="shared" si="15"/>
        <v>180824.56</v>
      </c>
      <c r="K135" s="281">
        <v>170184.27000000002</v>
      </c>
      <c r="L135" s="232">
        <v>10640.289999999979</v>
      </c>
      <c r="M135" s="274">
        <v>154160.63</v>
      </c>
      <c r="N135" s="232">
        <f t="shared" ref="N135:N198" si="16">+L135+M135</f>
        <v>164800.91999999998</v>
      </c>
      <c r="O135" s="281">
        <v>175380.65999999997</v>
      </c>
      <c r="P135" s="402">
        <v>0</v>
      </c>
      <c r="Q135" s="274">
        <v>174685.7</v>
      </c>
      <c r="R135" s="232">
        <f t="shared" ref="R135:R198" si="17">+P135+Q135</f>
        <v>174685.7</v>
      </c>
      <c r="S135" s="281"/>
    </row>
    <row r="136" spans="1:19">
      <c r="A136" s="272">
        <v>130</v>
      </c>
      <c r="B136" s="78" t="s">
        <v>293</v>
      </c>
      <c r="C136" s="78" t="s">
        <v>1370</v>
      </c>
      <c r="D136" s="229">
        <v>4897.58</v>
      </c>
      <c r="E136" s="231">
        <v>12832.039999999999</v>
      </c>
      <c r="F136" s="232">
        <f t="shared" si="14"/>
        <v>17729.62</v>
      </c>
      <c r="G136" s="249">
        <v>6405.71</v>
      </c>
      <c r="H136" s="241">
        <v>11323.91</v>
      </c>
      <c r="I136" s="231">
        <v>19934.330000000002</v>
      </c>
      <c r="J136" s="232">
        <f t="shared" si="15"/>
        <v>31258.240000000002</v>
      </c>
      <c r="K136" s="281">
        <v>22802.5</v>
      </c>
      <c r="L136" s="232">
        <v>8455.7400000000016</v>
      </c>
      <c r="M136" s="274">
        <v>19923.179999999997</v>
      </c>
      <c r="N136" s="232">
        <f t="shared" si="16"/>
        <v>28378.92</v>
      </c>
      <c r="O136" s="281">
        <v>18105.73</v>
      </c>
      <c r="P136" s="402">
        <v>10273.189999999999</v>
      </c>
      <c r="Q136" s="274">
        <v>21339.62</v>
      </c>
      <c r="R136" s="232">
        <f t="shared" si="17"/>
        <v>31612.809999999998</v>
      </c>
      <c r="S136" s="281"/>
    </row>
    <row r="137" spans="1:19">
      <c r="A137" s="272">
        <v>131</v>
      </c>
      <c r="B137" s="78" t="s">
        <v>295</v>
      </c>
      <c r="C137" s="78" t="s">
        <v>961</v>
      </c>
      <c r="D137" s="229">
        <v>38608.43</v>
      </c>
      <c r="E137" s="231">
        <v>92561.78</v>
      </c>
      <c r="F137" s="232">
        <f t="shared" si="14"/>
        <v>131170.21</v>
      </c>
      <c r="G137" s="249">
        <v>94647.07</v>
      </c>
      <c r="H137" s="241">
        <v>36523.139999999985</v>
      </c>
      <c r="I137" s="231">
        <v>134275.22</v>
      </c>
      <c r="J137" s="232">
        <f t="shared" si="15"/>
        <v>170798.36</v>
      </c>
      <c r="K137" s="281">
        <v>133983.47999999998</v>
      </c>
      <c r="L137" s="232">
        <v>36814.880000000005</v>
      </c>
      <c r="M137" s="274">
        <v>125866.18</v>
      </c>
      <c r="N137" s="232">
        <f t="shared" si="16"/>
        <v>162681.06</v>
      </c>
      <c r="O137" s="281">
        <v>111112.45</v>
      </c>
      <c r="P137" s="402">
        <v>51568.61</v>
      </c>
      <c r="Q137" s="274">
        <v>136293.36000000002</v>
      </c>
      <c r="R137" s="232">
        <f t="shared" si="17"/>
        <v>187861.97000000003</v>
      </c>
      <c r="S137" s="281"/>
    </row>
    <row r="138" spans="1:19">
      <c r="A138" s="272">
        <v>132</v>
      </c>
      <c r="B138" s="78" t="s">
        <v>297</v>
      </c>
      <c r="C138" s="78" t="s">
        <v>962</v>
      </c>
      <c r="D138" s="229">
        <v>0</v>
      </c>
      <c r="E138" s="231">
        <v>677651.62999999989</v>
      </c>
      <c r="F138" s="232">
        <f t="shared" si="14"/>
        <v>677651.62999999989</v>
      </c>
      <c r="G138" s="249">
        <v>747983.05</v>
      </c>
      <c r="H138" s="241">
        <v>0</v>
      </c>
      <c r="I138" s="231">
        <v>964893.79</v>
      </c>
      <c r="J138" s="232">
        <f t="shared" si="15"/>
        <v>964893.79</v>
      </c>
      <c r="K138" s="281">
        <v>1120354.73</v>
      </c>
      <c r="L138" s="232">
        <v>0</v>
      </c>
      <c r="M138" s="274">
        <v>1008288.3400000001</v>
      </c>
      <c r="N138" s="232">
        <f t="shared" si="16"/>
        <v>1008288.3400000001</v>
      </c>
      <c r="O138" s="281">
        <v>1036620.72</v>
      </c>
      <c r="P138" s="402">
        <v>0</v>
      </c>
      <c r="Q138" s="274">
        <v>1080841.6299999999</v>
      </c>
      <c r="R138" s="232">
        <f t="shared" si="17"/>
        <v>1080841.6299999999</v>
      </c>
      <c r="S138" s="281"/>
    </row>
    <row r="139" spans="1:19">
      <c r="A139" s="272">
        <v>133</v>
      </c>
      <c r="B139" s="78" t="s">
        <v>299</v>
      </c>
      <c r="C139" s="78" t="s">
        <v>963</v>
      </c>
      <c r="D139" s="229">
        <v>0</v>
      </c>
      <c r="E139" s="231">
        <v>2210473.4900000002</v>
      </c>
      <c r="F139" s="232">
        <f t="shared" si="14"/>
        <v>2210473.4900000002</v>
      </c>
      <c r="G139" s="249">
        <v>2210473.4900000002</v>
      </c>
      <c r="H139" s="241">
        <v>0</v>
      </c>
      <c r="I139" s="231">
        <v>3148521.2899999996</v>
      </c>
      <c r="J139" s="232">
        <f t="shared" si="15"/>
        <v>3148521.2899999996</v>
      </c>
      <c r="K139" s="281">
        <v>3178521.2900000005</v>
      </c>
      <c r="L139" s="232">
        <v>0</v>
      </c>
      <c r="M139" s="274">
        <v>3150381.17</v>
      </c>
      <c r="N139" s="232">
        <f t="shared" si="16"/>
        <v>3150381.17</v>
      </c>
      <c r="O139" s="281">
        <v>3152160.54</v>
      </c>
      <c r="P139" s="402">
        <v>0</v>
      </c>
      <c r="Q139" s="274">
        <v>3378890.89</v>
      </c>
      <c r="R139" s="232">
        <f t="shared" si="17"/>
        <v>3378890.89</v>
      </c>
      <c r="S139" s="281"/>
    </row>
    <row r="140" spans="1:19">
      <c r="A140" s="272">
        <v>134</v>
      </c>
      <c r="B140" s="78" t="s">
        <v>301</v>
      </c>
      <c r="C140" s="78" t="s">
        <v>964</v>
      </c>
      <c r="D140" s="229">
        <v>0</v>
      </c>
      <c r="E140" s="231">
        <v>183212.68</v>
      </c>
      <c r="F140" s="232">
        <f t="shared" si="14"/>
        <v>183212.68</v>
      </c>
      <c r="G140" s="249">
        <v>128900.49</v>
      </c>
      <c r="H140" s="241">
        <v>54312.189999999988</v>
      </c>
      <c r="I140" s="231">
        <v>260000.15</v>
      </c>
      <c r="J140" s="232">
        <f t="shared" si="15"/>
        <v>314312.33999999997</v>
      </c>
      <c r="K140" s="281">
        <v>110315.85999999999</v>
      </c>
      <c r="L140" s="232">
        <v>203996.47999999998</v>
      </c>
      <c r="M140" s="274">
        <v>265030.19</v>
      </c>
      <c r="N140" s="232">
        <f t="shared" si="16"/>
        <v>469026.67</v>
      </c>
      <c r="O140" s="281">
        <v>205661.28999999998</v>
      </c>
      <c r="P140" s="402">
        <v>263365.38</v>
      </c>
      <c r="Q140" s="274">
        <v>292310.61</v>
      </c>
      <c r="R140" s="232">
        <f t="shared" si="17"/>
        <v>555675.99</v>
      </c>
      <c r="S140" s="281"/>
    </row>
    <row r="141" spans="1:19">
      <c r="A141" s="272">
        <v>135</v>
      </c>
      <c r="B141" s="78" t="s">
        <v>303</v>
      </c>
      <c r="C141" s="78" t="s">
        <v>965</v>
      </c>
      <c r="D141" s="229">
        <v>253.01000000000022</v>
      </c>
      <c r="E141" s="231">
        <v>3949.9700000000003</v>
      </c>
      <c r="F141" s="232">
        <f t="shared" si="14"/>
        <v>4202.9800000000005</v>
      </c>
      <c r="G141" s="249">
        <v>3402.66</v>
      </c>
      <c r="H141" s="241">
        <v>800.32000000000062</v>
      </c>
      <c r="I141" s="231">
        <v>5867.87</v>
      </c>
      <c r="J141" s="232">
        <f t="shared" si="15"/>
        <v>6668.1900000000005</v>
      </c>
      <c r="K141" s="281">
        <v>6669.8099999999995</v>
      </c>
      <c r="L141" s="232">
        <v>0</v>
      </c>
      <c r="M141" s="274">
        <v>5845.29</v>
      </c>
      <c r="N141" s="232">
        <f t="shared" si="16"/>
        <v>5845.29</v>
      </c>
      <c r="O141" s="281">
        <v>6152.37</v>
      </c>
      <c r="P141" s="402">
        <v>0</v>
      </c>
      <c r="Q141" s="274">
        <v>6084.83</v>
      </c>
      <c r="R141" s="232">
        <f t="shared" si="17"/>
        <v>6084.83</v>
      </c>
      <c r="S141" s="281"/>
    </row>
    <row r="142" spans="1:19">
      <c r="A142" s="272">
        <v>136</v>
      </c>
      <c r="B142" s="78" t="s">
        <v>305</v>
      </c>
      <c r="C142" s="78" t="s">
        <v>966</v>
      </c>
      <c r="D142" s="229">
        <v>0</v>
      </c>
      <c r="E142" s="231">
        <v>34801.15</v>
      </c>
      <c r="F142" s="232">
        <f t="shared" si="14"/>
        <v>34801.15</v>
      </c>
      <c r="G142" s="249">
        <v>15389.65</v>
      </c>
      <c r="H142" s="241">
        <v>19411.5</v>
      </c>
      <c r="I142" s="231">
        <v>50257.58</v>
      </c>
      <c r="J142" s="232">
        <f t="shared" si="15"/>
        <v>69669.08</v>
      </c>
      <c r="K142" s="281">
        <v>73370.3</v>
      </c>
      <c r="L142" s="232">
        <v>0</v>
      </c>
      <c r="M142" s="274">
        <v>54229.790000000008</v>
      </c>
      <c r="N142" s="232">
        <f t="shared" si="16"/>
        <v>54229.790000000008</v>
      </c>
      <c r="O142" s="281">
        <v>55083.86</v>
      </c>
      <c r="P142" s="402">
        <v>0</v>
      </c>
      <c r="Q142" s="274">
        <v>58452.549999999996</v>
      </c>
      <c r="R142" s="232">
        <f t="shared" si="17"/>
        <v>58452.549999999996</v>
      </c>
      <c r="S142" s="281"/>
    </row>
    <row r="143" spans="1:19">
      <c r="A143" s="272">
        <v>137</v>
      </c>
      <c r="B143" s="78" t="s">
        <v>307</v>
      </c>
      <c r="C143" s="78" t="s">
        <v>967</v>
      </c>
      <c r="D143" s="229">
        <v>558.14999999999964</v>
      </c>
      <c r="E143" s="231">
        <v>19069.79</v>
      </c>
      <c r="F143" s="232">
        <f t="shared" si="14"/>
        <v>19627.940000000002</v>
      </c>
      <c r="G143" s="249">
        <v>17991.97</v>
      </c>
      <c r="H143" s="241">
        <v>1635.9700000000012</v>
      </c>
      <c r="I143" s="231">
        <v>28392.959999999999</v>
      </c>
      <c r="J143" s="232">
        <f t="shared" si="15"/>
        <v>30028.93</v>
      </c>
      <c r="K143" s="281">
        <v>28656.620000000003</v>
      </c>
      <c r="L143" s="232">
        <v>1372.3099999999977</v>
      </c>
      <c r="M143" s="274">
        <v>28563.809999999998</v>
      </c>
      <c r="N143" s="232">
        <f t="shared" si="16"/>
        <v>29936.119999999995</v>
      </c>
      <c r="O143" s="281">
        <v>29960.089999999997</v>
      </c>
      <c r="P143" s="402">
        <v>0</v>
      </c>
      <c r="Q143" s="274">
        <v>32128</v>
      </c>
      <c r="R143" s="232">
        <f t="shared" si="17"/>
        <v>32128</v>
      </c>
      <c r="S143" s="281"/>
    </row>
    <row r="144" spans="1:19">
      <c r="A144" s="272">
        <v>138</v>
      </c>
      <c r="B144" s="78" t="s">
        <v>309</v>
      </c>
      <c r="C144" s="78" t="s">
        <v>968</v>
      </c>
      <c r="D144" s="229">
        <v>0</v>
      </c>
      <c r="E144" s="231">
        <v>427087.6</v>
      </c>
      <c r="F144" s="232">
        <f t="shared" si="14"/>
        <v>427087.6</v>
      </c>
      <c r="G144" s="249">
        <v>423746.18</v>
      </c>
      <c r="H144" s="241">
        <v>3341.4199999999837</v>
      </c>
      <c r="I144" s="231">
        <v>587125.79</v>
      </c>
      <c r="J144" s="232">
        <f t="shared" si="15"/>
        <v>590467.21</v>
      </c>
      <c r="K144" s="281">
        <v>701968.9</v>
      </c>
      <c r="L144" s="232">
        <v>0</v>
      </c>
      <c r="M144" s="274">
        <v>592234.70000000007</v>
      </c>
      <c r="N144" s="232">
        <f t="shared" si="16"/>
        <v>592234.70000000007</v>
      </c>
      <c r="O144" s="281">
        <v>708443.97</v>
      </c>
      <c r="P144" s="402">
        <v>0</v>
      </c>
      <c r="Q144" s="274">
        <v>646232.68999999994</v>
      </c>
      <c r="R144" s="232">
        <f t="shared" si="17"/>
        <v>646232.68999999994</v>
      </c>
      <c r="S144" s="281"/>
    </row>
    <row r="145" spans="1:19">
      <c r="A145" s="272">
        <v>139</v>
      </c>
      <c r="B145" s="78" t="s">
        <v>311</v>
      </c>
      <c r="C145" s="78" t="s">
        <v>969</v>
      </c>
      <c r="D145" s="229">
        <v>474.21000000000004</v>
      </c>
      <c r="E145" s="231">
        <v>7045.1799999999994</v>
      </c>
      <c r="F145" s="232">
        <f t="shared" si="14"/>
        <v>7519.3899999999994</v>
      </c>
      <c r="G145" s="249">
        <v>7887.34</v>
      </c>
      <c r="H145" s="241">
        <v>0</v>
      </c>
      <c r="I145" s="231">
        <v>10576.33</v>
      </c>
      <c r="J145" s="232">
        <f t="shared" si="15"/>
        <v>10576.33</v>
      </c>
      <c r="K145" s="281">
        <v>9071.15</v>
      </c>
      <c r="L145" s="232">
        <v>1505.1800000000003</v>
      </c>
      <c r="M145" s="274">
        <v>11958.84</v>
      </c>
      <c r="N145" s="232">
        <f t="shared" si="16"/>
        <v>13464.02</v>
      </c>
      <c r="O145" s="281">
        <v>15982.989999999998</v>
      </c>
      <c r="P145" s="402">
        <v>0</v>
      </c>
      <c r="Q145" s="274">
        <v>13010.560000000001</v>
      </c>
      <c r="R145" s="232">
        <f t="shared" si="17"/>
        <v>13010.560000000001</v>
      </c>
      <c r="S145" s="281"/>
    </row>
    <row r="146" spans="1:19">
      <c r="A146" s="272">
        <v>140</v>
      </c>
      <c r="B146" s="78" t="s">
        <v>313</v>
      </c>
      <c r="C146" s="78" t="s">
        <v>970</v>
      </c>
      <c r="D146" s="229">
        <v>3747.8200000000015</v>
      </c>
      <c r="E146" s="231">
        <v>24192.289999999997</v>
      </c>
      <c r="F146" s="232">
        <f t="shared" si="14"/>
        <v>27940.11</v>
      </c>
      <c r="G146" s="249">
        <v>23542.07</v>
      </c>
      <c r="H146" s="241">
        <v>4398.0400000000009</v>
      </c>
      <c r="I146" s="231">
        <v>33330.840000000004</v>
      </c>
      <c r="J146" s="232">
        <f t="shared" si="15"/>
        <v>37728.880000000005</v>
      </c>
      <c r="K146" s="281"/>
      <c r="L146" s="232">
        <v>37728.880000000005</v>
      </c>
      <c r="M146" s="274">
        <v>34824.949999999997</v>
      </c>
      <c r="N146" s="232">
        <f t="shared" si="16"/>
        <v>72553.83</v>
      </c>
      <c r="O146" s="281">
        <v>38336.51</v>
      </c>
      <c r="P146" s="402">
        <v>34217.32</v>
      </c>
      <c r="Q146" s="274">
        <v>36294.899999999994</v>
      </c>
      <c r="R146" s="232">
        <f t="shared" si="17"/>
        <v>70512.22</v>
      </c>
      <c r="S146" s="281"/>
    </row>
    <row r="147" spans="1:19">
      <c r="A147" s="272">
        <v>141</v>
      </c>
      <c r="B147" s="235" t="s">
        <v>315</v>
      </c>
      <c r="C147" s="236" t="s">
        <v>1371</v>
      </c>
      <c r="D147" s="229"/>
      <c r="E147" s="231"/>
      <c r="F147" s="232">
        <f t="shared" si="14"/>
        <v>0</v>
      </c>
      <c r="G147" s="249"/>
      <c r="H147" s="242">
        <v>0</v>
      </c>
      <c r="I147" s="231">
        <v>13679.67</v>
      </c>
      <c r="J147" s="232">
        <f t="shared" si="15"/>
        <v>13679.67</v>
      </c>
      <c r="K147" s="281">
        <v>13927.7</v>
      </c>
      <c r="L147" s="232">
        <v>0</v>
      </c>
      <c r="M147" s="274">
        <v>13945.5</v>
      </c>
      <c r="N147" s="232">
        <f t="shared" si="16"/>
        <v>13945.5</v>
      </c>
      <c r="O147" s="281">
        <v>14015.420000000002</v>
      </c>
      <c r="P147" s="402">
        <v>0</v>
      </c>
      <c r="Q147" s="274">
        <v>14609.08</v>
      </c>
      <c r="R147" s="232">
        <f t="shared" si="17"/>
        <v>14609.08</v>
      </c>
      <c r="S147" s="281"/>
    </row>
    <row r="148" spans="1:19">
      <c r="A148" s="272">
        <v>142</v>
      </c>
      <c r="B148" s="78" t="s">
        <v>317</v>
      </c>
      <c r="C148" s="78" t="s">
        <v>1372</v>
      </c>
      <c r="D148" s="229">
        <v>15296.679999999998</v>
      </c>
      <c r="E148" s="231">
        <v>35418.61</v>
      </c>
      <c r="F148" s="232">
        <f t="shared" si="14"/>
        <v>50715.29</v>
      </c>
      <c r="G148" s="249"/>
      <c r="H148" s="241">
        <v>50715.29</v>
      </c>
      <c r="I148" s="231">
        <v>50970.239999999998</v>
      </c>
      <c r="J148" s="232">
        <f t="shared" si="15"/>
        <v>101685.53</v>
      </c>
      <c r="K148" s="281"/>
      <c r="L148" s="232">
        <v>101685.53</v>
      </c>
      <c r="M148" s="274">
        <v>51056.790000000008</v>
      </c>
      <c r="N148" s="232">
        <f t="shared" si="16"/>
        <v>152742.32</v>
      </c>
      <c r="O148" s="281">
        <v>42646.380000000005</v>
      </c>
      <c r="P148" s="402">
        <v>110095.94</v>
      </c>
      <c r="Q148" s="274">
        <v>54646.81</v>
      </c>
      <c r="R148" s="232">
        <f t="shared" si="17"/>
        <v>164742.75</v>
      </c>
      <c r="S148" s="281"/>
    </row>
    <row r="149" spans="1:19">
      <c r="A149" s="272">
        <v>143</v>
      </c>
      <c r="B149" s="78" t="s">
        <v>319</v>
      </c>
      <c r="C149" s="78" t="s">
        <v>974</v>
      </c>
      <c r="D149" s="229">
        <v>0</v>
      </c>
      <c r="E149" s="231">
        <v>19155.219999999998</v>
      </c>
      <c r="F149" s="232">
        <f t="shared" si="14"/>
        <v>19155.219999999998</v>
      </c>
      <c r="G149" s="249">
        <v>3076.96</v>
      </c>
      <c r="H149" s="241">
        <v>16078.259999999998</v>
      </c>
      <c r="I149" s="231">
        <v>26581.56</v>
      </c>
      <c r="J149" s="232">
        <f t="shared" si="15"/>
        <v>42659.82</v>
      </c>
      <c r="K149" s="281">
        <v>31946.720000000001</v>
      </c>
      <c r="L149" s="232">
        <v>10713.099999999999</v>
      </c>
      <c r="M149" s="274">
        <v>26165.480000000003</v>
      </c>
      <c r="N149" s="232">
        <f t="shared" si="16"/>
        <v>36878.58</v>
      </c>
      <c r="O149" s="281">
        <v>21244.149999999998</v>
      </c>
      <c r="P149" s="402">
        <v>15634.430000000004</v>
      </c>
      <c r="Q149" s="274">
        <v>28452.86</v>
      </c>
      <c r="R149" s="232">
        <f t="shared" si="17"/>
        <v>44087.290000000008</v>
      </c>
      <c r="S149" s="281"/>
    </row>
    <row r="150" spans="1:19">
      <c r="A150" s="272">
        <v>144</v>
      </c>
      <c r="B150" s="78" t="s">
        <v>321</v>
      </c>
      <c r="C150" s="78" t="s">
        <v>975</v>
      </c>
      <c r="D150" s="229">
        <v>0</v>
      </c>
      <c r="E150" s="231">
        <v>212590.22999999998</v>
      </c>
      <c r="F150" s="232">
        <f t="shared" si="14"/>
        <v>212590.22999999998</v>
      </c>
      <c r="G150" s="249">
        <v>205750.32</v>
      </c>
      <c r="H150" s="241">
        <v>6839.9099999999744</v>
      </c>
      <c r="I150" s="231">
        <v>278932.16000000003</v>
      </c>
      <c r="J150" s="232">
        <f t="shared" si="15"/>
        <v>285772.07</v>
      </c>
      <c r="K150" s="281">
        <v>349748.5799999999</v>
      </c>
      <c r="L150" s="232">
        <v>0</v>
      </c>
      <c r="M150" s="274">
        <v>290188.18000000005</v>
      </c>
      <c r="N150" s="232">
        <f t="shared" si="16"/>
        <v>290188.18000000005</v>
      </c>
      <c r="O150" s="281">
        <v>267698</v>
      </c>
      <c r="P150" s="402">
        <v>22490.180000000051</v>
      </c>
      <c r="Q150" s="274">
        <v>326496.51</v>
      </c>
      <c r="R150" s="232">
        <f t="shared" si="17"/>
        <v>348986.69000000006</v>
      </c>
      <c r="S150" s="281"/>
    </row>
    <row r="151" spans="1:19">
      <c r="A151" s="272">
        <v>145</v>
      </c>
      <c r="B151" s="78" t="s">
        <v>323</v>
      </c>
      <c r="C151" s="78" t="s">
        <v>976</v>
      </c>
      <c r="D151" s="229">
        <v>0</v>
      </c>
      <c r="E151" s="231">
        <v>61154.79</v>
      </c>
      <c r="F151" s="232">
        <f t="shared" ref="F151:F182" si="18">+D151+E151</f>
        <v>61154.79</v>
      </c>
      <c r="G151" s="249">
        <v>61306.21</v>
      </c>
      <c r="H151" s="241">
        <v>0</v>
      </c>
      <c r="I151" s="231">
        <v>91882.060000000012</v>
      </c>
      <c r="J151" s="232">
        <f t="shared" ref="J151:J182" si="19">+H151+I151</f>
        <v>91882.060000000012</v>
      </c>
      <c r="K151" s="281">
        <v>69472.259999999995</v>
      </c>
      <c r="L151" s="232">
        <v>22409.800000000017</v>
      </c>
      <c r="M151" s="274">
        <v>88785.83</v>
      </c>
      <c r="N151" s="232">
        <f t="shared" si="16"/>
        <v>111195.63000000002</v>
      </c>
      <c r="O151" s="281"/>
      <c r="P151" s="402">
        <v>111195.63000000002</v>
      </c>
      <c r="Q151" s="274">
        <v>91870.43</v>
      </c>
      <c r="R151" s="232">
        <f t="shared" si="17"/>
        <v>203066.06</v>
      </c>
      <c r="S151" s="281"/>
    </row>
    <row r="152" spans="1:19">
      <c r="A152" s="272">
        <v>146</v>
      </c>
      <c r="B152" s="78" t="s">
        <v>325</v>
      </c>
      <c r="C152" s="78" t="s">
        <v>977</v>
      </c>
      <c r="D152" s="229">
        <v>2717.8199999999997</v>
      </c>
      <c r="E152" s="231">
        <v>13049.989999999998</v>
      </c>
      <c r="F152" s="232">
        <f t="shared" si="18"/>
        <v>15767.809999999998</v>
      </c>
      <c r="G152" s="249">
        <v>10690.06</v>
      </c>
      <c r="H152" s="241">
        <v>5077.7499999999982</v>
      </c>
      <c r="I152" s="231">
        <v>19659.199999999997</v>
      </c>
      <c r="J152" s="232">
        <f t="shared" si="19"/>
        <v>24736.949999999997</v>
      </c>
      <c r="K152" s="281">
        <v>16962.48</v>
      </c>
      <c r="L152" s="232">
        <v>7774.4699999999975</v>
      </c>
      <c r="M152" s="274">
        <v>19822.45</v>
      </c>
      <c r="N152" s="232">
        <f t="shared" si="16"/>
        <v>27596.92</v>
      </c>
      <c r="O152" s="281">
        <v>15884.550000000001</v>
      </c>
      <c r="P152" s="402">
        <v>11712.369999999997</v>
      </c>
      <c r="Q152" s="274">
        <v>21844.89</v>
      </c>
      <c r="R152" s="232">
        <f t="shared" si="17"/>
        <v>33557.259999999995</v>
      </c>
      <c r="S152" s="281"/>
    </row>
    <row r="153" spans="1:19">
      <c r="A153" s="272">
        <v>147</v>
      </c>
      <c r="B153" s="78" t="s">
        <v>327</v>
      </c>
      <c r="C153" s="78" t="s">
        <v>978</v>
      </c>
      <c r="D153" s="229">
        <v>1521.3199999999997</v>
      </c>
      <c r="E153" s="231">
        <v>44970.34</v>
      </c>
      <c r="F153" s="232">
        <f t="shared" si="18"/>
        <v>46491.659999999996</v>
      </c>
      <c r="G153" s="249">
        <v>42657.25</v>
      </c>
      <c r="H153" s="241">
        <v>3834.4099999999962</v>
      </c>
      <c r="I153" s="231">
        <v>65829.38</v>
      </c>
      <c r="J153" s="232">
        <f t="shared" si="19"/>
        <v>69663.790000000008</v>
      </c>
      <c r="K153" s="281">
        <v>69563.919999999984</v>
      </c>
      <c r="L153" s="232">
        <v>99.870000000024447</v>
      </c>
      <c r="M153" s="274">
        <v>65845.69</v>
      </c>
      <c r="N153" s="232">
        <f t="shared" si="16"/>
        <v>65945.560000000027</v>
      </c>
      <c r="O153" s="281">
        <v>67219.77</v>
      </c>
      <c r="P153" s="402">
        <v>0</v>
      </c>
      <c r="Q153" s="274">
        <v>72348.26999999999</v>
      </c>
      <c r="R153" s="232">
        <f t="shared" si="17"/>
        <v>72348.26999999999</v>
      </c>
      <c r="S153" s="281"/>
    </row>
    <row r="154" spans="1:19">
      <c r="A154" s="272">
        <v>148</v>
      </c>
      <c r="B154" s="78" t="s">
        <v>329</v>
      </c>
      <c r="C154" s="78" t="s">
        <v>979</v>
      </c>
      <c r="D154" s="229">
        <v>4940.5</v>
      </c>
      <c r="E154" s="231">
        <v>21965.48</v>
      </c>
      <c r="F154" s="232">
        <f t="shared" si="18"/>
        <v>26905.98</v>
      </c>
      <c r="G154" s="249">
        <v>10986.78</v>
      </c>
      <c r="H154" s="241">
        <v>15919.199999999999</v>
      </c>
      <c r="I154" s="231">
        <v>45461.670000000006</v>
      </c>
      <c r="J154" s="232">
        <f t="shared" si="19"/>
        <v>61380.87</v>
      </c>
      <c r="K154" s="281">
        <v>21792.539999999997</v>
      </c>
      <c r="L154" s="232">
        <v>39588.33</v>
      </c>
      <c r="M154" s="274">
        <v>41207.339999999997</v>
      </c>
      <c r="N154" s="232">
        <f t="shared" si="16"/>
        <v>80795.67</v>
      </c>
      <c r="O154" s="281">
        <v>21671.75</v>
      </c>
      <c r="P154" s="402">
        <v>59123.92</v>
      </c>
      <c r="Q154" s="274">
        <v>39018.629999999997</v>
      </c>
      <c r="R154" s="232">
        <f t="shared" si="17"/>
        <v>98142.549999999988</v>
      </c>
      <c r="S154" s="281"/>
    </row>
    <row r="155" spans="1:19">
      <c r="A155" s="272">
        <v>149</v>
      </c>
      <c r="B155" s="78" t="s">
        <v>331</v>
      </c>
      <c r="C155" s="78" t="s">
        <v>980</v>
      </c>
      <c r="D155" s="229">
        <v>275.80999999999949</v>
      </c>
      <c r="E155" s="231">
        <v>29533.65</v>
      </c>
      <c r="F155" s="232">
        <f t="shared" si="18"/>
        <v>29809.46</v>
      </c>
      <c r="G155" s="249">
        <v>29388.1</v>
      </c>
      <c r="H155" s="241">
        <v>421.36000000000058</v>
      </c>
      <c r="I155" s="231">
        <v>39342.19</v>
      </c>
      <c r="J155" s="232">
        <f t="shared" si="19"/>
        <v>39763.550000000003</v>
      </c>
      <c r="K155" s="281">
        <v>25824.460000000003</v>
      </c>
      <c r="L155" s="232">
        <v>13939.09</v>
      </c>
      <c r="M155" s="274">
        <v>42155.519999999997</v>
      </c>
      <c r="N155" s="232">
        <f t="shared" si="16"/>
        <v>56094.61</v>
      </c>
      <c r="O155" s="281">
        <v>37336.550000000003</v>
      </c>
      <c r="P155" s="402">
        <v>18758.059999999998</v>
      </c>
      <c r="Q155" s="274">
        <v>50928.32</v>
      </c>
      <c r="R155" s="232">
        <f t="shared" si="17"/>
        <v>69686.38</v>
      </c>
      <c r="S155" s="281"/>
    </row>
    <row r="156" spans="1:19">
      <c r="A156" s="272">
        <v>150</v>
      </c>
      <c r="B156" s="78" t="s">
        <v>333</v>
      </c>
      <c r="C156" s="78" t="s">
        <v>981</v>
      </c>
      <c r="D156" s="229">
        <v>0</v>
      </c>
      <c r="E156" s="231">
        <v>787163.36</v>
      </c>
      <c r="F156" s="232">
        <f t="shared" si="18"/>
        <v>787163.36</v>
      </c>
      <c r="G156" s="249">
        <v>808920.92</v>
      </c>
      <c r="H156" s="241">
        <v>0</v>
      </c>
      <c r="I156" s="231">
        <v>1085715.31</v>
      </c>
      <c r="J156" s="232">
        <f t="shared" si="19"/>
        <v>1085715.31</v>
      </c>
      <c r="K156" s="281">
        <v>1257385.4700000002</v>
      </c>
      <c r="L156" s="232">
        <v>0</v>
      </c>
      <c r="M156" s="274">
        <v>1074763.9900000002</v>
      </c>
      <c r="N156" s="232">
        <f t="shared" si="16"/>
        <v>1074763.9900000002</v>
      </c>
      <c r="O156" s="281">
        <v>1130548.9000000001</v>
      </c>
      <c r="P156" s="402">
        <v>0</v>
      </c>
      <c r="Q156" s="274">
        <v>1173975.73</v>
      </c>
      <c r="R156" s="232">
        <f t="shared" si="17"/>
        <v>1173975.73</v>
      </c>
      <c r="S156" s="281"/>
    </row>
    <row r="157" spans="1:19">
      <c r="A157" s="272">
        <v>151</v>
      </c>
      <c r="B157" s="78" t="s">
        <v>335</v>
      </c>
      <c r="C157" s="78" t="s">
        <v>1373</v>
      </c>
      <c r="D157" s="229">
        <v>1336.9500000000007</v>
      </c>
      <c r="E157" s="231">
        <v>22432.28</v>
      </c>
      <c r="F157" s="232">
        <f t="shared" si="18"/>
        <v>23769.23</v>
      </c>
      <c r="G157" s="249">
        <v>12240.05</v>
      </c>
      <c r="H157" s="241">
        <v>11529.18</v>
      </c>
      <c r="I157" s="231">
        <v>29702.440000000002</v>
      </c>
      <c r="J157" s="232">
        <f t="shared" si="19"/>
        <v>41231.620000000003</v>
      </c>
      <c r="K157" s="281">
        <v>41231.630000000005</v>
      </c>
      <c r="L157" s="232">
        <v>0</v>
      </c>
      <c r="M157" s="274">
        <v>29185.3</v>
      </c>
      <c r="N157" s="232">
        <f t="shared" si="16"/>
        <v>29185.3</v>
      </c>
      <c r="O157" s="281">
        <v>29265.040000000001</v>
      </c>
      <c r="P157" s="402">
        <v>0</v>
      </c>
      <c r="Q157" s="274">
        <v>33737.32</v>
      </c>
      <c r="R157" s="232">
        <f t="shared" si="17"/>
        <v>33737.32</v>
      </c>
      <c r="S157" s="281"/>
    </row>
    <row r="158" spans="1:19">
      <c r="A158" s="272">
        <v>152</v>
      </c>
      <c r="B158" s="78" t="s">
        <v>337</v>
      </c>
      <c r="C158" s="78" t="s">
        <v>983</v>
      </c>
      <c r="D158" s="229">
        <v>0</v>
      </c>
      <c r="E158" s="231">
        <v>630551.75</v>
      </c>
      <c r="F158" s="232">
        <f t="shared" si="18"/>
        <v>630551.75</v>
      </c>
      <c r="G158" s="249">
        <v>648725.42000000004</v>
      </c>
      <c r="H158" s="241">
        <v>0</v>
      </c>
      <c r="I158" s="231">
        <v>885935.2</v>
      </c>
      <c r="J158" s="232">
        <f t="shared" si="19"/>
        <v>885935.2</v>
      </c>
      <c r="K158" s="281">
        <v>952201.13</v>
      </c>
      <c r="L158" s="232">
        <v>0</v>
      </c>
      <c r="M158" s="274">
        <v>886620.65999999992</v>
      </c>
      <c r="N158" s="232">
        <f t="shared" si="16"/>
        <v>886620.65999999992</v>
      </c>
      <c r="O158" s="281">
        <v>731335.04</v>
      </c>
      <c r="P158" s="402">
        <v>155285.61999999988</v>
      </c>
      <c r="Q158" s="274">
        <v>955389.28</v>
      </c>
      <c r="R158" s="232">
        <f t="shared" si="17"/>
        <v>1110674.8999999999</v>
      </c>
      <c r="S158" s="281"/>
    </row>
    <row r="159" spans="1:19">
      <c r="A159" s="272">
        <v>153</v>
      </c>
      <c r="B159" s="78" t="s">
        <v>339</v>
      </c>
      <c r="C159" s="78" t="s">
        <v>984</v>
      </c>
      <c r="D159" s="229">
        <v>0</v>
      </c>
      <c r="E159" s="231">
        <v>109134.96999999999</v>
      </c>
      <c r="F159" s="232">
        <f t="shared" si="18"/>
        <v>109134.96999999999</v>
      </c>
      <c r="G159" s="249">
        <v>110246.93</v>
      </c>
      <c r="H159" s="241">
        <v>0</v>
      </c>
      <c r="I159" s="231">
        <v>140992.13</v>
      </c>
      <c r="J159" s="232">
        <f t="shared" si="19"/>
        <v>140992.13</v>
      </c>
      <c r="K159" s="281">
        <v>159120.30999999997</v>
      </c>
      <c r="L159" s="232">
        <v>0</v>
      </c>
      <c r="M159" s="274">
        <v>155611.13</v>
      </c>
      <c r="N159" s="232">
        <f t="shared" si="16"/>
        <v>155611.13</v>
      </c>
      <c r="O159" s="281">
        <v>151350.82999999999</v>
      </c>
      <c r="P159" s="402">
        <v>4260.3000000000175</v>
      </c>
      <c r="Q159" s="274">
        <v>170920.27000000002</v>
      </c>
      <c r="R159" s="232">
        <f t="shared" si="17"/>
        <v>175180.57000000004</v>
      </c>
      <c r="S159" s="281"/>
    </row>
    <row r="160" spans="1:19">
      <c r="A160" s="272">
        <v>154</v>
      </c>
      <c r="B160" s="78" t="s">
        <v>341</v>
      </c>
      <c r="C160" s="78" t="s">
        <v>985</v>
      </c>
      <c r="D160" s="229">
        <v>0</v>
      </c>
      <c r="E160" s="231">
        <v>287521.94</v>
      </c>
      <c r="F160" s="232">
        <f t="shared" si="18"/>
        <v>287521.94</v>
      </c>
      <c r="G160" s="249">
        <v>312104.83</v>
      </c>
      <c r="H160" s="241">
        <v>0</v>
      </c>
      <c r="I160" s="231">
        <v>392615.18999999994</v>
      </c>
      <c r="J160" s="232">
        <f t="shared" si="19"/>
        <v>392615.18999999994</v>
      </c>
      <c r="K160" s="281">
        <v>489482.36000000004</v>
      </c>
      <c r="L160" s="232">
        <v>0</v>
      </c>
      <c r="M160" s="274">
        <v>394850.47000000003</v>
      </c>
      <c r="N160" s="232">
        <f t="shared" si="16"/>
        <v>394850.47000000003</v>
      </c>
      <c r="O160" s="281">
        <v>470185.65</v>
      </c>
      <c r="P160" s="402">
        <v>0</v>
      </c>
      <c r="Q160" s="274">
        <v>425775.37</v>
      </c>
      <c r="R160" s="232">
        <f t="shared" si="17"/>
        <v>425775.37</v>
      </c>
      <c r="S160" s="281"/>
    </row>
    <row r="161" spans="1:19">
      <c r="A161" s="272">
        <v>155</v>
      </c>
      <c r="B161" s="78" t="s">
        <v>343</v>
      </c>
      <c r="C161" s="78" t="s">
        <v>986</v>
      </c>
      <c r="D161" s="229">
        <v>46305.26</v>
      </c>
      <c r="E161" s="231">
        <v>99282.540000000008</v>
      </c>
      <c r="F161" s="232">
        <f t="shared" si="18"/>
        <v>145587.80000000002</v>
      </c>
      <c r="G161" s="249">
        <v>106732.26</v>
      </c>
      <c r="H161" s="241">
        <v>38855.540000000023</v>
      </c>
      <c r="I161" s="231">
        <v>136804.71</v>
      </c>
      <c r="J161" s="232">
        <f t="shared" si="19"/>
        <v>175660.25</v>
      </c>
      <c r="K161" s="281">
        <v>232451.43000000002</v>
      </c>
      <c r="L161" s="232">
        <v>0</v>
      </c>
      <c r="M161" s="274">
        <v>145837.89000000001</v>
      </c>
      <c r="N161" s="232">
        <f t="shared" si="16"/>
        <v>145837.89000000001</v>
      </c>
      <c r="O161" s="281">
        <v>254680.81</v>
      </c>
      <c r="P161" s="402">
        <v>0</v>
      </c>
      <c r="Q161" s="274">
        <v>161092.31</v>
      </c>
      <c r="R161" s="232">
        <f t="shared" si="17"/>
        <v>161092.31</v>
      </c>
      <c r="S161" s="281"/>
    </row>
    <row r="162" spans="1:19">
      <c r="A162" s="272">
        <v>156</v>
      </c>
      <c r="B162" s="78" t="s">
        <v>345</v>
      </c>
      <c r="C162" s="78" t="s">
        <v>987</v>
      </c>
      <c r="D162" s="229">
        <v>0</v>
      </c>
      <c r="E162" s="231">
        <v>37364.629999999997</v>
      </c>
      <c r="F162" s="232">
        <f t="shared" si="18"/>
        <v>37364.629999999997</v>
      </c>
      <c r="G162" s="249">
        <v>46779.05</v>
      </c>
      <c r="H162" s="241">
        <v>0</v>
      </c>
      <c r="I162" s="231">
        <v>54484.91</v>
      </c>
      <c r="J162" s="232">
        <f t="shared" si="19"/>
        <v>54484.91</v>
      </c>
      <c r="K162" s="281">
        <v>76404.41</v>
      </c>
      <c r="L162" s="232">
        <v>0</v>
      </c>
      <c r="M162" s="274">
        <v>58423.51</v>
      </c>
      <c r="N162" s="232">
        <f t="shared" si="16"/>
        <v>58423.51</v>
      </c>
      <c r="O162" s="281">
        <v>78628.350000000006</v>
      </c>
      <c r="P162" s="402">
        <v>0</v>
      </c>
      <c r="Q162" s="274">
        <v>65407.33</v>
      </c>
      <c r="R162" s="232">
        <f t="shared" si="17"/>
        <v>65407.33</v>
      </c>
      <c r="S162" s="281"/>
    </row>
    <row r="163" spans="1:19">
      <c r="A163" s="272">
        <v>157</v>
      </c>
      <c r="B163" s="78" t="s">
        <v>347</v>
      </c>
      <c r="C163" s="78" t="s">
        <v>988</v>
      </c>
      <c r="D163" s="229">
        <v>5742.67</v>
      </c>
      <c r="E163" s="231">
        <v>11765.5</v>
      </c>
      <c r="F163" s="232">
        <f t="shared" si="18"/>
        <v>17508.169999999998</v>
      </c>
      <c r="G163" s="249"/>
      <c r="H163" s="241">
        <v>17508.169999999998</v>
      </c>
      <c r="I163" s="231">
        <v>17985.120000000003</v>
      </c>
      <c r="J163" s="232">
        <f t="shared" si="19"/>
        <v>35493.29</v>
      </c>
      <c r="K163" s="281"/>
      <c r="L163" s="232">
        <v>35493.29</v>
      </c>
      <c r="M163" s="274">
        <v>18110.79</v>
      </c>
      <c r="N163" s="232">
        <f t="shared" si="16"/>
        <v>53604.08</v>
      </c>
      <c r="O163" s="281"/>
      <c r="P163" s="402">
        <v>53604.08</v>
      </c>
      <c r="Q163" s="274">
        <v>19263.18</v>
      </c>
      <c r="R163" s="232">
        <f t="shared" si="17"/>
        <v>72867.260000000009</v>
      </c>
      <c r="S163" s="281"/>
    </row>
    <row r="164" spans="1:19">
      <c r="A164" s="272">
        <v>158</v>
      </c>
      <c r="B164" s="78" t="s">
        <v>349</v>
      </c>
      <c r="C164" s="78" t="s">
        <v>989</v>
      </c>
      <c r="D164" s="229">
        <v>0</v>
      </c>
      <c r="E164" s="231">
        <v>412061.2</v>
      </c>
      <c r="F164" s="232">
        <f t="shared" si="18"/>
        <v>412061.2</v>
      </c>
      <c r="G164" s="249">
        <v>412061.2</v>
      </c>
      <c r="H164" s="241">
        <v>0</v>
      </c>
      <c r="I164" s="231">
        <v>559439.15</v>
      </c>
      <c r="J164" s="232">
        <f t="shared" si="19"/>
        <v>559439.15</v>
      </c>
      <c r="K164" s="281">
        <v>559345.38</v>
      </c>
      <c r="L164" s="232">
        <v>93.770000000018626</v>
      </c>
      <c r="M164" s="274">
        <v>546604.54</v>
      </c>
      <c r="N164" s="232">
        <f t="shared" si="16"/>
        <v>546698.31000000006</v>
      </c>
      <c r="O164" s="281">
        <v>567070.34</v>
      </c>
      <c r="P164" s="402">
        <v>0</v>
      </c>
      <c r="Q164" s="274">
        <v>574723.44000000006</v>
      </c>
      <c r="R164" s="232">
        <f t="shared" si="17"/>
        <v>574723.44000000006</v>
      </c>
      <c r="S164" s="281"/>
    </row>
    <row r="165" spans="1:19">
      <c r="A165" s="272">
        <v>159</v>
      </c>
      <c r="B165" s="78" t="s">
        <v>351</v>
      </c>
      <c r="C165" s="78" t="s">
        <v>990</v>
      </c>
      <c r="D165" s="229">
        <v>4177.2800000000061</v>
      </c>
      <c r="E165" s="231">
        <v>88486.040000000008</v>
      </c>
      <c r="F165" s="232">
        <f t="shared" si="18"/>
        <v>92663.32</v>
      </c>
      <c r="G165" s="249">
        <v>96892.31</v>
      </c>
      <c r="H165" s="241">
        <v>0</v>
      </c>
      <c r="I165" s="231">
        <v>123921.54</v>
      </c>
      <c r="J165" s="232">
        <f t="shared" si="19"/>
        <v>123921.54</v>
      </c>
      <c r="K165" s="281">
        <v>182088.69</v>
      </c>
      <c r="L165" s="232">
        <v>0</v>
      </c>
      <c r="M165" s="274">
        <v>125254.57999999999</v>
      </c>
      <c r="N165" s="232">
        <f t="shared" si="16"/>
        <v>125254.57999999999</v>
      </c>
      <c r="O165" s="281">
        <v>161704.56</v>
      </c>
      <c r="P165" s="402">
        <v>0</v>
      </c>
      <c r="Q165" s="274">
        <v>140510.74</v>
      </c>
      <c r="R165" s="232">
        <f t="shared" si="17"/>
        <v>140510.74</v>
      </c>
      <c r="S165" s="281"/>
    </row>
    <row r="166" spans="1:19">
      <c r="A166" s="272">
        <v>160</v>
      </c>
      <c r="B166" s="78" t="s">
        <v>353</v>
      </c>
      <c r="C166" s="78" t="s">
        <v>991</v>
      </c>
      <c r="D166" s="229">
        <v>1375.7399999999998</v>
      </c>
      <c r="E166" s="231">
        <v>26387.54</v>
      </c>
      <c r="F166" s="232">
        <f t="shared" si="18"/>
        <v>27763.279999999999</v>
      </c>
      <c r="G166" s="249">
        <v>21697.360000000001</v>
      </c>
      <c r="H166" s="241">
        <v>6065.9199999999983</v>
      </c>
      <c r="I166" s="231">
        <v>37519.370000000003</v>
      </c>
      <c r="J166" s="232">
        <f t="shared" si="19"/>
        <v>43585.29</v>
      </c>
      <c r="K166" s="281">
        <v>39280.230000000003</v>
      </c>
      <c r="L166" s="232">
        <v>4305.0599999999977</v>
      </c>
      <c r="M166" s="274">
        <v>42933.340000000004</v>
      </c>
      <c r="N166" s="232">
        <f t="shared" si="16"/>
        <v>47238.400000000001</v>
      </c>
      <c r="O166" s="281">
        <v>42716.95</v>
      </c>
      <c r="P166" s="402">
        <v>4521.4500000000044</v>
      </c>
      <c r="Q166" s="274">
        <v>50113.02</v>
      </c>
      <c r="R166" s="232">
        <f t="shared" si="17"/>
        <v>54634.47</v>
      </c>
      <c r="S166" s="281"/>
    </row>
    <row r="167" spans="1:19">
      <c r="A167" s="272">
        <v>161</v>
      </c>
      <c r="B167" s="78" t="s">
        <v>355</v>
      </c>
      <c r="C167" s="78" t="s">
        <v>992</v>
      </c>
      <c r="D167" s="229">
        <v>91109.920000000013</v>
      </c>
      <c r="E167" s="231">
        <v>587216.43999999994</v>
      </c>
      <c r="F167" s="232">
        <f t="shared" si="18"/>
        <v>678326.36</v>
      </c>
      <c r="G167" s="249">
        <v>395684.08</v>
      </c>
      <c r="H167" s="241">
        <v>282642.27999999997</v>
      </c>
      <c r="I167" s="231">
        <v>836257.8899999999</v>
      </c>
      <c r="J167" s="232">
        <f t="shared" si="19"/>
        <v>1118900.17</v>
      </c>
      <c r="K167" s="281">
        <v>788265.67</v>
      </c>
      <c r="L167" s="232">
        <v>330634.49999999988</v>
      </c>
      <c r="M167" s="274">
        <v>847676.63</v>
      </c>
      <c r="N167" s="232">
        <f t="shared" si="16"/>
        <v>1178311.1299999999</v>
      </c>
      <c r="O167" s="281">
        <v>921263.11</v>
      </c>
      <c r="P167" s="402">
        <v>257048.0199999999</v>
      </c>
      <c r="Q167" s="274">
        <v>927474.69</v>
      </c>
      <c r="R167" s="232">
        <f t="shared" si="17"/>
        <v>1184522.71</v>
      </c>
      <c r="S167" s="281"/>
    </row>
    <row r="168" spans="1:19">
      <c r="A168" s="272">
        <v>162</v>
      </c>
      <c r="B168" s="78" t="s">
        <v>357</v>
      </c>
      <c r="C168" s="78" t="s">
        <v>993</v>
      </c>
      <c r="D168" s="229">
        <v>1751.2099999999991</v>
      </c>
      <c r="E168" s="231">
        <v>39822.659999999996</v>
      </c>
      <c r="F168" s="232">
        <f t="shared" si="18"/>
        <v>41573.869999999995</v>
      </c>
      <c r="G168" s="249"/>
      <c r="H168" s="241">
        <v>41573.869999999995</v>
      </c>
      <c r="I168" s="231">
        <v>58944.479999999996</v>
      </c>
      <c r="J168" s="232">
        <f t="shared" si="19"/>
        <v>100518.34999999999</v>
      </c>
      <c r="K168" s="281">
        <v>79170.399999999994</v>
      </c>
      <c r="L168" s="232">
        <v>21347.949999999997</v>
      </c>
      <c r="M168" s="274">
        <v>58443.850000000006</v>
      </c>
      <c r="N168" s="232">
        <f t="shared" si="16"/>
        <v>79791.8</v>
      </c>
      <c r="O168" s="281">
        <v>79136.55</v>
      </c>
      <c r="P168" s="402">
        <v>655.25</v>
      </c>
      <c r="Q168" s="274">
        <v>65165.549999999996</v>
      </c>
      <c r="R168" s="232">
        <f t="shared" si="17"/>
        <v>65820.799999999988</v>
      </c>
      <c r="S168" s="281"/>
    </row>
    <row r="169" spans="1:19">
      <c r="A169" s="272">
        <v>163</v>
      </c>
      <c r="B169" s="78" t="s">
        <v>359</v>
      </c>
      <c r="C169" s="78" t="s">
        <v>994</v>
      </c>
      <c r="D169" s="229">
        <v>6381.3899999999994</v>
      </c>
      <c r="E169" s="231">
        <v>62411</v>
      </c>
      <c r="F169" s="232">
        <f t="shared" si="18"/>
        <v>68792.39</v>
      </c>
      <c r="G169" s="249">
        <v>44379.64</v>
      </c>
      <c r="H169" s="242">
        <v>24412.75</v>
      </c>
      <c r="I169" s="231">
        <v>82710.649999999994</v>
      </c>
      <c r="J169" s="232">
        <f t="shared" si="19"/>
        <v>107123.4</v>
      </c>
      <c r="K169" s="281">
        <v>91062</v>
      </c>
      <c r="L169" s="232">
        <v>16061.399999999994</v>
      </c>
      <c r="M169" s="274">
        <v>83884.489999999991</v>
      </c>
      <c r="N169" s="232">
        <f t="shared" si="16"/>
        <v>99945.889999999985</v>
      </c>
      <c r="O169" s="281">
        <v>87901.430000000008</v>
      </c>
      <c r="P169" s="402">
        <v>12044.459999999977</v>
      </c>
      <c r="Q169" s="274">
        <v>97046.069999999992</v>
      </c>
      <c r="R169" s="232">
        <f t="shared" si="17"/>
        <v>109090.52999999997</v>
      </c>
      <c r="S169" s="281"/>
    </row>
    <row r="170" spans="1:19">
      <c r="A170" s="272">
        <v>164</v>
      </c>
      <c r="B170" s="78" t="s">
        <v>361</v>
      </c>
      <c r="C170" s="78" t="s">
        <v>995</v>
      </c>
      <c r="D170" s="229">
        <v>64193.17</v>
      </c>
      <c r="E170" s="231">
        <v>127983.13999999998</v>
      </c>
      <c r="F170" s="232">
        <f t="shared" si="18"/>
        <v>192176.31</v>
      </c>
      <c r="G170" s="249">
        <v>89724.23</v>
      </c>
      <c r="H170" s="241">
        <v>102452.08</v>
      </c>
      <c r="I170" s="231">
        <v>156697.65999999997</v>
      </c>
      <c r="J170" s="232">
        <f t="shared" si="19"/>
        <v>259149.74</v>
      </c>
      <c r="K170" s="281">
        <v>137400.75</v>
      </c>
      <c r="L170" s="232">
        <v>121748.98999999999</v>
      </c>
      <c r="M170" s="274">
        <v>165342.56</v>
      </c>
      <c r="N170" s="232">
        <f t="shared" si="16"/>
        <v>287091.55</v>
      </c>
      <c r="O170" s="281"/>
      <c r="P170" s="402">
        <v>287091.55</v>
      </c>
      <c r="Q170" s="274">
        <v>182009.48</v>
      </c>
      <c r="R170" s="232">
        <f t="shared" si="17"/>
        <v>469101.03</v>
      </c>
      <c r="S170" s="281"/>
    </row>
    <row r="171" spans="1:19">
      <c r="A171" s="272">
        <v>165</v>
      </c>
      <c r="B171" s="78" t="s">
        <v>363</v>
      </c>
      <c r="C171" s="78" t="s">
        <v>996</v>
      </c>
      <c r="D171" s="229">
        <v>527.58999999999992</v>
      </c>
      <c r="E171" s="231">
        <v>3980.25</v>
      </c>
      <c r="F171" s="232">
        <f t="shared" si="18"/>
        <v>4507.84</v>
      </c>
      <c r="G171" s="249">
        <v>5119.32</v>
      </c>
      <c r="H171" s="241">
        <v>0</v>
      </c>
      <c r="I171" s="231">
        <v>6183.3600000000006</v>
      </c>
      <c r="J171" s="232">
        <f t="shared" si="19"/>
        <v>6183.3600000000006</v>
      </c>
      <c r="K171" s="281">
        <v>7578.5599999999995</v>
      </c>
      <c r="L171" s="232">
        <v>0</v>
      </c>
      <c r="M171" s="274">
        <v>5821.81</v>
      </c>
      <c r="N171" s="232">
        <f t="shared" si="16"/>
        <v>5821.81</v>
      </c>
      <c r="O171" s="281">
        <v>9035.92</v>
      </c>
      <c r="P171" s="402">
        <v>0</v>
      </c>
      <c r="Q171" s="274">
        <v>7188.2999999999993</v>
      </c>
      <c r="R171" s="232">
        <f t="shared" si="17"/>
        <v>7188.2999999999993</v>
      </c>
      <c r="S171" s="281"/>
    </row>
    <row r="172" spans="1:19">
      <c r="A172" s="272">
        <v>166</v>
      </c>
      <c r="B172" s="78" t="s">
        <v>365</v>
      </c>
      <c r="C172" s="78" t="s">
        <v>1374</v>
      </c>
      <c r="D172" s="229">
        <v>31080.649999999965</v>
      </c>
      <c r="E172" s="231">
        <v>505955.81999999995</v>
      </c>
      <c r="F172" s="232">
        <f t="shared" si="18"/>
        <v>537036.47</v>
      </c>
      <c r="G172" s="249">
        <v>562000</v>
      </c>
      <c r="H172" s="241">
        <v>0</v>
      </c>
      <c r="I172" s="231">
        <v>717232.13</v>
      </c>
      <c r="J172" s="232">
        <f t="shared" si="19"/>
        <v>717232.13</v>
      </c>
      <c r="K172" s="281">
        <v>700446.13</v>
      </c>
      <c r="L172" s="232">
        <v>16786</v>
      </c>
      <c r="M172" s="274">
        <v>718316.92999999993</v>
      </c>
      <c r="N172" s="232">
        <f t="shared" si="16"/>
        <v>735102.92999999993</v>
      </c>
      <c r="O172" s="281">
        <v>813576.2</v>
      </c>
      <c r="P172" s="402">
        <v>0</v>
      </c>
      <c r="Q172" s="274">
        <v>797212.2</v>
      </c>
      <c r="R172" s="232">
        <f t="shared" si="17"/>
        <v>797212.2</v>
      </c>
      <c r="S172" s="281"/>
    </row>
    <row r="173" spans="1:19">
      <c r="A173" s="272">
        <v>167</v>
      </c>
      <c r="B173" s="78" t="s">
        <v>367</v>
      </c>
      <c r="C173" s="78" t="s">
        <v>1375</v>
      </c>
      <c r="D173" s="229">
        <v>19286.320000000003</v>
      </c>
      <c r="E173" s="231">
        <v>39385.530000000006</v>
      </c>
      <c r="F173" s="232">
        <f t="shared" si="18"/>
        <v>58671.850000000006</v>
      </c>
      <c r="G173" s="249"/>
      <c r="H173" s="241">
        <v>58671.850000000006</v>
      </c>
      <c r="I173" s="231">
        <v>63119.53</v>
      </c>
      <c r="J173" s="232">
        <f t="shared" si="19"/>
        <v>121791.38</v>
      </c>
      <c r="K173" s="281"/>
      <c r="L173" s="232">
        <v>121791.38</v>
      </c>
      <c r="M173" s="274">
        <v>61604.89</v>
      </c>
      <c r="N173" s="232">
        <f t="shared" si="16"/>
        <v>183396.27000000002</v>
      </c>
      <c r="O173" s="281"/>
      <c r="P173" s="402">
        <v>183396.27000000002</v>
      </c>
      <c r="Q173" s="274">
        <v>75030.709999999992</v>
      </c>
      <c r="R173" s="232">
        <f t="shared" si="17"/>
        <v>258426.98</v>
      </c>
      <c r="S173" s="281"/>
    </row>
    <row r="174" spans="1:19">
      <c r="A174" s="272">
        <v>168</v>
      </c>
      <c r="B174" s="78" t="s">
        <v>369</v>
      </c>
      <c r="C174" s="78" t="s">
        <v>1000</v>
      </c>
      <c r="D174" s="229">
        <v>66577.35000000021</v>
      </c>
      <c r="E174" s="231">
        <v>1290030.76</v>
      </c>
      <c r="F174" s="232">
        <f t="shared" si="18"/>
        <v>1356608.1100000003</v>
      </c>
      <c r="G174" s="249">
        <v>1601181.16</v>
      </c>
      <c r="H174" s="241">
        <v>0</v>
      </c>
      <c r="I174" s="231">
        <v>1804422.9099999997</v>
      </c>
      <c r="J174" s="232">
        <f t="shared" si="19"/>
        <v>1804422.9099999997</v>
      </c>
      <c r="K174" s="281">
        <v>2290394.02</v>
      </c>
      <c r="L174" s="232">
        <v>0</v>
      </c>
      <c r="M174" s="274">
        <v>1788368.2399999998</v>
      </c>
      <c r="N174" s="232">
        <f t="shared" si="16"/>
        <v>1788368.2399999998</v>
      </c>
      <c r="O174" s="281">
        <v>2266130.71</v>
      </c>
      <c r="P174" s="402">
        <v>0</v>
      </c>
      <c r="Q174" s="274">
        <v>1926330.01</v>
      </c>
      <c r="R174" s="232">
        <f t="shared" si="17"/>
        <v>1926330.01</v>
      </c>
      <c r="S174" s="281"/>
    </row>
    <row r="175" spans="1:19">
      <c r="A175" s="272">
        <v>169</v>
      </c>
      <c r="B175" s="78" t="s">
        <v>371</v>
      </c>
      <c r="C175" s="78" t="s">
        <v>1001</v>
      </c>
      <c r="D175" s="229">
        <v>0</v>
      </c>
      <c r="E175" s="231">
        <v>77364.179999999993</v>
      </c>
      <c r="F175" s="232">
        <f t="shared" si="18"/>
        <v>77364.179999999993</v>
      </c>
      <c r="G175" s="249">
        <v>99011.42</v>
      </c>
      <c r="H175" s="241">
        <v>0</v>
      </c>
      <c r="I175" s="231">
        <v>111392.91999999998</v>
      </c>
      <c r="J175" s="232">
        <f t="shared" si="19"/>
        <v>111392.91999999998</v>
      </c>
      <c r="K175" s="281">
        <v>128067.54000000001</v>
      </c>
      <c r="L175" s="232">
        <v>0</v>
      </c>
      <c r="M175" s="274">
        <v>115183.67000000001</v>
      </c>
      <c r="N175" s="232">
        <f t="shared" si="16"/>
        <v>115183.67000000001</v>
      </c>
      <c r="O175" s="281">
        <v>85058.569999999992</v>
      </c>
      <c r="P175" s="402">
        <v>30125.10000000002</v>
      </c>
      <c r="Q175" s="274">
        <v>131937.76</v>
      </c>
      <c r="R175" s="232">
        <f t="shared" si="17"/>
        <v>162062.86000000004</v>
      </c>
      <c r="S175" s="281"/>
    </row>
    <row r="176" spans="1:19">
      <c r="A176" s="272">
        <v>170</v>
      </c>
      <c r="B176" s="78" t="s">
        <v>373</v>
      </c>
      <c r="C176" s="78" t="s">
        <v>1002</v>
      </c>
      <c r="D176" s="229">
        <v>0</v>
      </c>
      <c r="E176" s="231">
        <v>50675.420000000006</v>
      </c>
      <c r="F176" s="232">
        <f t="shared" si="18"/>
        <v>50675.420000000006</v>
      </c>
      <c r="G176" s="249">
        <v>45760.45</v>
      </c>
      <c r="H176" s="241">
        <v>4914.9700000000084</v>
      </c>
      <c r="I176" s="231">
        <v>69865.209999999992</v>
      </c>
      <c r="J176" s="232">
        <f t="shared" si="19"/>
        <v>74780.179999999993</v>
      </c>
      <c r="K176" s="281">
        <v>78456.86</v>
      </c>
      <c r="L176" s="232">
        <v>0</v>
      </c>
      <c r="M176" s="274">
        <v>70153.91</v>
      </c>
      <c r="N176" s="232">
        <f t="shared" si="16"/>
        <v>70153.91</v>
      </c>
      <c r="O176" s="281">
        <v>80041.510000000009</v>
      </c>
      <c r="P176" s="402">
        <v>0</v>
      </c>
      <c r="Q176" s="274">
        <v>77354.400000000009</v>
      </c>
      <c r="R176" s="232">
        <f t="shared" si="17"/>
        <v>77354.400000000009</v>
      </c>
      <c r="S176" s="281"/>
    </row>
    <row r="177" spans="1:19">
      <c r="A177" s="272">
        <v>171</v>
      </c>
      <c r="B177" s="78" t="s">
        <v>375</v>
      </c>
      <c r="C177" s="78" t="s">
        <v>1376</v>
      </c>
      <c r="D177" s="229">
        <v>0</v>
      </c>
      <c r="E177" s="231">
        <v>23763.13</v>
      </c>
      <c r="F177" s="232">
        <f t="shared" si="18"/>
        <v>23763.13</v>
      </c>
      <c r="G177" s="249">
        <v>27150.07</v>
      </c>
      <c r="H177" s="241">
        <v>0</v>
      </c>
      <c r="I177" s="231">
        <v>34656.840000000004</v>
      </c>
      <c r="J177" s="232">
        <f t="shared" si="19"/>
        <v>34656.840000000004</v>
      </c>
      <c r="K177" s="281">
        <v>42033.17</v>
      </c>
      <c r="L177" s="232">
        <v>0</v>
      </c>
      <c r="M177" s="274">
        <v>33984.5</v>
      </c>
      <c r="N177" s="232">
        <f t="shared" si="16"/>
        <v>33984.5</v>
      </c>
      <c r="O177" s="281">
        <v>42158.979999999996</v>
      </c>
      <c r="P177" s="402">
        <v>0</v>
      </c>
      <c r="Q177" s="274">
        <v>37218.92</v>
      </c>
      <c r="R177" s="232">
        <f t="shared" si="17"/>
        <v>37218.92</v>
      </c>
      <c r="S177" s="281"/>
    </row>
    <row r="178" spans="1:19">
      <c r="A178" s="272">
        <v>172</v>
      </c>
      <c r="B178" s="78" t="s">
        <v>377</v>
      </c>
      <c r="C178" s="78" t="s">
        <v>1004</v>
      </c>
      <c r="D178" s="229">
        <v>5054.08</v>
      </c>
      <c r="E178" s="231">
        <v>10071.43</v>
      </c>
      <c r="F178" s="232">
        <f t="shared" si="18"/>
        <v>15125.51</v>
      </c>
      <c r="G178" s="249">
        <v>9604.19</v>
      </c>
      <c r="H178" s="241">
        <v>5521.32</v>
      </c>
      <c r="I178" s="231">
        <v>14507.57</v>
      </c>
      <c r="J178" s="232">
        <f t="shared" si="19"/>
        <v>20028.89</v>
      </c>
      <c r="K178" s="281">
        <v>8635.36</v>
      </c>
      <c r="L178" s="232">
        <v>11393.529999999999</v>
      </c>
      <c r="M178" s="274">
        <v>14635.68</v>
      </c>
      <c r="N178" s="232">
        <f t="shared" si="16"/>
        <v>26029.21</v>
      </c>
      <c r="O178" s="281">
        <v>17414.349999999999</v>
      </c>
      <c r="P178" s="402">
        <v>8614.86</v>
      </c>
      <c r="Q178" s="274">
        <v>15497.66</v>
      </c>
      <c r="R178" s="232">
        <f t="shared" si="17"/>
        <v>24112.52</v>
      </c>
      <c r="S178" s="281"/>
    </row>
    <row r="179" spans="1:19">
      <c r="A179" s="272">
        <v>173</v>
      </c>
      <c r="B179" s="78" t="s">
        <v>379</v>
      </c>
      <c r="C179" s="78" t="s">
        <v>1005</v>
      </c>
      <c r="D179" s="229">
        <v>5235.09</v>
      </c>
      <c r="E179" s="231">
        <v>69453.56</v>
      </c>
      <c r="F179" s="232">
        <f t="shared" si="18"/>
        <v>74688.649999999994</v>
      </c>
      <c r="G179" s="249">
        <v>96156.45</v>
      </c>
      <c r="H179" s="241">
        <v>0</v>
      </c>
      <c r="I179" s="231">
        <v>89974.62</v>
      </c>
      <c r="J179" s="232">
        <f t="shared" si="19"/>
        <v>89974.62</v>
      </c>
      <c r="K179" s="281">
        <v>100325.13</v>
      </c>
      <c r="L179" s="232">
        <v>0</v>
      </c>
      <c r="M179" s="274">
        <v>88870.31</v>
      </c>
      <c r="N179" s="232">
        <f t="shared" si="16"/>
        <v>88870.31</v>
      </c>
      <c r="O179" s="281">
        <v>106609.1</v>
      </c>
      <c r="P179" s="402">
        <v>0</v>
      </c>
      <c r="Q179" s="274">
        <v>100789.17000000001</v>
      </c>
      <c r="R179" s="232">
        <f t="shared" si="17"/>
        <v>100789.17000000001</v>
      </c>
      <c r="S179" s="281"/>
    </row>
    <row r="180" spans="1:19">
      <c r="A180" s="272">
        <v>174</v>
      </c>
      <c r="B180" s="78" t="s">
        <v>381</v>
      </c>
      <c r="C180" s="78" t="s">
        <v>1006</v>
      </c>
      <c r="D180" s="229">
        <v>0</v>
      </c>
      <c r="E180" s="231">
        <v>81635.77</v>
      </c>
      <c r="F180" s="232">
        <f t="shared" si="18"/>
        <v>81635.77</v>
      </c>
      <c r="G180" s="249">
        <v>92793.91</v>
      </c>
      <c r="H180" s="241">
        <v>0</v>
      </c>
      <c r="I180" s="231">
        <v>112635.20000000001</v>
      </c>
      <c r="J180" s="232">
        <f t="shared" si="19"/>
        <v>112635.20000000001</v>
      </c>
      <c r="K180" s="281">
        <v>137057.70000000001</v>
      </c>
      <c r="L180" s="232">
        <v>0</v>
      </c>
      <c r="M180" s="274">
        <v>114731.11</v>
      </c>
      <c r="N180" s="232">
        <f t="shared" si="16"/>
        <v>114731.11</v>
      </c>
      <c r="O180" s="281">
        <v>119563.45000000001</v>
      </c>
      <c r="P180" s="402">
        <v>0</v>
      </c>
      <c r="Q180" s="274">
        <v>127269.39</v>
      </c>
      <c r="R180" s="232">
        <f t="shared" si="17"/>
        <v>127269.39</v>
      </c>
      <c r="S180" s="281"/>
    </row>
    <row r="181" spans="1:19">
      <c r="A181" s="272">
        <v>175</v>
      </c>
      <c r="B181" s="78" t="s">
        <v>383</v>
      </c>
      <c r="C181" s="78" t="s">
        <v>1007</v>
      </c>
      <c r="D181" s="229">
        <v>11136.169999999998</v>
      </c>
      <c r="E181" s="231">
        <v>134429.70000000001</v>
      </c>
      <c r="F181" s="232">
        <f t="shared" si="18"/>
        <v>145565.87</v>
      </c>
      <c r="G181" s="249">
        <v>145565.87</v>
      </c>
      <c r="H181" s="241">
        <v>0</v>
      </c>
      <c r="I181" s="231">
        <v>194562.43</v>
      </c>
      <c r="J181" s="232">
        <f t="shared" si="19"/>
        <v>194562.43</v>
      </c>
      <c r="K181" s="281">
        <v>204434.27</v>
      </c>
      <c r="L181" s="232">
        <v>0</v>
      </c>
      <c r="M181" s="274">
        <v>189818.66999999998</v>
      </c>
      <c r="N181" s="232">
        <f t="shared" si="16"/>
        <v>189818.66999999998</v>
      </c>
      <c r="O181" s="281">
        <v>232371.99000000002</v>
      </c>
      <c r="P181" s="402">
        <v>0</v>
      </c>
      <c r="Q181" s="274">
        <v>214712.57999999996</v>
      </c>
      <c r="R181" s="232">
        <f t="shared" si="17"/>
        <v>214712.57999999996</v>
      </c>
      <c r="S181" s="281"/>
    </row>
    <row r="182" spans="1:19">
      <c r="A182" s="272">
        <v>176</v>
      </c>
      <c r="B182" s="78" t="s">
        <v>385</v>
      </c>
      <c r="C182" s="78" t="s">
        <v>1008</v>
      </c>
      <c r="D182" s="229">
        <v>2831.7000000000007</v>
      </c>
      <c r="E182" s="231">
        <v>49364.789999999994</v>
      </c>
      <c r="F182" s="232">
        <f t="shared" si="18"/>
        <v>52196.489999999991</v>
      </c>
      <c r="G182" s="249">
        <v>27534.080000000002</v>
      </c>
      <c r="H182" s="241">
        <v>24662.409999999989</v>
      </c>
      <c r="I182" s="231">
        <v>76068.58</v>
      </c>
      <c r="J182" s="232">
        <f t="shared" si="19"/>
        <v>100730.98999999999</v>
      </c>
      <c r="K182" s="281">
        <v>59643.23</v>
      </c>
      <c r="L182" s="232">
        <v>41087.759999999987</v>
      </c>
      <c r="M182" s="274">
        <v>74388.38</v>
      </c>
      <c r="N182" s="232">
        <f t="shared" si="16"/>
        <v>115476.13999999998</v>
      </c>
      <c r="O182" s="281">
        <v>111317.34</v>
      </c>
      <c r="P182" s="402">
        <v>4158.7999999999884</v>
      </c>
      <c r="Q182" s="274">
        <v>73968.850000000006</v>
      </c>
      <c r="R182" s="232">
        <f t="shared" si="17"/>
        <v>78127.649999999994</v>
      </c>
      <c r="S182" s="281"/>
    </row>
    <row r="183" spans="1:19">
      <c r="A183" s="272">
        <v>177</v>
      </c>
      <c r="B183" s="78" t="s">
        <v>387</v>
      </c>
      <c r="C183" s="78" t="s">
        <v>1009</v>
      </c>
      <c r="D183" s="229">
        <v>12259.650000000001</v>
      </c>
      <c r="E183" s="231">
        <v>145011.26</v>
      </c>
      <c r="F183" s="232">
        <f t="shared" ref="F183:F214" si="20">+D183+E183</f>
        <v>157270.91</v>
      </c>
      <c r="G183" s="249">
        <v>130044.62</v>
      </c>
      <c r="H183" s="241">
        <v>27226.290000000008</v>
      </c>
      <c r="I183" s="231">
        <v>206658.96000000002</v>
      </c>
      <c r="J183" s="232">
        <f t="shared" ref="J183:J214" si="21">+H183+I183</f>
        <v>233885.25000000003</v>
      </c>
      <c r="K183" s="281">
        <v>137316.6</v>
      </c>
      <c r="L183" s="232">
        <v>96568.650000000023</v>
      </c>
      <c r="M183" s="274">
        <v>213710.44</v>
      </c>
      <c r="N183" s="232">
        <f t="shared" si="16"/>
        <v>310279.09000000003</v>
      </c>
      <c r="O183" s="281">
        <v>213868.88</v>
      </c>
      <c r="P183" s="402">
        <v>96410.210000000021</v>
      </c>
      <c r="Q183" s="274">
        <v>228289.78000000003</v>
      </c>
      <c r="R183" s="232">
        <f t="shared" si="17"/>
        <v>324699.99000000005</v>
      </c>
      <c r="S183" s="281"/>
    </row>
    <row r="184" spans="1:19">
      <c r="A184" s="272">
        <v>178</v>
      </c>
      <c r="B184" s="78" t="s">
        <v>389</v>
      </c>
      <c r="C184" s="78" t="s">
        <v>1010</v>
      </c>
      <c r="D184" s="229">
        <v>0</v>
      </c>
      <c r="E184" s="231">
        <v>410067.51000000007</v>
      </c>
      <c r="F184" s="232">
        <f t="shared" si="20"/>
        <v>410067.51000000007</v>
      </c>
      <c r="G184" s="249">
        <v>387816.66</v>
      </c>
      <c r="H184" s="241">
        <v>22250.850000000093</v>
      </c>
      <c r="I184" s="231">
        <v>552599.55000000005</v>
      </c>
      <c r="J184" s="232">
        <f t="shared" si="21"/>
        <v>574850.40000000014</v>
      </c>
      <c r="K184" s="281">
        <v>604994.7799999998</v>
      </c>
      <c r="L184" s="232">
        <v>0</v>
      </c>
      <c r="M184" s="274">
        <v>554195.63</v>
      </c>
      <c r="N184" s="232">
        <f t="shared" si="16"/>
        <v>554195.63</v>
      </c>
      <c r="O184" s="281">
        <v>668096.58000000007</v>
      </c>
      <c r="P184" s="402">
        <v>0</v>
      </c>
      <c r="Q184" s="274">
        <v>593796.18999999994</v>
      </c>
      <c r="R184" s="232">
        <f t="shared" si="17"/>
        <v>593796.18999999994</v>
      </c>
      <c r="S184" s="281"/>
    </row>
    <row r="185" spans="1:19">
      <c r="A185" s="272">
        <v>179</v>
      </c>
      <c r="B185" s="78" t="s">
        <v>391</v>
      </c>
      <c r="C185" s="78" t="s">
        <v>1011</v>
      </c>
      <c r="D185" s="229">
        <v>25235.920000000006</v>
      </c>
      <c r="E185" s="231">
        <v>158180.90000000002</v>
      </c>
      <c r="F185" s="232">
        <f t="shared" si="20"/>
        <v>183416.82000000004</v>
      </c>
      <c r="G185" s="249">
        <v>154322.26999999999</v>
      </c>
      <c r="H185" s="241">
        <v>29094.550000000047</v>
      </c>
      <c r="I185" s="231">
        <v>219456</v>
      </c>
      <c r="J185" s="232">
        <f t="shared" si="21"/>
        <v>248550.55000000005</v>
      </c>
      <c r="K185" s="281">
        <v>128537.95999999998</v>
      </c>
      <c r="L185" s="232">
        <v>120012.59000000007</v>
      </c>
      <c r="M185" s="274">
        <v>219197.66</v>
      </c>
      <c r="N185" s="232">
        <f t="shared" si="16"/>
        <v>339210.25000000006</v>
      </c>
      <c r="O185" s="281">
        <v>165877.89000000001</v>
      </c>
      <c r="P185" s="402">
        <v>173332.36000000004</v>
      </c>
      <c r="Q185" s="274">
        <v>242476.3</v>
      </c>
      <c r="R185" s="232">
        <f t="shared" si="17"/>
        <v>415808.66000000003</v>
      </c>
      <c r="S185" s="281"/>
    </row>
    <row r="186" spans="1:19">
      <c r="A186" s="272">
        <v>180</v>
      </c>
      <c r="B186" s="78" t="s">
        <v>393</v>
      </c>
      <c r="C186" s="78" t="s">
        <v>1012</v>
      </c>
      <c r="D186" s="229">
        <v>296.81999999999971</v>
      </c>
      <c r="E186" s="231">
        <v>12351.45</v>
      </c>
      <c r="F186" s="232">
        <f t="shared" si="20"/>
        <v>12648.27</v>
      </c>
      <c r="G186" s="249">
        <v>10486.93</v>
      </c>
      <c r="H186" s="241">
        <v>2161.34</v>
      </c>
      <c r="I186" s="231">
        <v>18992.990000000002</v>
      </c>
      <c r="J186" s="232">
        <f t="shared" si="21"/>
        <v>21154.33</v>
      </c>
      <c r="K186" s="281">
        <v>1641.92</v>
      </c>
      <c r="L186" s="232">
        <v>19512.410000000003</v>
      </c>
      <c r="M186" s="274">
        <v>19094.489999999998</v>
      </c>
      <c r="N186" s="232">
        <f t="shared" si="16"/>
        <v>38606.9</v>
      </c>
      <c r="O186" s="281">
        <v>1388.73</v>
      </c>
      <c r="P186" s="402">
        <v>37218.17</v>
      </c>
      <c r="Q186" s="274">
        <v>20516.62</v>
      </c>
      <c r="R186" s="232">
        <f t="shared" si="17"/>
        <v>57734.789999999994</v>
      </c>
      <c r="S186" s="281"/>
    </row>
    <row r="187" spans="1:19">
      <c r="A187" s="272">
        <v>181</v>
      </c>
      <c r="B187" s="78" t="s">
        <v>395</v>
      </c>
      <c r="C187" s="78" t="s">
        <v>1377</v>
      </c>
      <c r="D187" s="229">
        <v>0</v>
      </c>
      <c r="E187" s="231">
        <v>1017027.0499999999</v>
      </c>
      <c r="F187" s="232">
        <f t="shared" si="20"/>
        <v>1017027.0499999999</v>
      </c>
      <c r="G187" s="249">
        <v>1115646.95</v>
      </c>
      <c r="H187" s="241">
        <v>0</v>
      </c>
      <c r="I187" s="231">
        <v>1402368.38</v>
      </c>
      <c r="J187" s="232">
        <f t="shared" si="21"/>
        <v>1402368.38</v>
      </c>
      <c r="K187" s="281">
        <v>1893843.2699999996</v>
      </c>
      <c r="L187" s="232">
        <v>0</v>
      </c>
      <c r="M187" s="274">
        <v>1382115.5499999998</v>
      </c>
      <c r="N187" s="232">
        <f t="shared" si="16"/>
        <v>1382115.5499999998</v>
      </c>
      <c r="O187" s="281">
        <v>1960850.17</v>
      </c>
      <c r="P187" s="402">
        <v>0</v>
      </c>
      <c r="Q187" s="274">
        <v>1510152.53</v>
      </c>
      <c r="R187" s="232">
        <f t="shared" si="17"/>
        <v>1510152.53</v>
      </c>
      <c r="S187" s="281"/>
    </row>
    <row r="188" spans="1:19">
      <c r="A188" s="272">
        <v>182</v>
      </c>
      <c r="B188" s="78" t="s">
        <v>397</v>
      </c>
      <c r="C188" s="78" t="s">
        <v>1014</v>
      </c>
      <c r="D188" s="229">
        <v>1411.3899999999994</v>
      </c>
      <c r="E188" s="231">
        <v>15451.06</v>
      </c>
      <c r="F188" s="232">
        <f t="shared" si="20"/>
        <v>16862.449999999997</v>
      </c>
      <c r="G188" s="249">
        <v>13580.35</v>
      </c>
      <c r="H188" s="241">
        <v>3282.0999999999967</v>
      </c>
      <c r="I188" s="231">
        <v>24233.920000000002</v>
      </c>
      <c r="J188" s="232">
        <f t="shared" si="21"/>
        <v>27516.019999999997</v>
      </c>
      <c r="K188" s="281">
        <v>13423.119999999999</v>
      </c>
      <c r="L188" s="232">
        <v>14092.899999999998</v>
      </c>
      <c r="M188" s="274">
        <v>24210.14</v>
      </c>
      <c r="N188" s="232">
        <f t="shared" si="16"/>
        <v>38303.039999999994</v>
      </c>
      <c r="O188" s="281">
        <v>24018.92</v>
      </c>
      <c r="P188" s="402">
        <v>14284.119999999995</v>
      </c>
      <c r="Q188" s="274">
        <v>26607.74</v>
      </c>
      <c r="R188" s="232">
        <f t="shared" si="17"/>
        <v>40891.86</v>
      </c>
      <c r="S188" s="281"/>
    </row>
    <row r="189" spans="1:19">
      <c r="A189" s="272">
        <v>183</v>
      </c>
      <c r="B189" s="78" t="s">
        <v>399</v>
      </c>
      <c r="C189" s="78" t="s">
        <v>1015</v>
      </c>
      <c r="D189" s="229">
        <v>40720.999999999884</v>
      </c>
      <c r="E189" s="231">
        <v>1606706.9</v>
      </c>
      <c r="F189" s="232">
        <f t="shared" si="20"/>
        <v>1647427.9</v>
      </c>
      <c r="G189" s="249">
        <v>1584338.58</v>
      </c>
      <c r="H189" s="241">
        <v>63089.319999999832</v>
      </c>
      <c r="I189" s="231">
        <v>2325953.86</v>
      </c>
      <c r="J189" s="232">
        <f t="shared" si="21"/>
        <v>2389043.1799999997</v>
      </c>
      <c r="K189" s="281">
        <v>2307691.66</v>
      </c>
      <c r="L189" s="232">
        <v>81351.519999999553</v>
      </c>
      <c r="M189" s="274">
        <v>2304827.0099999998</v>
      </c>
      <c r="N189" s="232">
        <f t="shared" si="16"/>
        <v>2386178.5299999993</v>
      </c>
      <c r="O189" s="281">
        <v>2386178.54</v>
      </c>
      <c r="P189" s="402">
        <v>0</v>
      </c>
      <c r="Q189" s="274">
        <v>2511815.15</v>
      </c>
      <c r="R189" s="232">
        <f t="shared" si="17"/>
        <v>2511815.15</v>
      </c>
      <c r="S189" s="281"/>
    </row>
    <row r="190" spans="1:19">
      <c r="A190" s="272">
        <v>184</v>
      </c>
      <c r="B190" s="78" t="s">
        <v>401</v>
      </c>
      <c r="C190" s="78" t="s">
        <v>1016</v>
      </c>
      <c r="D190" s="229">
        <v>47274.320000000007</v>
      </c>
      <c r="E190" s="231">
        <v>409732.80000000005</v>
      </c>
      <c r="F190" s="232">
        <f t="shared" si="20"/>
        <v>457007.12000000005</v>
      </c>
      <c r="G190" s="249">
        <v>349380.15</v>
      </c>
      <c r="H190" s="241">
        <v>107626.97000000003</v>
      </c>
      <c r="I190" s="231">
        <v>557083.54999999993</v>
      </c>
      <c r="J190" s="232">
        <f t="shared" si="21"/>
        <v>664710.52</v>
      </c>
      <c r="K190" s="281">
        <v>585251.85000000009</v>
      </c>
      <c r="L190" s="232">
        <v>79458.669999999925</v>
      </c>
      <c r="M190" s="274">
        <v>554706.57999999996</v>
      </c>
      <c r="N190" s="232">
        <f t="shared" si="16"/>
        <v>634165.24999999988</v>
      </c>
      <c r="O190" s="281">
        <v>766134.72000000009</v>
      </c>
      <c r="P190" s="402">
        <v>0</v>
      </c>
      <c r="Q190" s="274">
        <v>606757.06999999995</v>
      </c>
      <c r="R190" s="232">
        <f t="shared" si="17"/>
        <v>606757.06999999995</v>
      </c>
      <c r="S190" s="281"/>
    </row>
    <row r="191" spans="1:19">
      <c r="A191" s="272">
        <v>185</v>
      </c>
      <c r="B191" s="78" t="s">
        <v>403</v>
      </c>
      <c r="C191" s="78" t="s">
        <v>1017</v>
      </c>
      <c r="D191" s="229">
        <v>318.81999999999971</v>
      </c>
      <c r="E191" s="231">
        <v>14118.189999999999</v>
      </c>
      <c r="F191" s="232">
        <f t="shared" si="20"/>
        <v>14437.009999999998</v>
      </c>
      <c r="G191" s="249">
        <v>17754.79</v>
      </c>
      <c r="H191" s="241">
        <v>0</v>
      </c>
      <c r="I191" s="231">
        <v>23161.949999999997</v>
      </c>
      <c r="J191" s="232">
        <f t="shared" si="21"/>
        <v>23161.949999999997</v>
      </c>
      <c r="K191" s="281">
        <v>39091.019999999997</v>
      </c>
      <c r="L191" s="232">
        <v>0</v>
      </c>
      <c r="M191" s="274">
        <v>24318.48</v>
      </c>
      <c r="N191" s="232">
        <f t="shared" si="16"/>
        <v>24318.48</v>
      </c>
      <c r="O191" s="281">
        <v>24792.320000000003</v>
      </c>
      <c r="P191" s="402">
        <v>0</v>
      </c>
      <c r="Q191" s="274">
        <v>25724.799999999996</v>
      </c>
      <c r="R191" s="232">
        <f t="shared" si="17"/>
        <v>25724.799999999996</v>
      </c>
      <c r="S191" s="281"/>
    </row>
    <row r="192" spans="1:19">
      <c r="A192" s="272">
        <v>186</v>
      </c>
      <c r="B192" s="78" t="s">
        <v>405</v>
      </c>
      <c r="C192" s="78" t="s">
        <v>1018</v>
      </c>
      <c r="D192" s="229">
        <v>0</v>
      </c>
      <c r="E192" s="231">
        <v>22326.97</v>
      </c>
      <c r="F192" s="232">
        <f t="shared" si="20"/>
        <v>22326.97</v>
      </c>
      <c r="G192" s="249">
        <v>31376.75</v>
      </c>
      <c r="H192" s="241">
        <v>0</v>
      </c>
      <c r="I192" s="231">
        <v>34755.409999999996</v>
      </c>
      <c r="J192" s="232">
        <f t="shared" si="21"/>
        <v>34755.409999999996</v>
      </c>
      <c r="K192" s="281">
        <v>26776.199999999997</v>
      </c>
      <c r="L192" s="232">
        <v>7979.2099999999991</v>
      </c>
      <c r="M192" s="274">
        <v>36881.83</v>
      </c>
      <c r="N192" s="232">
        <f t="shared" si="16"/>
        <v>44861.04</v>
      </c>
      <c r="O192" s="281">
        <v>34967.18</v>
      </c>
      <c r="P192" s="402">
        <v>9893.86</v>
      </c>
      <c r="Q192" s="274">
        <v>41202.979999999996</v>
      </c>
      <c r="R192" s="232">
        <f t="shared" si="17"/>
        <v>51096.84</v>
      </c>
      <c r="S192" s="281"/>
    </row>
    <row r="193" spans="1:19">
      <c r="A193" s="272">
        <v>187</v>
      </c>
      <c r="B193" s="78" t="s">
        <v>407</v>
      </c>
      <c r="C193" s="78" t="s">
        <v>1019</v>
      </c>
      <c r="D193" s="229">
        <v>5202.3099999999977</v>
      </c>
      <c r="E193" s="231">
        <v>56376.03</v>
      </c>
      <c r="F193" s="232">
        <f t="shared" si="20"/>
        <v>61578.34</v>
      </c>
      <c r="G193" s="249">
        <v>67599.960000000006</v>
      </c>
      <c r="H193" s="241">
        <v>0</v>
      </c>
      <c r="I193" s="231">
        <v>83015.09</v>
      </c>
      <c r="J193" s="232">
        <f t="shared" si="21"/>
        <v>83015.09</v>
      </c>
      <c r="K193" s="281">
        <v>37657.599999999999</v>
      </c>
      <c r="L193" s="232">
        <v>45357.49</v>
      </c>
      <c r="M193" s="274">
        <v>80880.72</v>
      </c>
      <c r="N193" s="232">
        <f t="shared" si="16"/>
        <v>126238.20999999999</v>
      </c>
      <c r="O193" s="281">
        <v>107008.72</v>
      </c>
      <c r="P193" s="402">
        <v>19229.489999999991</v>
      </c>
      <c r="Q193" s="274">
        <v>91625.420000000013</v>
      </c>
      <c r="R193" s="232">
        <f t="shared" si="17"/>
        <v>110854.91</v>
      </c>
      <c r="S193" s="281"/>
    </row>
    <row r="194" spans="1:19">
      <c r="A194" s="272">
        <v>188</v>
      </c>
      <c r="B194" s="78" t="s">
        <v>409</v>
      </c>
      <c r="C194" s="78" t="s">
        <v>1020</v>
      </c>
      <c r="D194" s="229">
        <v>0</v>
      </c>
      <c r="E194" s="231">
        <v>44235.790000000008</v>
      </c>
      <c r="F194" s="232">
        <f t="shared" si="20"/>
        <v>44235.790000000008</v>
      </c>
      <c r="G194" s="249">
        <v>43581.75</v>
      </c>
      <c r="H194" s="241">
        <v>654.04000000000815</v>
      </c>
      <c r="I194" s="231">
        <v>63240.97</v>
      </c>
      <c r="J194" s="232">
        <f t="shared" si="21"/>
        <v>63895.010000000009</v>
      </c>
      <c r="K194" s="281">
        <v>24032.839999999997</v>
      </c>
      <c r="L194" s="232">
        <v>39862.170000000013</v>
      </c>
      <c r="M194" s="274">
        <v>58845.07</v>
      </c>
      <c r="N194" s="232">
        <f t="shared" si="16"/>
        <v>98707.24000000002</v>
      </c>
      <c r="O194" s="281">
        <v>51916.229999999996</v>
      </c>
      <c r="P194" s="402">
        <v>46791.010000000024</v>
      </c>
      <c r="Q194" s="274">
        <v>59837.16</v>
      </c>
      <c r="R194" s="232">
        <f t="shared" si="17"/>
        <v>106628.17000000003</v>
      </c>
      <c r="S194" s="281"/>
    </row>
    <row r="195" spans="1:19">
      <c r="A195" s="272">
        <v>189</v>
      </c>
      <c r="B195" s="78" t="s">
        <v>411</v>
      </c>
      <c r="C195" s="78" t="s">
        <v>1021</v>
      </c>
      <c r="D195" s="229">
        <v>1688.840000000002</v>
      </c>
      <c r="E195" s="231">
        <v>21149.14</v>
      </c>
      <c r="F195" s="232">
        <f t="shared" si="20"/>
        <v>22837.980000000003</v>
      </c>
      <c r="G195" s="249">
        <v>18295.09</v>
      </c>
      <c r="H195" s="241">
        <v>4542.8900000000031</v>
      </c>
      <c r="I195" s="231">
        <v>29309.31</v>
      </c>
      <c r="J195" s="232">
        <f t="shared" si="21"/>
        <v>33852.200000000004</v>
      </c>
      <c r="K195" s="281">
        <v>32697.609999999997</v>
      </c>
      <c r="L195" s="232">
        <v>1154.5900000000074</v>
      </c>
      <c r="M195" s="274">
        <v>30066.55</v>
      </c>
      <c r="N195" s="232">
        <f t="shared" si="16"/>
        <v>31221.140000000007</v>
      </c>
      <c r="O195" s="281">
        <v>33252.92</v>
      </c>
      <c r="P195" s="402">
        <v>0</v>
      </c>
      <c r="Q195" s="274">
        <v>31740.54</v>
      </c>
      <c r="R195" s="232">
        <f t="shared" si="17"/>
        <v>31740.54</v>
      </c>
      <c r="S195" s="281"/>
    </row>
    <row r="196" spans="1:19">
      <c r="A196" s="272">
        <v>190</v>
      </c>
      <c r="B196" s="78" t="s">
        <v>413</v>
      </c>
      <c r="C196" s="78" t="s">
        <v>1022</v>
      </c>
      <c r="D196" s="229">
        <v>11855.219999999998</v>
      </c>
      <c r="E196" s="231">
        <v>69273.279999999999</v>
      </c>
      <c r="F196" s="232">
        <f t="shared" si="20"/>
        <v>81128.5</v>
      </c>
      <c r="G196" s="249">
        <v>58897.18</v>
      </c>
      <c r="H196" s="241">
        <v>22231.32</v>
      </c>
      <c r="I196" s="231">
        <v>95192.47</v>
      </c>
      <c r="J196" s="232">
        <f t="shared" si="21"/>
        <v>117423.79000000001</v>
      </c>
      <c r="K196" s="281">
        <v>88410.540000000023</v>
      </c>
      <c r="L196" s="232">
        <v>29013.249999999985</v>
      </c>
      <c r="M196" s="274">
        <v>97380.81</v>
      </c>
      <c r="N196" s="232">
        <f t="shared" si="16"/>
        <v>126394.05999999998</v>
      </c>
      <c r="O196" s="281">
        <v>91819.010000000009</v>
      </c>
      <c r="P196" s="402">
        <v>34575.049999999974</v>
      </c>
      <c r="Q196" s="274">
        <v>108630.98999999999</v>
      </c>
      <c r="R196" s="232">
        <f t="shared" si="17"/>
        <v>143206.03999999998</v>
      </c>
      <c r="S196" s="281"/>
    </row>
    <row r="197" spans="1:19">
      <c r="A197" s="272">
        <v>191</v>
      </c>
      <c r="B197" s="78" t="s">
        <v>415</v>
      </c>
      <c r="C197" s="78" t="s">
        <v>1023</v>
      </c>
      <c r="D197" s="229">
        <v>0</v>
      </c>
      <c r="E197" s="231">
        <v>596729.18000000005</v>
      </c>
      <c r="F197" s="232">
        <f t="shared" si="20"/>
        <v>596729.18000000005</v>
      </c>
      <c r="G197" s="249">
        <v>615969.51</v>
      </c>
      <c r="H197" s="241">
        <v>0</v>
      </c>
      <c r="I197" s="231">
        <v>835054.05999999994</v>
      </c>
      <c r="J197" s="232">
        <f t="shared" si="21"/>
        <v>835054.05999999994</v>
      </c>
      <c r="K197" s="281">
        <v>777662.35000000009</v>
      </c>
      <c r="L197" s="232">
        <v>57391.709999999846</v>
      </c>
      <c r="M197" s="274">
        <v>818725.57000000007</v>
      </c>
      <c r="N197" s="232">
        <f t="shared" si="16"/>
        <v>876117.27999999991</v>
      </c>
      <c r="O197" s="281">
        <v>909752.40000000014</v>
      </c>
      <c r="P197" s="402">
        <v>0</v>
      </c>
      <c r="Q197" s="274">
        <v>900402.75</v>
      </c>
      <c r="R197" s="232">
        <f t="shared" si="17"/>
        <v>900402.75</v>
      </c>
      <c r="S197" s="281"/>
    </row>
    <row r="198" spans="1:19">
      <c r="A198" s="272">
        <v>192</v>
      </c>
      <c r="B198" s="78" t="s">
        <v>417</v>
      </c>
      <c r="C198" s="78" t="s">
        <v>1024</v>
      </c>
      <c r="D198" s="229">
        <v>31779.590000000004</v>
      </c>
      <c r="E198" s="231">
        <v>147326.41</v>
      </c>
      <c r="F198" s="232">
        <f t="shared" si="20"/>
        <v>179106</v>
      </c>
      <c r="G198" s="249">
        <v>141958.60999999999</v>
      </c>
      <c r="H198" s="241">
        <v>37147.390000000014</v>
      </c>
      <c r="I198" s="231">
        <v>243196.44</v>
      </c>
      <c r="J198" s="232">
        <f t="shared" si="21"/>
        <v>280343.83</v>
      </c>
      <c r="K198" s="281">
        <v>110819.82</v>
      </c>
      <c r="L198" s="232">
        <v>169524.01</v>
      </c>
      <c r="M198" s="274">
        <v>237573.68</v>
      </c>
      <c r="N198" s="232">
        <f t="shared" si="16"/>
        <v>407097.69</v>
      </c>
      <c r="O198" s="281">
        <v>488435.66</v>
      </c>
      <c r="P198" s="402">
        <v>0</v>
      </c>
      <c r="Q198" s="274">
        <v>262723.32999999996</v>
      </c>
      <c r="R198" s="232">
        <f t="shared" si="17"/>
        <v>262723.32999999996</v>
      </c>
      <c r="S198" s="281"/>
    </row>
    <row r="199" spans="1:19">
      <c r="A199" s="272">
        <v>193</v>
      </c>
      <c r="B199" s="78" t="s">
        <v>419</v>
      </c>
      <c r="C199" s="78" t="s">
        <v>1025</v>
      </c>
      <c r="D199" s="229">
        <v>296.85000000000218</v>
      </c>
      <c r="E199" s="231">
        <v>53398.579999999994</v>
      </c>
      <c r="F199" s="232">
        <f t="shared" si="20"/>
        <v>53695.429999999993</v>
      </c>
      <c r="G199" s="249">
        <v>40232.959999999999</v>
      </c>
      <c r="H199" s="241">
        <v>13462.469999999994</v>
      </c>
      <c r="I199" s="231">
        <v>77796.63</v>
      </c>
      <c r="J199" s="232">
        <f t="shared" si="21"/>
        <v>91259.1</v>
      </c>
      <c r="K199" s="281">
        <v>86411.42</v>
      </c>
      <c r="L199" s="232">
        <v>4847.6800000000076</v>
      </c>
      <c r="M199" s="274">
        <v>74077.399999999994</v>
      </c>
      <c r="N199" s="232">
        <f t="shared" ref="N199:N262" si="22">+L199+M199</f>
        <v>78925.08</v>
      </c>
      <c r="O199" s="281">
        <v>85955.72</v>
      </c>
      <c r="P199" s="402">
        <v>0</v>
      </c>
      <c r="Q199" s="274">
        <v>87047.62</v>
      </c>
      <c r="R199" s="232">
        <f t="shared" ref="R199:R262" si="23">+P199+Q199</f>
        <v>87047.62</v>
      </c>
      <c r="S199" s="281"/>
    </row>
    <row r="200" spans="1:19">
      <c r="A200" s="272">
        <v>194</v>
      </c>
      <c r="B200" s="234" t="s">
        <v>421</v>
      </c>
      <c r="C200" s="78" t="s">
        <v>1026</v>
      </c>
      <c r="D200" s="229">
        <v>0</v>
      </c>
      <c r="E200" s="231">
        <v>3933.9300000000003</v>
      </c>
      <c r="F200" s="232">
        <f t="shared" si="20"/>
        <v>3933.9300000000003</v>
      </c>
      <c r="G200" s="249">
        <v>6142.12</v>
      </c>
      <c r="H200" s="241">
        <v>0</v>
      </c>
      <c r="I200" s="231">
        <v>6054.5700000000006</v>
      </c>
      <c r="J200" s="232">
        <f t="shared" si="21"/>
        <v>6054.5700000000006</v>
      </c>
      <c r="K200" s="281"/>
      <c r="L200" s="232">
        <v>6054.5700000000006</v>
      </c>
      <c r="M200" s="274">
        <v>6188.5</v>
      </c>
      <c r="N200" s="232">
        <f t="shared" si="22"/>
        <v>12243.07</v>
      </c>
      <c r="O200" s="281">
        <v>1091.5</v>
      </c>
      <c r="P200" s="402">
        <v>11151.57</v>
      </c>
      <c r="Q200" s="274">
        <v>6791.74</v>
      </c>
      <c r="R200" s="232">
        <f t="shared" si="23"/>
        <v>17943.309999999998</v>
      </c>
      <c r="S200" s="281"/>
    </row>
    <row r="201" spans="1:19">
      <c r="A201" s="272">
        <v>195</v>
      </c>
      <c r="B201" s="78" t="s">
        <v>423</v>
      </c>
      <c r="C201" s="78" t="s">
        <v>1378</v>
      </c>
      <c r="D201" s="229">
        <v>17786.32</v>
      </c>
      <c r="E201" s="231">
        <v>36205.879999999997</v>
      </c>
      <c r="F201" s="232">
        <f t="shared" si="20"/>
        <v>53992.2</v>
      </c>
      <c r="G201" s="249"/>
      <c r="H201" s="241">
        <v>53992.2</v>
      </c>
      <c r="I201" s="231">
        <v>79316.549999999988</v>
      </c>
      <c r="J201" s="232">
        <f t="shared" si="21"/>
        <v>133308.75</v>
      </c>
      <c r="K201" s="281"/>
      <c r="L201" s="232">
        <v>133308.75</v>
      </c>
      <c r="M201" s="274">
        <v>50647.380000000005</v>
      </c>
      <c r="N201" s="232">
        <f t="shared" si="22"/>
        <v>183956.13</v>
      </c>
      <c r="O201" s="281"/>
      <c r="P201" s="402">
        <v>183956.13</v>
      </c>
      <c r="Q201" s="274">
        <v>55337.67</v>
      </c>
      <c r="R201" s="232">
        <f t="shared" si="23"/>
        <v>239293.8</v>
      </c>
      <c r="S201" s="281"/>
    </row>
    <row r="202" spans="1:19">
      <c r="A202" s="272">
        <v>196</v>
      </c>
      <c r="B202" s="78" t="s">
        <v>425</v>
      </c>
      <c r="C202" s="78" t="s">
        <v>1028</v>
      </c>
      <c r="D202" s="229">
        <v>2491.71</v>
      </c>
      <c r="E202" s="231">
        <v>5066.26</v>
      </c>
      <c r="F202" s="232">
        <f t="shared" si="20"/>
        <v>7557.97</v>
      </c>
      <c r="G202" s="249">
        <v>1462.5</v>
      </c>
      <c r="H202" s="241">
        <v>6095.47</v>
      </c>
      <c r="I202" s="231">
        <v>7867.56</v>
      </c>
      <c r="J202" s="232">
        <f t="shared" si="21"/>
        <v>13963.03</v>
      </c>
      <c r="K202" s="281">
        <v>1786.62</v>
      </c>
      <c r="L202" s="232">
        <v>12176.41</v>
      </c>
      <c r="M202" s="274">
        <v>6608.32</v>
      </c>
      <c r="N202" s="232">
        <f t="shared" si="22"/>
        <v>18784.73</v>
      </c>
      <c r="O202" s="281">
        <v>1172.97</v>
      </c>
      <c r="P202" s="402">
        <v>17611.759999999998</v>
      </c>
      <c r="Q202" s="274">
        <v>9056.869999999999</v>
      </c>
      <c r="R202" s="232">
        <f t="shared" si="23"/>
        <v>26668.629999999997</v>
      </c>
      <c r="S202" s="281"/>
    </row>
    <row r="203" spans="1:19">
      <c r="A203" s="272">
        <v>197</v>
      </c>
      <c r="B203" s="78" t="s">
        <v>427</v>
      </c>
      <c r="C203" s="78" t="s">
        <v>1029</v>
      </c>
      <c r="D203" s="229">
        <v>0</v>
      </c>
      <c r="E203" s="231">
        <v>4206.04</v>
      </c>
      <c r="F203" s="232">
        <f t="shared" si="20"/>
        <v>4206.04</v>
      </c>
      <c r="G203" s="249">
        <v>4289.04</v>
      </c>
      <c r="H203" s="241">
        <v>0</v>
      </c>
      <c r="I203" s="231">
        <v>6209.04</v>
      </c>
      <c r="J203" s="232">
        <f t="shared" si="21"/>
        <v>6209.04</v>
      </c>
      <c r="K203" s="281">
        <v>17157.7</v>
      </c>
      <c r="L203" s="232">
        <v>0</v>
      </c>
      <c r="M203" s="274">
        <v>6131.15</v>
      </c>
      <c r="N203" s="232">
        <f t="shared" si="22"/>
        <v>6131.15</v>
      </c>
      <c r="O203" s="281">
        <v>6608.7800000000007</v>
      </c>
      <c r="P203" s="402">
        <v>0</v>
      </c>
      <c r="Q203" s="274">
        <v>6614.01</v>
      </c>
      <c r="R203" s="232">
        <f t="shared" si="23"/>
        <v>6614.01</v>
      </c>
      <c r="S203" s="281"/>
    </row>
    <row r="204" spans="1:19">
      <c r="A204" s="272">
        <v>198</v>
      </c>
      <c r="B204" s="78" t="s">
        <v>429</v>
      </c>
      <c r="C204" s="78" t="s">
        <v>1030</v>
      </c>
      <c r="D204" s="229">
        <v>286.73999999999978</v>
      </c>
      <c r="E204" s="231">
        <v>11843.77</v>
      </c>
      <c r="F204" s="232">
        <f t="shared" si="20"/>
        <v>12130.51</v>
      </c>
      <c r="G204" s="249">
        <v>10022.77</v>
      </c>
      <c r="H204" s="241">
        <v>2107.7399999999998</v>
      </c>
      <c r="I204" s="231">
        <v>16153.26</v>
      </c>
      <c r="J204" s="232">
        <f t="shared" si="21"/>
        <v>18261</v>
      </c>
      <c r="K204" s="281">
        <v>15288</v>
      </c>
      <c r="L204" s="232">
        <v>2973</v>
      </c>
      <c r="M204" s="274">
        <v>14833.08</v>
      </c>
      <c r="N204" s="232">
        <f t="shared" si="22"/>
        <v>17806.080000000002</v>
      </c>
      <c r="O204" s="281">
        <v>16975.13</v>
      </c>
      <c r="P204" s="402">
        <v>830.95000000000073</v>
      </c>
      <c r="Q204" s="274">
        <v>13969.149999999998</v>
      </c>
      <c r="R204" s="232">
        <f t="shared" si="23"/>
        <v>14800.099999999999</v>
      </c>
      <c r="S204" s="281"/>
    </row>
    <row r="205" spans="1:19">
      <c r="A205" s="272">
        <v>199</v>
      </c>
      <c r="B205" s="78" t="s">
        <v>431</v>
      </c>
      <c r="C205" s="78" t="s">
        <v>1031</v>
      </c>
      <c r="D205" s="229">
        <v>0</v>
      </c>
      <c r="E205" s="231">
        <v>38052.950000000004</v>
      </c>
      <c r="F205" s="232">
        <f t="shared" si="20"/>
        <v>38052.950000000004</v>
      </c>
      <c r="G205" s="249">
        <v>87568.46</v>
      </c>
      <c r="H205" s="241">
        <v>0</v>
      </c>
      <c r="I205" s="231">
        <v>54151.909999999989</v>
      </c>
      <c r="J205" s="232">
        <f t="shared" si="21"/>
        <v>54151.909999999989</v>
      </c>
      <c r="K205" s="281">
        <v>82586.180000000008</v>
      </c>
      <c r="L205" s="232">
        <v>0</v>
      </c>
      <c r="M205" s="274">
        <v>52879.260000000009</v>
      </c>
      <c r="N205" s="232">
        <f t="shared" si="22"/>
        <v>52879.260000000009</v>
      </c>
      <c r="O205" s="281">
        <v>89157.170000000013</v>
      </c>
      <c r="P205" s="402">
        <v>0</v>
      </c>
      <c r="Q205" s="274">
        <v>55534.28</v>
      </c>
      <c r="R205" s="232">
        <f t="shared" si="23"/>
        <v>55534.28</v>
      </c>
      <c r="S205" s="281"/>
    </row>
    <row r="206" spans="1:19">
      <c r="A206" s="272">
        <v>200</v>
      </c>
      <c r="B206" s="78" t="s">
        <v>433</v>
      </c>
      <c r="C206" s="78" t="s">
        <v>1032</v>
      </c>
      <c r="D206" s="229">
        <v>12665.760000000024</v>
      </c>
      <c r="E206" s="231">
        <v>168573.80999999997</v>
      </c>
      <c r="F206" s="232">
        <f t="shared" si="20"/>
        <v>181239.57</v>
      </c>
      <c r="G206" s="249">
        <v>151225.42000000001</v>
      </c>
      <c r="H206" s="241">
        <v>30014.149999999994</v>
      </c>
      <c r="I206" s="231">
        <v>209867.13</v>
      </c>
      <c r="J206" s="232">
        <f t="shared" si="21"/>
        <v>239881.28</v>
      </c>
      <c r="K206" s="281">
        <v>231927.34</v>
      </c>
      <c r="L206" s="232">
        <v>7953.9400000000023</v>
      </c>
      <c r="M206" s="274">
        <v>237205.75</v>
      </c>
      <c r="N206" s="232">
        <f t="shared" si="22"/>
        <v>245159.69</v>
      </c>
      <c r="O206" s="281">
        <v>317101.81</v>
      </c>
      <c r="P206" s="402">
        <v>0</v>
      </c>
      <c r="Q206" s="274">
        <v>276951.45999999996</v>
      </c>
      <c r="R206" s="232">
        <f t="shared" si="23"/>
        <v>276951.45999999996</v>
      </c>
      <c r="S206" s="281"/>
    </row>
    <row r="207" spans="1:19">
      <c r="A207" s="272">
        <v>201</v>
      </c>
      <c r="B207" s="78" t="s">
        <v>435</v>
      </c>
      <c r="C207" s="78" t="s">
        <v>1033</v>
      </c>
      <c r="D207" s="229">
        <v>0</v>
      </c>
      <c r="E207" s="231">
        <v>320986.71999999997</v>
      </c>
      <c r="F207" s="232">
        <f t="shared" si="20"/>
        <v>320986.71999999997</v>
      </c>
      <c r="G207" s="249">
        <v>253398.2</v>
      </c>
      <c r="H207" s="241">
        <v>67588.51999999996</v>
      </c>
      <c r="I207" s="231">
        <v>474610.13999999996</v>
      </c>
      <c r="J207" s="232">
        <f t="shared" si="21"/>
        <v>542198.65999999992</v>
      </c>
      <c r="K207" s="281">
        <v>104776.38000000002</v>
      </c>
      <c r="L207" s="232">
        <v>437422.27999999991</v>
      </c>
      <c r="M207" s="274">
        <v>472990.57999999996</v>
      </c>
      <c r="N207" s="232">
        <f t="shared" si="22"/>
        <v>910412.85999999987</v>
      </c>
      <c r="O207" s="281">
        <v>246308</v>
      </c>
      <c r="P207" s="402">
        <v>664104.85999999987</v>
      </c>
      <c r="Q207" s="274">
        <v>523274.28</v>
      </c>
      <c r="R207" s="232">
        <f t="shared" si="23"/>
        <v>1187379.1399999999</v>
      </c>
      <c r="S207" s="281"/>
    </row>
    <row r="208" spans="1:19">
      <c r="A208" s="272">
        <v>202</v>
      </c>
      <c r="B208" s="78" t="s">
        <v>437</v>
      </c>
      <c r="C208" s="78" t="s">
        <v>1034</v>
      </c>
      <c r="D208" s="229">
        <v>1506.6499999999999</v>
      </c>
      <c r="E208" s="231">
        <v>3060.2999999999997</v>
      </c>
      <c r="F208" s="232">
        <f t="shared" si="20"/>
        <v>4566.95</v>
      </c>
      <c r="G208" s="249">
        <v>392.06</v>
      </c>
      <c r="H208" s="241">
        <v>4174.8899999999994</v>
      </c>
      <c r="I208" s="231">
        <v>4700.0599999999995</v>
      </c>
      <c r="J208" s="232">
        <f t="shared" si="21"/>
        <v>8874.9499999999989</v>
      </c>
      <c r="K208" s="281">
        <v>5015.4699999999993</v>
      </c>
      <c r="L208" s="232">
        <v>3859.4799999999996</v>
      </c>
      <c r="M208" s="274">
        <v>4656.6000000000004</v>
      </c>
      <c r="N208" s="232">
        <f t="shared" si="22"/>
        <v>8516.08</v>
      </c>
      <c r="O208" s="281">
        <v>3227.45</v>
      </c>
      <c r="P208" s="402">
        <v>5288.63</v>
      </c>
      <c r="Q208" s="274">
        <v>4934.84</v>
      </c>
      <c r="R208" s="232">
        <f t="shared" si="23"/>
        <v>10223.470000000001</v>
      </c>
      <c r="S208" s="281"/>
    </row>
    <row r="209" spans="1:19">
      <c r="A209" s="272">
        <v>203</v>
      </c>
      <c r="B209" s="78" t="s">
        <v>439</v>
      </c>
      <c r="C209" s="78" t="s">
        <v>1035</v>
      </c>
      <c r="D209" s="229">
        <v>8098.05</v>
      </c>
      <c r="E209" s="231">
        <v>16472.289999999997</v>
      </c>
      <c r="F209" s="232">
        <f t="shared" si="20"/>
        <v>24570.339999999997</v>
      </c>
      <c r="G209" s="249"/>
      <c r="H209" s="241">
        <v>24570.339999999997</v>
      </c>
      <c r="I209" s="231">
        <v>22709.79</v>
      </c>
      <c r="J209" s="232">
        <f t="shared" si="21"/>
        <v>47280.13</v>
      </c>
      <c r="K209" s="281"/>
      <c r="L209" s="232">
        <v>47280.13</v>
      </c>
      <c r="M209" s="274">
        <v>23197.34</v>
      </c>
      <c r="N209" s="232">
        <f t="shared" si="22"/>
        <v>70477.47</v>
      </c>
      <c r="O209" s="281">
        <v>21900.09</v>
      </c>
      <c r="P209" s="402">
        <v>48577.380000000005</v>
      </c>
      <c r="Q209" s="274">
        <v>25145.75</v>
      </c>
      <c r="R209" s="232">
        <f t="shared" si="23"/>
        <v>73723.13</v>
      </c>
      <c r="S209" s="281"/>
    </row>
    <row r="210" spans="1:19">
      <c r="A210" s="272">
        <v>204</v>
      </c>
      <c r="B210" s="78" t="s">
        <v>441</v>
      </c>
      <c r="C210" s="78" t="s">
        <v>1036</v>
      </c>
      <c r="D210" s="229">
        <v>71272.899999999907</v>
      </c>
      <c r="E210" s="231">
        <v>1237361.24</v>
      </c>
      <c r="F210" s="232">
        <f t="shared" si="20"/>
        <v>1308634.1399999999</v>
      </c>
      <c r="G210" s="249">
        <v>1155448.05</v>
      </c>
      <c r="H210" s="241">
        <v>153186.08999999985</v>
      </c>
      <c r="I210" s="231">
        <v>1816798.91</v>
      </c>
      <c r="J210" s="232">
        <f t="shared" si="21"/>
        <v>1969984.9999999998</v>
      </c>
      <c r="K210" s="281">
        <v>2520354.7400000002</v>
      </c>
      <c r="L210" s="232">
        <v>0</v>
      </c>
      <c r="M210" s="274">
        <v>1841766.78</v>
      </c>
      <c r="N210" s="232">
        <f t="shared" si="22"/>
        <v>1841766.78</v>
      </c>
      <c r="O210" s="281">
        <v>1305153.26</v>
      </c>
      <c r="P210" s="402">
        <v>536613.52</v>
      </c>
      <c r="Q210" s="274">
        <v>2015531.5699999998</v>
      </c>
      <c r="R210" s="232">
        <f t="shared" si="23"/>
        <v>2552145.09</v>
      </c>
      <c r="S210" s="281"/>
    </row>
    <row r="211" spans="1:19">
      <c r="A211" s="272">
        <v>205</v>
      </c>
      <c r="B211" s="78" t="s">
        <v>443</v>
      </c>
      <c r="C211" s="78" t="s">
        <v>1037</v>
      </c>
      <c r="D211" s="229">
        <v>0</v>
      </c>
      <c r="E211" s="231">
        <v>25355.58</v>
      </c>
      <c r="F211" s="232">
        <f t="shared" si="20"/>
        <v>25355.58</v>
      </c>
      <c r="G211" s="249">
        <v>1223.82</v>
      </c>
      <c r="H211" s="241">
        <v>24131.760000000002</v>
      </c>
      <c r="I211" s="231">
        <v>37787.39</v>
      </c>
      <c r="J211" s="232">
        <f t="shared" si="21"/>
        <v>61919.15</v>
      </c>
      <c r="K211" s="281">
        <v>22999.99</v>
      </c>
      <c r="L211" s="232">
        <v>38919.160000000003</v>
      </c>
      <c r="M211" s="274">
        <v>37269.490000000005</v>
      </c>
      <c r="N211" s="232">
        <f t="shared" si="22"/>
        <v>76188.650000000009</v>
      </c>
      <c r="O211" s="281">
        <v>34721</v>
      </c>
      <c r="P211" s="402">
        <v>41467.650000000009</v>
      </c>
      <c r="Q211" s="274">
        <v>37632.25</v>
      </c>
      <c r="R211" s="232">
        <f t="shared" si="23"/>
        <v>79099.900000000009</v>
      </c>
      <c r="S211" s="281"/>
    </row>
    <row r="212" spans="1:19">
      <c r="A212" s="272">
        <v>206</v>
      </c>
      <c r="B212" s="78" t="s">
        <v>445</v>
      </c>
      <c r="C212" s="78" t="s">
        <v>1038</v>
      </c>
      <c r="D212" s="229">
        <v>1839.7800000000007</v>
      </c>
      <c r="E212" s="231">
        <v>7724.67</v>
      </c>
      <c r="F212" s="232">
        <f t="shared" si="20"/>
        <v>9564.4500000000007</v>
      </c>
      <c r="G212" s="249">
        <v>2965.02</v>
      </c>
      <c r="H212" s="241">
        <v>6599.43</v>
      </c>
      <c r="I212" s="231">
        <v>15162.550000000001</v>
      </c>
      <c r="J212" s="232">
        <f t="shared" si="21"/>
        <v>21761.980000000003</v>
      </c>
      <c r="K212" s="281">
        <v>20338.63</v>
      </c>
      <c r="L212" s="232">
        <v>1423.3500000000022</v>
      </c>
      <c r="M212" s="274">
        <v>15831.239999999998</v>
      </c>
      <c r="N212" s="232">
        <f t="shared" si="22"/>
        <v>17254.59</v>
      </c>
      <c r="O212" s="281">
        <v>6988.4400000000005</v>
      </c>
      <c r="P212" s="402">
        <v>10266.15</v>
      </c>
      <c r="Q212" s="274">
        <v>17677.120000000003</v>
      </c>
      <c r="R212" s="232">
        <f t="shared" si="23"/>
        <v>27943.270000000004</v>
      </c>
      <c r="S212" s="281"/>
    </row>
    <row r="213" spans="1:19">
      <c r="A213" s="272">
        <v>207</v>
      </c>
      <c r="B213" s="78" t="s">
        <v>447</v>
      </c>
      <c r="C213" s="78" t="s">
        <v>1039</v>
      </c>
      <c r="D213" s="229">
        <v>877.38000000000102</v>
      </c>
      <c r="E213" s="231">
        <v>22306.749999999996</v>
      </c>
      <c r="F213" s="232">
        <f t="shared" si="20"/>
        <v>23184.129999999997</v>
      </c>
      <c r="G213" s="249">
        <v>25251.16</v>
      </c>
      <c r="H213" s="241">
        <v>0</v>
      </c>
      <c r="I213" s="231">
        <v>33578.43</v>
      </c>
      <c r="J213" s="232">
        <f t="shared" si="21"/>
        <v>33578.43</v>
      </c>
      <c r="K213" s="281">
        <v>39508.07</v>
      </c>
      <c r="L213" s="232">
        <v>0</v>
      </c>
      <c r="M213" s="274">
        <v>33922.300000000003</v>
      </c>
      <c r="N213" s="232">
        <f t="shared" si="22"/>
        <v>33922.300000000003</v>
      </c>
      <c r="O213" s="281">
        <v>24188.079999999998</v>
      </c>
      <c r="P213" s="402">
        <v>9734.2200000000048</v>
      </c>
      <c r="Q213" s="274">
        <v>38899.93</v>
      </c>
      <c r="R213" s="232">
        <f t="shared" si="23"/>
        <v>48634.150000000009</v>
      </c>
      <c r="S213" s="281"/>
    </row>
    <row r="214" spans="1:19">
      <c r="A214" s="272">
        <v>208</v>
      </c>
      <c r="B214" s="78" t="s">
        <v>449</v>
      </c>
      <c r="C214" s="78" t="s">
        <v>1040</v>
      </c>
      <c r="D214" s="229">
        <v>42057.5</v>
      </c>
      <c r="E214" s="231">
        <v>626601.04999999993</v>
      </c>
      <c r="F214" s="232">
        <f t="shared" si="20"/>
        <v>668658.54999999993</v>
      </c>
      <c r="G214" s="249">
        <v>679779.57</v>
      </c>
      <c r="H214" s="241">
        <v>0</v>
      </c>
      <c r="I214" s="231">
        <v>833816.44</v>
      </c>
      <c r="J214" s="232">
        <f t="shared" si="21"/>
        <v>833816.44</v>
      </c>
      <c r="K214" s="281">
        <v>1182434.5499999998</v>
      </c>
      <c r="L214" s="232">
        <v>0</v>
      </c>
      <c r="M214" s="274">
        <v>853308.49</v>
      </c>
      <c r="N214" s="232">
        <f t="shared" si="22"/>
        <v>853308.49</v>
      </c>
      <c r="O214" s="281">
        <v>1108539.1800000002</v>
      </c>
      <c r="P214" s="402">
        <v>0</v>
      </c>
      <c r="Q214" s="274">
        <v>963510.41999999993</v>
      </c>
      <c r="R214" s="232">
        <f t="shared" si="23"/>
        <v>963510.41999999993</v>
      </c>
      <c r="S214" s="281"/>
    </row>
    <row r="215" spans="1:19">
      <c r="A215" s="272">
        <v>209</v>
      </c>
      <c r="B215" s="276" t="s">
        <v>451</v>
      </c>
      <c r="C215" s="233" t="s">
        <v>1041</v>
      </c>
      <c r="D215" s="229"/>
      <c r="E215" s="231"/>
      <c r="F215" s="232"/>
      <c r="G215" s="249"/>
      <c r="H215" s="241"/>
      <c r="I215" s="231"/>
      <c r="J215" s="232"/>
      <c r="K215" s="281"/>
      <c r="L215" s="232">
        <v>0</v>
      </c>
      <c r="M215" s="274">
        <v>9858.32</v>
      </c>
      <c r="N215" s="232">
        <f t="shared" si="22"/>
        <v>9858.32</v>
      </c>
      <c r="O215" s="281">
        <v>9858.32</v>
      </c>
      <c r="P215" s="402">
        <v>0</v>
      </c>
      <c r="Q215" s="274">
        <v>15600.060000000001</v>
      </c>
      <c r="R215" s="232">
        <f t="shared" si="23"/>
        <v>15600.060000000001</v>
      </c>
      <c r="S215" s="281"/>
    </row>
    <row r="216" spans="1:19">
      <c r="A216" s="272">
        <v>210</v>
      </c>
      <c r="B216" s="78" t="s">
        <v>453</v>
      </c>
      <c r="C216" s="78" t="s">
        <v>1042</v>
      </c>
      <c r="D216" s="229">
        <v>0</v>
      </c>
      <c r="E216" s="231">
        <v>50545.82</v>
      </c>
      <c r="F216" s="232">
        <f t="shared" ref="F216:F223" si="24">+D216+E216</f>
        <v>50545.82</v>
      </c>
      <c r="G216" s="249">
        <v>56633.79</v>
      </c>
      <c r="H216" s="241">
        <v>0</v>
      </c>
      <c r="I216" s="231">
        <v>66661.820000000007</v>
      </c>
      <c r="J216" s="232">
        <f t="shared" ref="J216:J223" si="25">+H216+I216</f>
        <v>66661.820000000007</v>
      </c>
      <c r="K216" s="281">
        <v>55370.07</v>
      </c>
      <c r="L216" s="232">
        <v>11291.750000000007</v>
      </c>
      <c r="M216" s="274">
        <v>64762.319999999992</v>
      </c>
      <c r="N216" s="232">
        <f t="shared" si="22"/>
        <v>76054.070000000007</v>
      </c>
      <c r="O216" s="281">
        <v>79879.06</v>
      </c>
      <c r="P216" s="402">
        <v>0</v>
      </c>
      <c r="Q216" s="274">
        <v>80305.460000000006</v>
      </c>
      <c r="R216" s="232">
        <f t="shared" si="23"/>
        <v>80305.460000000006</v>
      </c>
      <c r="S216" s="281"/>
    </row>
    <row r="217" spans="1:19">
      <c r="A217" s="272">
        <v>211</v>
      </c>
      <c r="B217" s="78" t="s">
        <v>455</v>
      </c>
      <c r="C217" s="78" t="s">
        <v>1043</v>
      </c>
      <c r="D217" s="229">
        <v>4482.88</v>
      </c>
      <c r="E217" s="231">
        <v>25294.760000000002</v>
      </c>
      <c r="F217" s="232">
        <f t="shared" si="24"/>
        <v>29777.640000000003</v>
      </c>
      <c r="G217" s="249">
        <v>20335.900000000001</v>
      </c>
      <c r="H217" s="241">
        <v>9441.7400000000016</v>
      </c>
      <c r="I217" s="231">
        <v>37101.89</v>
      </c>
      <c r="J217" s="232">
        <f t="shared" si="25"/>
        <v>46543.630000000005</v>
      </c>
      <c r="K217" s="281">
        <v>44537.179999999993</v>
      </c>
      <c r="L217" s="232">
        <v>2006.4500000000116</v>
      </c>
      <c r="M217" s="274">
        <v>43127.740000000005</v>
      </c>
      <c r="N217" s="232">
        <f t="shared" si="22"/>
        <v>45134.190000000017</v>
      </c>
      <c r="O217" s="281">
        <v>47170.13</v>
      </c>
      <c r="P217" s="402">
        <v>0</v>
      </c>
      <c r="Q217" s="274">
        <v>45546.78</v>
      </c>
      <c r="R217" s="232">
        <f t="shared" si="23"/>
        <v>45546.78</v>
      </c>
      <c r="S217" s="281"/>
    </row>
    <row r="218" spans="1:19">
      <c r="A218" s="272">
        <v>212</v>
      </c>
      <c r="B218" s="78" t="s">
        <v>457</v>
      </c>
      <c r="C218" s="78" t="s">
        <v>1044</v>
      </c>
      <c r="D218" s="229">
        <v>10422.48000000004</v>
      </c>
      <c r="E218" s="231">
        <v>243092.85</v>
      </c>
      <c r="F218" s="232">
        <f t="shared" si="24"/>
        <v>253515.33000000005</v>
      </c>
      <c r="G218" s="249">
        <v>234508.43</v>
      </c>
      <c r="H218" s="241">
        <v>19006.900000000052</v>
      </c>
      <c r="I218" s="231">
        <v>268713.71000000002</v>
      </c>
      <c r="J218" s="232">
        <f t="shared" si="25"/>
        <v>287720.6100000001</v>
      </c>
      <c r="K218" s="281">
        <v>359195.74000000005</v>
      </c>
      <c r="L218" s="232">
        <v>0</v>
      </c>
      <c r="M218" s="274">
        <v>311073.28000000003</v>
      </c>
      <c r="N218" s="232">
        <f t="shared" si="22"/>
        <v>311073.28000000003</v>
      </c>
      <c r="O218" s="281">
        <v>331370.3</v>
      </c>
      <c r="P218" s="402">
        <v>0</v>
      </c>
      <c r="Q218" s="274">
        <v>340297.31999999995</v>
      </c>
      <c r="R218" s="232">
        <f t="shared" si="23"/>
        <v>340297.31999999995</v>
      </c>
      <c r="S218" s="281"/>
    </row>
    <row r="219" spans="1:19">
      <c r="A219" s="272">
        <v>213</v>
      </c>
      <c r="B219" s="78" t="s">
        <v>459</v>
      </c>
      <c r="C219" s="78" t="s">
        <v>1045</v>
      </c>
      <c r="D219" s="229">
        <v>5159.7599999999984</v>
      </c>
      <c r="E219" s="231">
        <v>79240.59</v>
      </c>
      <c r="F219" s="232">
        <f t="shared" si="24"/>
        <v>84400.349999999991</v>
      </c>
      <c r="G219" s="249">
        <v>66194.59</v>
      </c>
      <c r="H219" s="241">
        <v>18205.759999999995</v>
      </c>
      <c r="I219" s="231">
        <v>102028.40000000001</v>
      </c>
      <c r="J219" s="232">
        <f t="shared" si="25"/>
        <v>120234.16</v>
      </c>
      <c r="K219" s="281">
        <v>127105.77999999997</v>
      </c>
      <c r="L219" s="232">
        <v>0</v>
      </c>
      <c r="M219" s="274">
        <v>106156.07</v>
      </c>
      <c r="N219" s="232">
        <f t="shared" si="22"/>
        <v>106156.07</v>
      </c>
      <c r="O219" s="281">
        <v>140604.65999999997</v>
      </c>
      <c r="P219" s="402">
        <v>0</v>
      </c>
      <c r="Q219" s="274">
        <v>113597.25</v>
      </c>
      <c r="R219" s="232">
        <f t="shared" si="23"/>
        <v>113597.25</v>
      </c>
      <c r="S219" s="281"/>
    </row>
    <row r="220" spans="1:19">
      <c r="A220" s="272">
        <v>214</v>
      </c>
      <c r="B220" s="78" t="s">
        <v>461</v>
      </c>
      <c r="C220" s="78" t="s">
        <v>1046</v>
      </c>
      <c r="D220" s="229">
        <v>0</v>
      </c>
      <c r="E220" s="231">
        <v>22509.59</v>
      </c>
      <c r="F220" s="232">
        <f t="shared" si="24"/>
        <v>22509.59</v>
      </c>
      <c r="G220" s="249">
        <v>25268.91</v>
      </c>
      <c r="H220" s="241">
        <v>0</v>
      </c>
      <c r="I220" s="231">
        <v>34534.93</v>
      </c>
      <c r="J220" s="232">
        <f t="shared" si="25"/>
        <v>34534.93</v>
      </c>
      <c r="K220" s="281">
        <v>36262.86</v>
      </c>
      <c r="L220" s="232">
        <v>0</v>
      </c>
      <c r="M220" s="274">
        <v>32807.31</v>
      </c>
      <c r="N220" s="232">
        <f t="shared" si="22"/>
        <v>32807.31</v>
      </c>
      <c r="O220" s="281"/>
      <c r="P220" s="402">
        <v>32807.31</v>
      </c>
      <c r="Q220" s="274">
        <v>35126.020000000004</v>
      </c>
      <c r="R220" s="232">
        <f t="shared" si="23"/>
        <v>67933.33</v>
      </c>
      <c r="S220" s="281"/>
    </row>
    <row r="221" spans="1:19">
      <c r="A221" s="272">
        <v>215</v>
      </c>
      <c r="B221" s="78" t="s">
        <v>463</v>
      </c>
      <c r="C221" s="78" t="s">
        <v>1379</v>
      </c>
      <c r="D221" s="229">
        <v>14833.269999999999</v>
      </c>
      <c r="E221" s="231">
        <v>30213.98</v>
      </c>
      <c r="F221" s="232">
        <f t="shared" si="24"/>
        <v>45047.25</v>
      </c>
      <c r="G221" s="249">
        <v>9909</v>
      </c>
      <c r="H221" s="242">
        <v>35138.25</v>
      </c>
      <c r="I221" s="231">
        <v>58389.119999999995</v>
      </c>
      <c r="J221" s="232">
        <f t="shared" si="25"/>
        <v>93527.37</v>
      </c>
      <c r="K221" s="281"/>
      <c r="L221" s="232">
        <v>93527.37</v>
      </c>
      <c r="M221" s="274">
        <v>53993.960000000006</v>
      </c>
      <c r="N221" s="232">
        <f t="shared" si="22"/>
        <v>147521.33000000002</v>
      </c>
      <c r="O221" s="281">
        <v>28534.46</v>
      </c>
      <c r="P221" s="402">
        <v>118986.87000000002</v>
      </c>
      <c r="Q221" s="274">
        <v>48237.760000000009</v>
      </c>
      <c r="R221" s="232">
        <f t="shared" si="23"/>
        <v>167224.63000000003</v>
      </c>
      <c r="S221" s="281"/>
    </row>
    <row r="222" spans="1:19">
      <c r="A222" s="272">
        <v>216</v>
      </c>
      <c r="B222" s="78" t="s">
        <v>465</v>
      </c>
      <c r="C222" s="78" t="s">
        <v>1049</v>
      </c>
      <c r="D222" s="229">
        <v>22544.600000000006</v>
      </c>
      <c r="E222" s="231">
        <v>173728.88</v>
      </c>
      <c r="F222" s="232">
        <f t="shared" si="24"/>
        <v>196273.48</v>
      </c>
      <c r="G222" s="249">
        <v>193007.64</v>
      </c>
      <c r="H222" s="241">
        <v>3265.8399999999965</v>
      </c>
      <c r="I222" s="231">
        <v>247801.90000000002</v>
      </c>
      <c r="J222" s="232">
        <f t="shared" si="25"/>
        <v>251067.74000000002</v>
      </c>
      <c r="K222" s="281">
        <v>70376.679999999993</v>
      </c>
      <c r="L222" s="232">
        <v>180691.06000000003</v>
      </c>
      <c r="M222" s="274">
        <v>244906.66000000003</v>
      </c>
      <c r="N222" s="232">
        <f t="shared" si="22"/>
        <v>425597.72000000009</v>
      </c>
      <c r="O222" s="281">
        <v>261496.01999999996</v>
      </c>
      <c r="P222" s="402">
        <v>164101.70000000013</v>
      </c>
      <c r="Q222" s="274">
        <v>253741.53</v>
      </c>
      <c r="R222" s="232">
        <f t="shared" si="23"/>
        <v>417843.2300000001</v>
      </c>
      <c r="S222" s="281"/>
    </row>
    <row r="223" spans="1:19">
      <c r="A223" s="272">
        <v>217</v>
      </c>
      <c r="B223" s="78" t="s">
        <v>467</v>
      </c>
      <c r="C223" s="78" t="s">
        <v>1050</v>
      </c>
      <c r="D223" s="229">
        <v>23184.139999999985</v>
      </c>
      <c r="E223" s="231">
        <v>163868.85000000003</v>
      </c>
      <c r="F223" s="232">
        <f t="shared" si="24"/>
        <v>187052.99000000002</v>
      </c>
      <c r="G223" s="249">
        <v>148391.54</v>
      </c>
      <c r="H223" s="241">
        <v>38661.450000000012</v>
      </c>
      <c r="I223" s="231">
        <v>230691.99</v>
      </c>
      <c r="J223" s="232">
        <f t="shared" si="25"/>
        <v>269353.44</v>
      </c>
      <c r="K223" s="281">
        <v>314440.83999999997</v>
      </c>
      <c r="L223" s="232">
        <v>0</v>
      </c>
      <c r="M223" s="274">
        <v>235284.93</v>
      </c>
      <c r="N223" s="232">
        <f t="shared" si="22"/>
        <v>235284.93</v>
      </c>
      <c r="O223" s="281">
        <v>235284.92999999996</v>
      </c>
      <c r="P223" s="402">
        <v>2.9103830456733704E-11</v>
      </c>
      <c r="Q223" s="274">
        <v>261813.53</v>
      </c>
      <c r="R223" s="232">
        <f t="shared" si="23"/>
        <v>261813.53000000003</v>
      </c>
      <c r="S223" s="281"/>
    </row>
    <row r="224" spans="1:19">
      <c r="A224" s="272">
        <v>218</v>
      </c>
      <c r="B224" s="276" t="s">
        <v>469</v>
      </c>
      <c r="C224" s="233" t="s">
        <v>1051</v>
      </c>
      <c r="D224" s="229"/>
      <c r="E224" s="231"/>
      <c r="F224" s="232"/>
      <c r="G224" s="249"/>
      <c r="H224" s="241"/>
      <c r="I224" s="231"/>
      <c r="J224" s="232"/>
      <c r="K224" s="281"/>
      <c r="L224" s="232">
        <v>0</v>
      </c>
      <c r="M224" s="274">
        <v>8657.3700000000008</v>
      </c>
      <c r="N224" s="232">
        <f t="shared" si="22"/>
        <v>8657.3700000000008</v>
      </c>
      <c r="O224" s="281">
        <v>8657.3700000000008</v>
      </c>
      <c r="P224" s="402">
        <v>0</v>
      </c>
      <c r="Q224" s="274">
        <v>11567.67</v>
      </c>
      <c r="R224" s="232">
        <f t="shared" si="23"/>
        <v>11567.67</v>
      </c>
      <c r="S224" s="281"/>
    </row>
    <row r="225" spans="1:19">
      <c r="A225" s="272">
        <v>219</v>
      </c>
      <c r="B225" s="78" t="s">
        <v>471</v>
      </c>
      <c r="C225" s="78" t="s">
        <v>1052</v>
      </c>
      <c r="D225" s="229">
        <v>0</v>
      </c>
      <c r="E225" s="231">
        <v>1464208.4600000004</v>
      </c>
      <c r="F225" s="232">
        <f t="shared" ref="F225:F256" si="26">+D225+E225</f>
        <v>1464208.4600000004</v>
      </c>
      <c r="G225" s="249">
        <v>1364973.78</v>
      </c>
      <c r="H225" s="241">
        <v>99234.6800000004</v>
      </c>
      <c r="I225" s="231">
        <v>2048225.1</v>
      </c>
      <c r="J225" s="232">
        <f t="shared" ref="J225:J256" si="27">+H225+I225</f>
        <v>2147459.7800000003</v>
      </c>
      <c r="K225" s="281">
        <v>2267407.6100000003</v>
      </c>
      <c r="L225" s="232">
        <v>0</v>
      </c>
      <c r="M225" s="274">
        <v>2077041.7899999998</v>
      </c>
      <c r="N225" s="232">
        <f t="shared" si="22"/>
        <v>2077041.7899999998</v>
      </c>
      <c r="O225" s="281">
        <v>2156530.4500000002</v>
      </c>
      <c r="P225" s="402">
        <v>0</v>
      </c>
      <c r="Q225" s="274">
        <v>2310880.9299999997</v>
      </c>
      <c r="R225" s="232">
        <f t="shared" si="23"/>
        <v>2310880.9299999997</v>
      </c>
      <c r="S225" s="281"/>
    </row>
    <row r="226" spans="1:19">
      <c r="A226" s="272">
        <v>220</v>
      </c>
      <c r="B226" s="78" t="s">
        <v>473</v>
      </c>
      <c r="C226" s="78" t="s">
        <v>1053</v>
      </c>
      <c r="D226" s="229">
        <v>1203.78</v>
      </c>
      <c r="E226" s="231">
        <v>3576.4500000000003</v>
      </c>
      <c r="F226" s="232">
        <f t="shared" si="26"/>
        <v>4780.2300000000005</v>
      </c>
      <c r="G226" s="249">
        <v>2841.28</v>
      </c>
      <c r="H226" s="241">
        <v>1938.9500000000003</v>
      </c>
      <c r="I226" s="231">
        <v>5793.67</v>
      </c>
      <c r="J226" s="232">
        <f t="shared" si="27"/>
        <v>7732.6200000000008</v>
      </c>
      <c r="K226" s="281">
        <v>4433.5600000000004</v>
      </c>
      <c r="L226" s="232">
        <v>3299.0600000000004</v>
      </c>
      <c r="M226" s="274">
        <v>5075.88</v>
      </c>
      <c r="N226" s="232">
        <f t="shared" si="22"/>
        <v>8374.94</v>
      </c>
      <c r="O226" s="281">
        <v>4477.78</v>
      </c>
      <c r="P226" s="402">
        <v>3897.1600000000008</v>
      </c>
      <c r="Q226" s="274">
        <v>6619.01</v>
      </c>
      <c r="R226" s="232">
        <f t="shared" si="23"/>
        <v>10516.170000000002</v>
      </c>
      <c r="S226" s="281"/>
    </row>
    <row r="227" spans="1:19">
      <c r="A227" s="272">
        <v>221</v>
      </c>
      <c r="B227" s="78" t="s">
        <v>475</v>
      </c>
      <c r="C227" s="78" t="s">
        <v>1054</v>
      </c>
      <c r="D227" s="229">
        <v>0</v>
      </c>
      <c r="E227" s="231">
        <v>20202.800000000003</v>
      </c>
      <c r="F227" s="232">
        <f t="shared" si="26"/>
        <v>20202.800000000003</v>
      </c>
      <c r="G227" s="249">
        <v>33163.360000000001</v>
      </c>
      <c r="H227" s="241">
        <v>0</v>
      </c>
      <c r="I227" s="231">
        <v>30395.58</v>
      </c>
      <c r="J227" s="232">
        <f t="shared" si="27"/>
        <v>30395.58</v>
      </c>
      <c r="K227" s="281">
        <v>53080.780000000006</v>
      </c>
      <c r="L227" s="232">
        <v>0</v>
      </c>
      <c r="M227" s="274">
        <v>30843.710000000003</v>
      </c>
      <c r="N227" s="232">
        <f t="shared" si="22"/>
        <v>30843.710000000003</v>
      </c>
      <c r="O227" s="281">
        <v>62855.490000000005</v>
      </c>
      <c r="P227" s="402">
        <v>0</v>
      </c>
      <c r="Q227" s="274">
        <v>32679.95</v>
      </c>
      <c r="R227" s="232">
        <f t="shared" si="23"/>
        <v>32679.95</v>
      </c>
      <c r="S227" s="281"/>
    </row>
    <row r="228" spans="1:19">
      <c r="A228" s="272">
        <v>222</v>
      </c>
      <c r="B228" s="78" t="s">
        <v>477</v>
      </c>
      <c r="C228" s="78" t="s">
        <v>1380</v>
      </c>
      <c r="D228" s="229">
        <v>6548.75</v>
      </c>
      <c r="E228" s="231">
        <v>14092.55</v>
      </c>
      <c r="F228" s="232">
        <f t="shared" si="26"/>
        <v>20641.3</v>
      </c>
      <c r="G228" s="249">
        <v>13180.88</v>
      </c>
      <c r="H228" s="241">
        <v>7460.42</v>
      </c>
      <c r="I228" s="231">
        <v>22352.440000000002</v>
      </c>
      <c r="J228" s="232">
        <f t="shared" si="27"/>
        <v>29812.86</v>
      </c>
      <c r="K228" s="281">
        <v>16811.510000000002</v>
      </c>
      <c r="L228" s="232">
        <v>13001.349999999999</v>
      </c>
      <c r="M228" s="274">
        <v>21596.58</v>
      </c>
      <c r="N228" s="232">
        <f t="shared" si="22"/>
        <v>34597.93</v>
      </c>
      <c r="O228" s="281">
        <v>38189.11</v>
      </c>
      <c r="P228" s="402">
        <v>0</v>
      </c>
      <c r="Q228" s="274">
        <v>24177.399999999998</v>
      </c>
      <c r="R228" s="232">
        <f t="shared" si="23"/>
        <v>24177.399999999998</v>
      </c>
      <c r="S228" s="281"/>
    </row>
    <row r="229" spans="1:19">
      <c r="A229" s="272">
        <v>223</v>
      </c>
      <c r="B229" s="78" t="s">
        <v>479</v>
      </c>
      <c r="C229" s="78" t="s">
        <v>1057</v>
      </c>
      <c r="D229" s="229">
        <v>17040.119999999992</v>
      </c>
      <c r="E229" s="231">
        <v>90435.91</v>
      </c>
      <c r="F229" s="232">
        <f t="shared" si="26"/>
        <v>107476.03</v>
      </c>
      <c r="G229" s="249">
        <v>63210.81</v>
      </c>
      <c r="H229" s="241">
        <v>44265.22</v>
      </c>
      <c r="I229" s="231">
        <v>126099.90000000001</v>
      </c>
      <c r="J229" s="232">
        <f t="shared" si="27"/>
        <v>170365.12</v>
      </c>
      <c r="K229" s="281">
        <v>128630.28000000001</v>
      </c>
      <c r="L229" s="232">
        <v>41734.839999999982</v>
      </c>
      <c r="M229" s="274">
        <v>132832.11000000002</v>
      </c>
      <c r="N229" s="232">
        <f t="shared" si="22"/>
        <v>174566.95</v>
      </c>
      <c r="O229" s="281">
        <v>136522.77000000002</v>
      </c>
      <c r="P229" s="402">
        <v>38044.179999999993</v>
      </c>
      <c r="Q229" s="274">
        <v>151856.5</v>
      </c>
      <c r="R229" s="232">
        <f t="shared" si="23"/>
        <v>189900.68</v>
      </c>
      <c r="S229" s="281"/>
    </row>
    <row r="230" spans="1:19">
      <c r="A230" s="272">
        <v>224</v>
      </c>
      <c r="B230" s="78" t="s">
        <v>481</v>
      </c>
      <c r="C230" s="277" t="s">
        <v>1381</v>
      </c>
      <c r="D230" s="229">
        <v>0</v>
      </c>
      <c r="E230" s="231">
        <v>17641.41</v>
      </c>
      <c r="F230" s="232">
        <f t="shared" si="26"/>
        <v>17641.41</v>
      </c>
      <c r="G230" s="249">
        <v>17853.939999999999</v>
      </c>
      <c r="H230" s="241">
        <v>0</v>
      </c>
      <c r="I230" s="231">
        <v>25238.93</v>
      </c>
      <c r="J230" s="232">
        <f t="shared" si="27"/>
        <v>25238.93</v>
      </c>
      <c r="K230" s="281">
        <v>25238.93</v>
      </c>
      <c r="L230" s="232">
        <v>0</v>
      </c>
      <c r="M230" s="274">
        <v>25675.96</v>
      </c>
      <c r="N230" s="232">
        <f t="shared" si="22"/>
        <v>25675.96</v>
      </c>
      <c r="O230" s="281">
        <v>25935.91</v>
      </c>
      <c r="P230" s="402">
        <v>0</v>
      </c>
      <c r="Q230" s="274">
        <v>29572.48</v>
      </c>
      <c r="R230" s="232">
        <f t="shared" si="23"/>
        <v>29572.48</v>
      </c>
      <c r="S230" s="281"/>
    </row>
    <row r="231" spans="1:19">
      <c r="A231" s="272">
        <v>225</v>
      </c>
      <c r="B231" s="78" t="s">
        <v>483</v>
      </c>
      <c r="C231" s="78" t="s">
        <v>1059</v>
      </c>
      <c r="D231" s="229">
        <v>14332.380000000005</v>
      </c>
      <c r="E231" s="231">
        <v>209062.31999999998</v>
      </c>
      <c r="F231" s="232">
        <f t="shared" si="26"/>
        <v>223394.69999999998</v>
      </c>
      <c r="G231" s="249">
        <v>200417.46</v>
      </c>
      <c r="H231" s="241">
        <v>22977.239999999991</v>
      </c>
      <c r="I231" s="231">
        <v>311167.95999999996</v>
      </c>
      <c r="J231" s="232">
        <f t="shared" si="27"/>
        <v>334145.19999999995</v>
      </c>
      <c r="K231" s="281">
        <v>317765.91000000003</v>
      </c>
      <c r="L231" s="232">
        <v>16379.289999999921</v>
      </c>
      <c r="M231" s="274">
        <v>330666.53000000003</v>
      </c>
      <c r="N231" s="232">
        <f t="shared" si="22"/>
        <v>347045.81999999995</v>
      </c>
      <c r="O231" s="281">
        <v>338124.85</v>
      </c>
      <c r="P231" s="402">
        <v>8920.9699999999721</v>
      </c>
      <c r="Q231" s="274">
        <v>358400.6</v>
      </c>
      <c r="R231" s="232">
        <f t="shared" si="23"/>
        <v>367321.56999999995</v>
      </c>
      <c r="S231" s="281"/>
    </row>
    <row r="232" spans="1:19">
      <c r="A232" s="272">
        <v>226</v>
      </c>
      <c r="B232" s="78" t="s">
        <v>485</v>
      </c>
      <c r="C232" s="78" t="s">
        <v>1060</v>
      </c>
      <c r="D232" s="229">
        <v>1674.9500000000007</v>
      </c>
      <c r="E232" s="231">
        <v>56413.729999999996</v>
      </c>
      <c r="F232" s="232">
        <f t="shared" si="26"/>
        <v>58088.679999999993</v>
      </c>
      <c r="G232" s="249">
        <v>49413.32</v>
      </c>
      <c r="H232" s="241">
        <v>8675.3599999999933</v>
      </c>
      <c r="I232" s="231">
        <v>81492.94</v>
      </c>
      <c r="J232" s="232">
        <f t="shared" si="27"/>
        <v>90168.299999999988</v>
      </c>
      <c r="K232" s="281">
        <v>82966.819999999992</v>
      </c>
      <c r="L232" s="232">
        <v>7201.4799999999959</v>
      </c>
      <c r="M232" s="274">
        <v>82075.28</v>
      </c>
      <c r="N232" s="232">
        <f t="shared" si="22"/>
        <v>89276.76</v>
      </c>
      <c r="O232" s="281">
        <v>90466.61</v>
      </c>
      <c r="P232" s="402">
        <v>0</v>
      </c>
      <c r="Q232" s="274">
        <v>90243.96</v>
      </c>
      <c r="R232" s="232">
        <f t="shared" si="23"/>
        <v>90243.96</v>
      </c>
      <c r="S232" s="281"/>
    </row>
    <row r="233" spans="1:19">
      <c r="A233" s="272">
        <v>227</v>
      </c>
      <c r="B233" s="78" t="s">
        <v>487</v>
      </c>
      <c r="C233" s="78" t="s">
        <v>1382</v>
      </c>
      <c r="D233" s="229">
        <v>11361.8</v>
      </c>
      <c r="E233" s="231">
        <v>23693.480000000003</v>
      </c>
      <c r="F233" s="232">
        <f t="shared" si="26"/>
        <v>35055.279999999999</v>
      </c>
      <c r="G233" s="249">
        <v>45972.77</v>
      </c>
      <c r="H233" s="242">
        <v>0</v>
      </c>
      <c r="I233" s="231">
        <v>35336.960000000006</v>
      </c>
      <c r="J233" s="232">
        <f t="shared" si="27"/>
        <v>35336.960000000006</v>
      </c>
      <c r="K233" s="281">
        <v>32160.07</v>
      </c>
      <c r="L233" s="232">
        <v>3176.8900000000067</v>
      </c>
      <c r="M233" s="274">
        <v>33836.74</v>
      </c>
      <c r="N233" s="232">
        <f t="shared" si="22"/>
        <v>37013.630000000005</v>
      </c>
      <c r="O233" s="281"/>
      <c r="P233" s="402">
        <v>37013.630000000005</v>
      </c>
      <c r="Q233" s="274">
        <v>35693.909999999996</v>
      </c>
      <c r="R233" s="232">
        <f t="shared" si="23"/>
        <v>72707.540000000008</v>
      </c>
      <c r="S233" s="281"/>
    </row>
    <row r="234" spans="1:19">
      <c r="A234" s="272">
        <v>228</v>
      </c>
      <c r="B234" s="78" t="s">
        <v>489</v>
      </c>
      <c r="C234" s="78" t="s">
        <v>1383</v>
      </c>
      <c r="D234" s="229">
        <v>11819.37</v>
      </c>
      <c r="E234" s="231">
        <v>23951.08</v>
      </c>
      <c r="F234" s="232">
        <f t="shared" si="26"/>
        <v>35770.450000000004</v>
      </c>
      <c r="G234" s="249">
        <v>34427.06</v>
      </c>
      <c r="H234" s="242">
        <v>1343.3900000000067</v>
      </c>
      <c r="I234" s="231">
        <v>30327.27</v>
      </c>
      <c r="J234" s="232">
        <f t="shared" si="27"/>
        <v>31670.660000000007</v>
      </c>
      <c r="K234" s="281">
        <v>14153.65</v>
      </c>
      <c r="L234" s="232">
        <v>17517.010000000009</v>
      </c>
      <c r="M234" s="274">
        <v>26763.329999999998</v>
      </c>
      <c r="N234" s="232">
        <f t="shared" si="22"/>
        <v>44280.340000000011</v>
      </c>
      <c r="O234" s="281">
        <v>795</v>
      </c>
      <c r="P234" s="402">
        <v>43485.340000000011</v>
      </c>
      <c r="Q234" s="274">
        <v>29295.59</v>
      </c>
      <c r="R234" s="232">
        <f t="shared" si="23"/>
        <v>72780.930000000008</v>
      </c>
      <c r="S234" s="281"/>
    </row>
    <row r="235" spans="1:19">
      <c r="A235" s="272">
        <v>229</v>
      </c>
      <c r="B235" s="78" t="s">
        <v>491</v>
      </c>
      <c r="C235" s="78" t="s">
        <v>1064</v>
      </c>
      <c r="D235" s="229">
        <v>0</v>
      </c>
      <c r="E235" s="231">
        <v>38537.83</v>
      </c>
      <c r="F235" s="232">
        <f t="shared" si="26"/>
        <v>38537.83</v>
      </c>
      <c r="G235" s="249">
        <v>47536.13</v>
      </c>
      <c r="H235" s="241">
        <v>0</v>
      </c>
      <c r="I235" s="231">
        <v>50240.2</v>
      </c>
      <c r="J235" s="232">
        <f t="shared" si="27"/>
        <v>50240.2</v>
      </c>
      <c r="K235" s="281">
        <v>43800.22</v>
      </c>
      <c r="L235" s="232">
        <v>6439.9799999999959</v>
      </c>
      <c r="M235" s="274">
        <v>49280.46</v>
      </c>
      <c r="N235" s="232">
        <f t="shared" si="22"/>
        <v>55720.439999999995</v>
      </c>
      <c r="O235" s="281">
        <v>23743.360000000001</v>
      </c>
      <c r="P235" s="402">
        <v>31977.079999999994</v>
      </c>
      <c r="Q235" s="274">
        <v>50024.97</v>
      </c>
      <c r="R235" s="232">
        <f t="shared" si="23"/>
        <v>82002.049999999988</v>
      </c>
      <c r="S235" s="281"/>
    </row>
    <row r="236" spans="1:19">
      <c r="A236" s="272">
        <v>230</v>
      </c>
      <c r="B236" s="78" t="s">
        <v>493</v>
      </c>
      <c r="C236" s="78" t="s">
        <v>1384</v>
      </c>
      <c r="D236" s="229">
        <v>4775.4500000000007</v>
      </c>
      <c r="E236" s="231">
        <v>39254.82</v>
      </c>
      <c r="F236" s="232">
        <f t="shared" si="26"/>
        <v>44030.270000000004</v>
      </c>
      <c r="G236" s="249">
        <v>47572.5</v>
      </c>
      <c r="H236" s="241">
        <v>0</v>
      </c>
      <c r="I236" s="231">
        <v>60142.759999999995</v>
      </c>
      <c r="J236" s="232">
        <f t="shared" si="27"/>
        <v>60142.759999999995</v>
      </c>
      <c r="K236" s="281">
        <v>48388.97</v>
      </c>
      <c r="L236" s="232">
        <v>11753.789999999994</v>
      </c>
      <c r="M236" s="274">
        <v>62017.55</v>
      </c>
      <c r="N236" s="232">
        <f t="shared" si="22"/>
        <v>73771.34</v>
      </c>
      <c r="O236" s="281">
        <v>73771.34</v>
      </c>
      <c r="P236" s="402">
        <v>0</v>
      </c>
      <c r="Q236" s="274">
        <v>70788.12000000001</v>
      </c>
      <c r="R236" s="232">
        <f t="shared" si="23"/>
        <v>70788.12000000001</v>
      </c>
      <c r="S236" s="281"/>
    </row>
    <row r="237" spans="1:19">
      <c r="A237" s="272">
        <v>231</v>
      </c>
      <c r="B237" s="78" t="s">
        <v>495</v>
      </c>
      <c r="C237" s="78" t="s">
        <v>1066</v>
      </c>
      <c r="D237" s="229">
        <v>21655.809999999939</v>
      </c>
      <c r="E237" s="231">
        <v>1194624.03</v>
      </c>
      <c r="F237" s="232">
        <f t="shared" si="26"/>
        <v>1216279.8399999999</v>
      </c>
      <c r="G237" s="249">
        <v>1177144.08</v>
      </c>
      <c r="H237" s="241">
        <v>39135.759999999776</v>
      </c>
      <c r="I237" s="231">
        <v>1707149.4400000002</v>
      </c>
      <c r="J237" s="232">
        <f t="shared" si="27"/>
        <v>1746285.2</v>
      </c>
      <c r="K237" s="281">
        <v>1804046.2899999998</v>
      </c>
      <c r="L237" s="232">
        <v>0</v>
      </c>
      <c r="M237" s="274">
        <v>1663089.19</v>
      </c>
      <c r="N237" s="232">
        <f t="shared" si="22"/>
        <v>1663089.19</v>
      </c>
      <c r="O237" s="281">
        <v>1941635.92</v>
      </c>
      <c r="P237" s="402">
        <v>0</v>
      </c>
      <c r="Q237" s="274">
        <v>1803769.42</v>
      </c>
      <c r="R237" s="232">
        <f t="shared" si="23"/>
        <v>1803769.42</v>
      </c>
      <c r="S237" s="281"/>
    </row>
    <row r="238" spans="1:19">
      <c r="A238" s="272">
        <v>232</v>
      </c>
      <c r="B238" s="78" t="s">
        <v>497</v>
      </c>
      <c r="C238" s="78" t="s">
        <v>1067</v>
      </c>
      <c r="D238" s="229">
        <v>3385.1900000000014</v>
      </c>
      <c r="E238" s="231">
        <v>24168.840000000004</v>
      </c>
      <c r="F238" s="232">
        <f t="shared" si="26"/>
        <v>27554.030000000006</v>
      </c>
      <c r="G238" s="249">
        <v>13665.9</v>
      </c>
      <c r="H238" s="241">
        <v>13888.130000000006</v>
      </c>
      <c r="I238" s="231">
        <v>36300.76</v>
      </c>
      <c r="J238" s="232">
        <f t="shared" si="27"/>
        <v>50188.890000000007</v>
      </c>
      <c r="K238" s="281">
        <v>3740.8</v>
      </c>
      <c r="L238" s="232">
        <v>46448.090000000004</v>
      </c>
      <c r="M238" s="274">
        <v>35892.94</v>
      </c>
      <c r="N238" s="232">
        <f t="shared" si="22"/>
        <v>82341.03</v>
      </c>
      <c r="O238" s="281">
        <v>5982.88</v>
      </c>
      <c r="P238" s="402">
        <v>76358.149999999994</v>
      </c>
      <c r="Q238" s="274">
        <v>41511.72</v>
      </c>
      <c r="R238" s="232">
        <f t="shared" si="23"/>
        <v>117869.87</v>
      </c>
      <c r="S238" s="281"/>
    </row>
    <row r="239" spans="1:19">
      <c r="A239" s="272">
        <v>233</v>
      </c>
      <c r="B239" s="78" t="s">
        <v>499</v>
      </c>
      <c r="C239" s="78" t="s">
        <v>1068</v>
      </c>
      <c r="D239" s="229">
        <v>72688.38</v>
      </c>
      <c r="E239" s="231">
        <v>823422.11</v>
      </c>
      <c r="F239" s="232">
        <f t="shared" si="26"/>
        <v>896110.49</v>
      </c>
      <c r="G239" s="249">
        <v>643085.67000000004</v>
      </c>
      <c r="H239" s="241">
        <v>253024.81999999995</v>
      </c>
      <c r="I239" s="231">
        <v>1161529.51</v>
      </c>
      <c r="J239" s="232">
        <f t="shared" si="27"/>
        <v>1414554.33</v>
      </c>
      <c r="K239" s="281">
        <v>1145743.9300000002</v>
      </c>
      <c r="L239" s="232">
        <v>268810.39999999991</v>
      </c>
      <c r="M239" s="274">
        <v>1160441.54</v>
      </c>
      <c r="N239" s="232">
        <f t="shared" si="22"/>
        <v>1429251.94</v>
      </c>
      <c r="O239" s="281">
        <v>1411096.7</v>
      </c>
      <c r="P239" s="402">
        <v>18155.239999999991</v>
      </c>
      <c r="Q239" s="274">
        <v>1299037.71</v>
      </c>
      <c r="R239" s="232">
        <f t="shared" si="23"/>
        <v>1317192.95</v>
      </c>
      <c r="S239" s="281"/>
    </row>
    <row r="240" spans="1:19">
      <c r="A240" s="272">
        <v>234</v>
      </c>
      <c r="B240" s="78" t="s">
        <v>501</v>
      </c>
      <c r="C240" s="78" t="s">
        <v>1069</v>
      </c>
      <c r="D240" s="229">
        <v>4099.410000000018</v>
      </c>
      <c r="E240" s="231">
        <v>206428.79999999999</v>
      </c>
      <c r="F240" s="232">
        <f t="shared" si="26"/>
        <v>210528.21000000002</v>
      </c>
      <c r="G240" s="249">
        <v>196572.95</v>
      </c>
      <c r="H240" s="241">
        <v>13955.260000000009</v>
      </c>
      <c r="I240" s="231">
        <v>302772.87</v>
      </c>
      <c r="J240" s="232">
        <f t="shared" si="27"/>
        <v>316728.13</v>
      </c>
      <c r="K240" s="281">
        <v>322298.9499999999</v>
      </c>
      <c r="L240" s="232">
        <v>0</v>
      </c>
      <c r="M240" s="274">
        <v>332242.14</v>
      </c>
      <c r="N240" s="232">
        <f t="shared" si="22"/>
        <v>332242.14</v>
      </c>
      <c r="O240" s="281">
        <v>320570.21999999997</v>
      </c>
      <c r="P240" s="402">
        <v>11671.920000000042</v>
      </c>
      <c r="Q240" s="274">
        <v>385007.83</v>
      </c>
      <c r="R240" s="232">
        <f t="shared" si="23"/>
        <v>396679.75000000006</v>
      </c>
      <c r="S240" s="281"/>
    </row>
    <row r="241" spans="1:19">
      <c r="A241" s="272">
        <v>235</v>
      </c>
      <c r="B241" s="78" t="s">
        <v>503</v>
      </c>
      <c r="C241" s="78" t="s">
        <v>1070</v>
      </c>
      <c r="D241" s="229">
        <v>0</v>
      </c>
      <c r="E241" s="231">
        <v>25733.16</v>
      </c>
      <c r="F241" s="232">
        <f t="shared" si="26"/>
        <v>25733.16</v>
      </c>
      <c r="G241" s="249">
        <v>6700</v>
      </c>
      <c r="H241" s="241">
        <v>19033.16</v>
      </c>
      <c r="I241" s="231">
        <v>37566.839999999997</v>
      </c>
      <c r="J241" s="232">
        <f t="shared" si="27"/>
        <v>56600</v>
      </c>
      <c r="K241" s="281">
        <v>40279.699999999997</v>
      </c>
      <c r="L241" s="232">
        <v>16320.300000000003</v>
      </c>
      <c r="M241" s="274">
        <v>36936.839999999997</v>
      </c>
      <c r="N241" s="232">
        <f t="shared" si="22"/>
        <v>53257.14</v>
      </c>
      <c r="O241" s="281">
        <v>40666.400000000001</v>
      </c>
      <c r="P241" s="402">
        <v>12590.739999999998</v>
      </c>
      <c r="Q241" s="274">
        <v>42631.82</v>
      </c>
      <c r="R241" s="232">
        <f t="shared" si="23"/>
        <v>55222.559999999998</v>
      </c>
      <c r="S241" s="281"/>
    </row>
    <row r="242" spans="1:19">
      <c r="A242" s="272">
        <v>236</v>
      </c>
      <c r="B242" s="78" t="s">
        <v>505</v>
      </c>
      <c r="C242" s="78" t="s">
        <v>1071</v>
      </c>
      <c r="D242" s="229">
        <v>104.08000000000902</v>
      </c>
      <c r="E242" s="231">
        <v>83217.790000000008</v>
      </c>
      <c r="F242" s="232">
        <f t="shared" si="26"/>
        <v>83321.870000000024</v>
      </c>
      <c r="G242" s="249">
        <v>83380.490000000005</v>
      </c>
      <c r="H242" s="241">
        <v>0</v>
      </c>
      <c r="I242" s="231">
        <v>113194.91999999998</v>
      </c>
      <c r="J242" s="232">
        <f t="shared" si="27"/>
        <v>113194.91999999998</v>
      </c>
      <c r="K242" s="281">
        <v>130454.57</v>
      </c>
      <c r="L242" s="232">
        <v>0</v>
      </c>
      <c r="M242" s="274">
        <v>121861.47</v>
      </c>
      <c r="N242" s="232">
        <f t="shared" si="22"/>
        <v>121861.47</v>
      </c>
      <c r="O242" s="281">
        <v>124584.57999999999</v>
      </c>
      <c r="P242" s="402">
        <v>0</v>
      </c>
      <c r="Q242" s="274">
        <v>140431.66999999998</v>
      </c>
      <c r="R242" s="232">
        <f t="shared" si="23"/>
        <v>140431.66999999998</v>
      </c>
      <c r="S242" s="281"/>
    </row>
    <row r="243" spans="1:19">
      <c r="A243" s="272">
        <v>237</v>
      </c>
      <c r="B243" s="78" t="s">
        <v>507</v>
      </c>
      <c r="C243" s="78" t="s">
        <v>1072</v>
      </c>
      <c r="D243" s="229">
        <v>23926.960000000006</v>
      </c>
      <c r="E243" s="231">
        <v>214822.33</v>
      </c>
      <c r="F243" s="232">
        <f t="shared" si="26"/>
        <v>238749.28999999998</v>
      </c>
      <c r="G243" s="249">
        <v>185987.85</v>
      </c>
      <c r="H243" s="241">
        <v>52761.439999999973</v>
      </c>
      <c r="I243" s="231">
        <v>288044.77</v>
      </c>
      <c r="J243" s="232">
        <f t="shared" si="27"/>
        <v>340806.20999999996</v>
      </c>
      <c r="K243" s="281">
        <v>231282.86000000002</v>
      </c>
      <c r="L243" s="232">
        <v>109523.34999999995</v>
      </c>
      <c r="M243" s="274">
        <v>292542</v>
      </c>
      <c r="N243" s="232">
        <f t="shared" si="22"/>
        <v>402065.35</v>
      </c>
      <c r="O243" s="281">
        <v>378581.08</v>
      </c>
      <c r="P243" s="402">
        <v>23484.26999999996</v>
      </c>
      <c r="Q243" s="274">
        <v>322245.41000000003</v>
      </c>
      <c r="R243" s="232">
        <f t="shared" si="23"/>
        <v>345729.68</v>
      </c>
      <c r="S243" s="281"/>
    </row>
    <row r="244" spans="1:19">
      <c r="A244" s="272">
        <v>238</v>
      </c>
      <c r="B244" s="78" t="s">
        <v>509</v>
      </c>
      <c r="C244" s="78" t="s">
        <v>1073</v>
      </c>
      <c r="D244" s="229">
        <v>5328.1700000000055</v>
      </c>
      <c r="E244" s="231">
        <v>138949.5</v>
      </c>
      <c r="F244" s="232">
        <f t="shared" si="26"/>
        <v>144277.67000000001</v>
      </c>
      <c r="G244" s="249">
        <v>134347.84</v>
      </c>
      <c r="H244" s="241">
        <v>9929.8300000000163</v>
      </c>
      <c r="I244" s="231">
        <v>199153.32</v>
      </c>
      <c r="J244" s="232">
        <f t="shared" si="27"/>
        <v>209083.15000000002</v>
      </c>
      <c r="K244" s="281">
        <v>241162.4</v>
      </c>
      <c r="L244" s="232">
        <v>0</v>
      </c>
      <c r="M244" s="274">
        <v>197274.45</v>
      </c>
      <c r="N244" s="232">
        <f t="shared" si="22"/>
        <v>197274.45</v>
      </c>
      <c r="O244" s="281">
        <v>145573.5</v>
      </c>
      <c r="P244" s="402">
        <v>51700.950000000012</v>
      </c>
      <c r="Q244" s="274">
        <v>215097.58000000002</v>
      </c>
      <c r="R244" s="232">
        <f t="shared" si="23"/>
        <v>266798.53000000003</v>
      </c>
      <c r="S244" s="281"/>
    </row>
    <row r="245" spans="1:19">
      <c r="A245" s="272">
        <v>239</v>
      </c>
      <c r="B245" s="78" t="s">
        <v>511</v>
      </c>
      <c r="C245" s="78" t="s">
        <v>1074</v>
      </c>
      <c r="D245" s="229">
        <v>497.34000000000003</v>
      </c>
      <c r="E245" s="231">
        <v>2728.14</v>
      </c>
      <c r="F245" s="232">
        <f t="shared" si="26"/>
        <v>3225.48</v>
      </c>
      <c r="G245" s="249">
        <v>755.24</v>
      </c>
      <c r="H245" s="241">
        <v>2470.2399999999998</v>
      </c>
      <c r="I245" s="231">
        <v>4082.1</v>
      </c>
      <c r="J245" s="232">
        <f t="shared" si="27"/>
        <v>6552.34</v>
      </c>
      <c r="K245" s="281">
        <v>2111.2600000000002</v>
      </c>
      <c r="L245" s="232">
        <v>4441.08</v>
      </c>
      <c r="M245" s="274">
        <v>4210.38</v>
      </c>
      <c r="N245" s="232">
        <f t="shared" si="22"/>
        <v>8651.4599999999991</v>
      </c>
      <c r="O245" s="281">
        <v>3708.66</v>
      </c>
      <c r="P245" s="402">
        <v>4942.7999999999993</v>
      </c>
      <c r="Q245" s="274">
        <v>4456.18</v>
      </c>
      <c r="R245" s="232">
        <f t="shared" si="23"/>
        <v>9398.98</v>
      </c>
      <c r="S245" s="281"/>
    </row>
    <row r="246" spans="1:19">
      <c r="A246" s="272">
        <v>240</v>
      </c>
      <c r="B246" s="78" t="s">
        <v>513</v>
      </c>
      <c r="C246" s="78" t="s">
        <v>1075</v>
      </c>
      <c r="D246" s="229">
        <v>1493.67</v>
      </c>
      <c r="E246" s="231">
        <v>18691.21</v>
      </c>
      <c r="F246" s="232">
        <f t="shared" si="26"/>
        <v>20184.879999999997</v>
      </c>
      <c r="G246" s="249">
        <v>20261.78</v>
      </c>
      <c r="H246" s="241">
        <v>0</v>
      </c>
      <c r="I246" s="231">
        <v>27156.05</v>
      </c>
      <c r="J246" s="232">
        <f t="shared" si="27"/>
        <v>27156.05</v>
      </c>
      <c r="K246" s="281">
        <v>22758.06</v>
      </c>
      <c r="L246" s="232">
        <v>4397.989999999998</v>
      </c>
      <c r="M246" s="274">
        <v>25809.1</v>
      </c>
      <c r="N246" s="232">
        <f t="shared" si="22"/>
        <v>30207.089999999997</v>
      </c>
      <c r="O246" s="281">
        <v>25939.53</v>
      </c>
      <c r="P246" s="402">
        <v>4267.5599999999977</v>
      </c>
      <c r="Q246" s="274">
        <v>27100.699999999997</v>
      </c>
      <c r="R246" s="232">
        <f t="shared" si="23"/>
        <v>31368.259999999995</v>
      </c>
      <c r="S246" s="281"/>
    </row>
    <row r="247" spans="1:19">
      <c r="A247" s="272">
        <v>241</v>
      </c>
      <c r="B247" s="78" t="s">
        <v>515</v>
      </c>
      <c r="C247" s="78" t="s">
        <v>1076</v>
      </c>
      <c r="D247" s="229">
        <v>7750.9299999999857</v>
      </c>
      <c r="E247" s="231">
        <v>122833.44000000002</v>
      </c>
      <c r="F247" s="232">
        <f t="shared" si="26"/>
        <v>130584.37</v>
      </c>
      <c r="G247" s="249">
        <v>135755.6</v>
      </c>
      <c r="H247" s="241">
        <v>0</v>
      </c>
      <c r="I247" s="231">
        <v>182292.43</v>
      </c>
      <c r="J247" s="232">
        <f t="shared" si="27"/>
        <v>182292.43</v>
      </c>
      <c r="K247" s="281">
        <v>202137.95999999996</v>
      </c>
      <c r="L247" s="232">
        <v>0</v>
      </c>
      <c r="M247" s="274">
        <v>186093.03000000003</v>
      </c>
      <c r="N247" s="232">
        <f t="shared" si="22"/>
        <v>186093.03000000003</v>
      </c>
      <c r="O247" s="281">
        <v>202307.72000000003</v>
      </c>
      <c r="P247" s="402">
        <v>0</v>
      </c>
      <c r="Q247" s="274">
        <v>199938.52000000002</v>
      </c>
      <c r="R247" s="232">
        <f t="shared" si="23"/>
        <v>199938.52000000002</v>
      </c>
      <c r="S247" s="281"/>
    </row>
    <row r="248" spans="1:19">
      <c r="A248" s="272">
        <v>242</v>
      </c>
      <c r="B248" s="78" t="s">
        <v>517</v>
      </c>
      <c r="C248" s="78" t="s">
        <v>1385</v>
      </c>
      <c r="D248" s="229">
        <v>2606.3599999999969</v>
      </c>
      <c r="E248" s="231">
        <v>54049.679999999993</v>
      </c>
      <c r="F248" s="232">
        <f t="shared" si="26"/>
        <v>56656.039999999994</v>
      </c>
      <c r="G248" s="249">
        <v>102950.93</v>
      </c>
      <c r="H248" s="241">
        <v>0</v>
      </c>
      <c r="I248" s="231">
        <v>71628.490000000005</v>
      </c>
      <c r="J248" s="232">
        <f t="shared" si="27"/>
        <v>71628.490000000005</v>
      </c>
      <c r="K248" s="281">
        <v>13547.11</v>
      </c>
      <c r="L248" s="232">
        <v>58081.380000000005</v>
      </c>
      <c r="M248" s="274">
        <v>75736.63</v>
      </c>
      <c r="N248" s="232">
        <f t="shared" si="22"/>
        <v>133818.01</v>
      </c>
      <c r="O248" s="281">
        <v>47463.11</v>
      </c>
      <c r="P248" s="402">
        <v>86354.900000000009</v>
      </c>
      <c r="Q248" s="274">
        <v>82690.38</v>
      </c>
      <c r="R248" s="232">
        <f t="shared" si="23"/>
        <v>169045.28000000003</v>
      </c>
      <c r="S248" s="281"/>
    </row>
    <row r="249" spans="1:19">
      <c r="A249" s="272">
        <v>243</v>
      </c>
      <c r="B249" s="78" t="s">
        <v>519</v>
      </c>
      <c r="C249" s="78" t="s">
        <v>1078</v>
      </c>
      <c r="D249" s="229">
        <v>177.67999999999984</v>
      </c>
      <c r="E249" s="231">
        <v>4348.53</v>
      </c>
      <c r="F249" s="232">
        <f t="shared" si="26"/>
        <v>4526.2099999999991</v>
      </c>
      <c r="G249" s="249">
        <v>637.66</v>
      </c>
      <c r="H249" s="241">
        <v>3888.5499999999993</v>
      </c>
      <c r="I249" s="231">
        <v>6202.24</v>
      </c>
      <c r="J249" s="232">
        <f t="shared" si="27"/>
        <v>10090.789999999999</v>
      </c>
      <c r="K249" s="281">
        <v>3701.81</v>
      </c>
      <c r="L249" s="232">
        <v>6388.98</v>
      </c>
      <c r="M249" s="274">
        <v>6293.8799999999992</v>
      </c>
      <c r="N249" s="232">
        <f t="shared" si="22"/>
        <v>12682.859999999999</v>
      </c>
      <c r="O249" s="281">
        <v>2572.4299999999998</v>
      </c>
      <c r="P249" s="402">
        <v>10110.429999999998</v>
      </c>
      <c r="Q249" s="274">
        <v>6810.9</v>
      </c>
      <c r="R249" s="232">
        <f t="shared" si="23"/>
        <v>16921.329999999998</v>
      </c>
      <c r="S249" s="281"/>
    </row>
    <row r="250" spans="1:19">
      <c r="A250" s="272">
        <v>244</v>
      </c>
      <c r="B250" s="78" t="s">
        <v>521</v>
      </c>
      <c r="C250" s="78" t="s">
        <v>1386</v>
      </c>
      <c r="D250" s="229">
        <v>85696.029999999795</v>
      </c>
      <c r="E250" s="231">
        <v>4006125.8599999994</v>
      </c>
      <c r="F250" s="232">
        <f t="shared" si="26"/>
        <v>4091821.8899999992</v>
      </c>
      <c r="G250" s="249">
        <v>3949713.35</v>
      </c>
      <c r="H250" s="241">
        <v>142108.53999999911</v>
      </c>
      <c r="I250" s="231">
        <v>5715357.5499999989</v>
      </c>
      <c r="J250" s="232">
        <f t="shared" si="27"/>
        <v>5857466.089999998</v>
      </c>
      <c r="K250" s="281">
        <v>5978305.4299999997</v>
      </c>
      <c r="L250" s="232">
        <v>0</v>
      </c>
      <c r="M250" s="274">
        <v>5619358.6300000008</v>
      </c>
      <c r="N250" s="232">
        <f t="shared" si="22"/>
        <v>5619358.6300000008</v>
      </c>
      <c r="O250" s="281">
        <v>5920582.790000001</v>
      </c>
      <c r="P250" s="402">
        <v>0</v>
      </c>
      <c r="Q250" s="274">
        <v>6022197.8699999992</v>
      </c>
      <c r="R250" s="232">
        <f t="shared" si="23"/>
        <v>6022197.8699999992</v>
      </c>
      <c r="S250" s="281"/>
    </row>
    <row r="251" spans="1:19">
      <c r="A251" s="272">
        <v>245</v>
      </c>
      <c r="B251" s="78" t="s">
        <v>523</v>
      </c>
      <c r="C251" s="78" t="s">
        <v>1387</v>
      </c>
      <c r="D251" s="229">
        <v>0</v>
      </c>
      <c r="E251" s="231">
        <v>326824.48</v>
      </c>
      <c r="F251" s="232">
        <f t="shared" si="26"/>
        <v>326824.48</v>
      </c>
      <c r="G251" s="249">
        <v>372555.02</v>
      </c>
      <c r="H251" s="241">
        <v>0</v>
      </c>
      <c r="I251" s="231">
        <v>441489.9</v>
      </c>
      <c r="J251" s="232">
        <f t="shared" si="27"/>
        <v>441489.9</v>
      </c>
      <c r="K251" s="281">
        <v>503681.72999999992</v>
      </c>
      <c r="L251" s="232">
        <v>0</v>
      </c>
      <c r="M251" s="274">
        <v>436777.56</v>
      </c>
      <c r="N251" s="232">
        <f t="shared" si="22"/>
        <v>436777.56</v>
      </c>
      <c r="O251" s="281">
        <v>512997.68999999994</v>
      </c>
      <c r="P251" s="402">
        <v>0</v>
      </c>
      <c r="Q251" s="274">
        <v>510111.6</v>
      </c>
      <c r="R251" s="232">
        <f t="shared" si="23"/>
        <v>510111.6</v>
      </c>
      <c r="S251" s="281"/>
    </row>
    <row r="252" spans="1:19">
      <c r="A252" s="272">
        <v>246</v>
      </c>
      <c r="B252" s="78" t="s">
        <v>525</v>
      </c>
      <c r="C252" s="78" t="s">
        <v>1081</v>
      </c>
      <c r="D252" s="229">
        <v>0</v>
      </c>
      <c r="E252" s="231">
        <v>234367.50000000003</v>
      </c>
      <c r="F252" s="232">
        <f t="shared" si="26"/>
        <v>234367.50000000003</v>
      </c>
      <c r="G252" s="249">
        <v>202752.59</v>
      </c>
      <c r="H252" s="241">
        <v>31614.910000000033</v>
      </c>
      <c r="I252" s="231">
        <v>316445.63</v>
      </c>
      <c r="J252" s="232">
        <f t="shared" si="27"/>
        <v>348060.54000000004</v>
      </c>
      <c r="K252" s="281">
        <v>348060.54000000004</v>
      </c>
      <c r="L252" s="232">
        <v>0</v>
      </c>
      <c r="M252" s="274">
        <v>342731.2</v>
      </c>
      <c r="N252" s="232">
        <f t="shared" si="22"/>
        <v>342731.2</v>
      </c>
      <c r="O252" s="281">
        <v>342731.21</v>
      </c>
      <c r="P252" s="402">
        <v>0</v>
      </c>
      <c r="Q252" s="274">
        <v>384242.38</v>
      </c>
      <c r="R252" s="232">
        <f t="shared" si="23"/>
        <v>384242.38</v>
      </c>
      <c r="S252" s="281"/>
    </row>
    <row r="253" spans="1:19">
      <c r="A253" s="272">
        <v>247</v>
      </c>
      <c r="B253" s="78" t="s">
        <v>527</v>
      </c>
      <c r="C253" s="78" t="s">
        <v>1082</v>
      </c>
      <c r="D253" s="229">
        <v>0</v>
      </c>
      <c r="E253" s="231">
        <v>22162.429999999997</v>
      </c>
      <c r="F253" s="232">
        <f t="shared" si="26"/>
        <v>22162.429999999997</v>
      </c>
      <c r="G253" s="249">
        <v>20641.32</v>
      </c>
      <c r="H253" s="241">
        <v>1521.1099999999969</v>
      </c>
      <c r="I253" s="231">
        <v>30447.85</v>
      </c>
      <c r="J253" s="232">
        <f t="shared" si="27"/>
        <v>31968.959999999995</v>
      </c>
      <c r="K253" s="281">
        <v>11355.039999999999</v>
      </c>
      <c r="L253" s="232">
        <v>20613.919999999998</v>
      </c>
      <c r="M253" s="274">
        <v>31580.34</v>
      </c>
      <c r="N253" s="232">
        <f t="shared" si="22"/>
        <v>52194.259999999995</v>
      </c>
      <c r="O253" s="281">
        <v>8646.5299999999988</v>
      </c>
      <c r="P253" s="402">
        <v>43547.729999999996</v>
      </c>
      <c r="Q253" s="274">
        <v>35744.409999999996</v>
      </c>
      <c r="R253" s="232">
        <f t="shared" si="23"/>
        <v>79292.139999999985</v>
      </c>
      <c r="S253" s="281"/>
    </row>
    <row r="254" spans="1:19">
      <c r="A254" s="272">
        <v>248</v>
      </c>
      <c r="B254" s="78" t="s">
        <v>529</v>
      </c>
      <c r="C254" s="78" t="s">
        <v>1083</v>
      </c>
      <c r="D254" s="229">
        <v>86400.67</v>
      </c>
      <c r="E254" s="231">
        <v>171485.53000000003</v>
      </c>
      <c r="F254" s="232">
        <f t="shared" si="26"/>
        <v>257886.2</v>
      </c>
      <c r="G254" s="249">
        <v>207289.22</v>
      </c>
      <c r="H254" s="241">
        <v>50596.98000000001</v>
      </c>
      <c r="I254" s="231">
        <v>231308.81</v>
      </c>
      <c r="J254" s="232">
        <f t="shared" si="27"/>
        <v>281905.79000000004</v>
      </c>
      <c r="K254" s="281">
        <v>277159.50999999995</v>
      </c>
      <c r="L254" s="232">
        <v>4746.2800000000861</v>
      </c>
      <c r="M254" s="274">
        <v>226138.65999999997</v>
      </c>
      <c r="N254" s="232">
        <f t="shared" si="22"/>
        <v>230884.94000000006</v>
      </c>
      <c r="O254" s="281">
        <v>262784.74</v>
      </c>
      <c r="P254" s="402">
        <v>0</v>
      </c>
      <c r="Q254" s="274">
        <v>245266.73</v>
      </c>
      <c r="R254" s="232">
        <f t="shared" si="23"/>
        <v>245266.73</v>
      </c>
      <c r="S254" s="281"/>
    </row>
    <row r="255" spans="1:19">
      <c r="A255" s="272">
        <v>249</v>
      </c>
      <c r="B255" s="78" t="s">
        <v>531</v>
      </c>
      <c r="C255" s="78" t="s">
        <v>1388</v>
      </c>
      <c r="D255" s="229">
        <v>1004.73</v>
      </c>
      <c r="E255" s="231">
        <v>1795.3899999999999</v>
      </c>
      <c r="F255" s="232">
        <f t="shared" si="26"/>
        <v>2800.12</v>
      </c>
      <c r="G255" s="249"/>
      <c r="H255" s="241">
        <v>2800.12</v>
      </c>
      <c r="I255" s="231">
        <v>3135.13</v>
      </c>
      <c r="J255" s="232">
        <f t="shared" si="27"/>
        <v>5935.25</v>
      </c>
      <c r="K255" s="281">
        <v>53.07</v>
      </c>
      <c r="L255" s="232">
        <v>5882.18</v>
      </c>
      <c r="M255" s="274">
        <v>3328.58</v>
      </c>
      <c r="N255" s="232">
        <f t="shared" si="22"/>
        <v>9210.76</v>
      </c>
      <c r="O255" s="281">
        <v>483.36</v>
      </c>
      <c r="P255" s="402">
        <v>8727.4</v>
      </c>
      <c r="Q255" s="274">
        <v>3408.11</v>
      </c>
      <c r="R255" s="232">
        <f t="shared" si="23"/>
        <v>12135.51</v>
      </c>
      <c r="S255" s="281"/>
    </row>
    <row r="256" spans="1:19">
      <c r="A256" s="272">
        <v>250</v>
      </c>
      <c r="B256" s="78" t="s">
        <v>533</v>
      </c>
      <c r="C256" s="78" t="s">
        <v>1085</v>
      </c>
      <c r="D256" s="229">
        <v>20416.619999999995</v>
      </c>
      <c r="E256" s="231">
        <v>293199.54000000004</v>
      </c>
      <c r="F256" s="232">
        <f t="shared" si="26"/>
        <v>313616.16000000003</v>
      </c>
      <c r="G256" s="249">
        <v>256509.12</v>
      </c>
      <c r="H256" s="241">
        <v>57107.040000000037</v>
      </c>
      <c r="I256" s="231">
        <v>423141.12</v>
      </c>
      <c r="J256" s="232">
        <f t="shared" si="27"/>
        <v>480248.16000000003</v>
      </c>
      <c r="K256" s="281">
        <v>317707.33999999997</v>
      </c>
      <c r="L256" s="232">
        <v>162540.82000000007</v>
      </c>
      <c r="M256" s="274">
        <v>422905.93999999994</v>
      </c>
      <c r="N256" s="232">
        <f t="shared" si="22"/>
        <v>585446.76</v>
      </c>
      <c r="O256" s="281">
        <v>195827.55</v>
      </c>
      <c r="P256" s="402">
        <v>389619.21</v>
      </c>
      <c r="Q256" s="274">
        <v>469512.87999999995</v>
      </c>
      <c r="R256" s="232">
        <f t="shared" si="23"/>
        <v>859132.09</v>
      </c>
      <c r="S256" s="281"/>
    </row>
    <row r="257" spans="1:19">
      <c r="A257" s="272">
        <v>251</v>
      </c>
      <c r="B257" s="78" t="s">
        <v>535</v>
      </c>
      <c r="C257" s="78" t="s">
        <v>1086</v>
      </c>
      <c r="D257" s="229">
        <v>75325.960000000079</v>
      </c>
      <c r="E257" s="231">
        <v>711022.36</v>
      </c>
      <c r="F257" s="232">
        <f t="shared" ref="F257:F288" si="28">+D257+E257</f>
        <v>786348.32000000007</v>
      </c>
      <c r="G257" s="249">
        <v>482758.55</v>
      </c>
      <c r="H257" s="241">
        <v>303589.77000000008</v>
      </c>
      <c r="I257" s="231">
        <v>985179.79</v>
      </c>
      <c r="J257" s="232">
        <f t="shared" ref="J257:J288" si="29">+H257+I257</f>
        <v>1288769.56</v>
      </c>
      <c r="K257" s="281">
        <v>968723.29999999981</v>
      </c>
      <c r="L257" s="232">
        <v>320046.26000000024</v>
      </c>
      <c r="M257" s="274">
        <v>957176.64</v>
      </c>
      <c r="N257" s="232">
        <f t="shared" si="22"/>
        <v>1277222.9000000004</v>
      </c>
      <c r="O257" s="281">
        <v>839126.78</v>
      </c>
      <c r="P257" s="402">
        <v>438096.12000000034</v>
      </c>
      <c r="Q257" s="274">
        <v>1023839.79</v>
      </c>
      <c r="R257" s="232">
        <f t="shared" si="23"/>
        <v>1461935.9100000004</v>
      </c>
      <c r="S257" s="281"/>
    </row>
    <row r="258" spans="1:19">
      <c r="A258" s="272">
        <v>252</v>
      </c>
      <c r="B258" s="234" t="s">
        <v>537</v>
      </c>
      <c r="C258" s="78" t="s">
        <v>1087</v>
      </c>
      <c r="D258" s="229">
        <v>39.069999999999709</v>
      </c>
      <c r="E258" s="231">
        <v>4769.91</v>
      </c>
      <c r="F258" s="232">
        <f t="shared" si="28"/>
        <v>4808.9799999999996</v>
      </c>
      <c r="G258" s="249">
        <v>5909.02</v>
      </c>
      <c r="H258" s="241">
        <v>0</v>
      </c>
      <c r="I258" s="231">
        <v>6342.04</v>
      </c>
      <c r="J258" s="232">
        <f t="shared" si="29"/>
        <v>6342.04</v>
      </c>
      <c r="K258" s="281">
        <v>8237.2099999999991</v>
      </c>
      <c r="L258" s="232">
        <v>0</v>
      </c>
      <c r="M258" s="274">
        <v>6674.61</v>
      </c>
      <c r="N258" s="232">
        <f t="shared" si="22"/>
        <v>6674.61</v>
      </c>
      <c r="O258" s="281">
        <v>7482.6100000000006</v>
      </c>
      <c r="P258" s="402">
        <v>0</v>
      </c>
      <c r="Q258" s="274">
        <v>8612.81</v>
      </c>
      <c r="R258" s="232">
        <f t="shared" si="23"/>
        <v>8612.81</v>
      </c>
      <c r="S258" s="281"/>
    </row>
    <row r="259" spans="1:19">
      <c r="A259" s="272">
        <v>253</v>
      </c>
      <c r="B259" s="78" t="s">
        <v>539</v>
      </c>
      <c r="C259" s="78" t="s">
        <v>1088</v>
      </c>
      <c r="D259" s="229">
        <v>0</v>
      </c>
      <c r="E259" s="231">
        <v>14760.720000000001</v>
      </c>
      <c r="F259" s="232">
        <f t="shared" si="28"/>
        <v>14760.720000000001</v>
      </c>
      <c r="G259" s="249">
        <v>14199.78</v>
      </c>
      <c r="H259" s="241">
        <v>560.94000000000051</v>
      </c>
      <c r="I259" s="231">
        <v>22207.269999999997</v>
      </c>
      <c r="J259" s="232">
        <f t="shared" si="29"/>
        <v>22768.21</v>
      </c>
      <c r="K259" s="281"/>
      <c r="L259" s="232">
        <v>22768.21</v>
      </c>
      <c r="M259" s="274">
        <v>21567.53</v>
      </c>
      <c r="N259" s="232">
        <f t="shared" si="22"/>
        <v>44335.74</v>
      </c>
      <c r="O259" s="281">
        <v>16118.58</v>
      </c>
      <c r="P259" s="402">
        <v>28217.159999999996</v>
      </c>
      <c r="Q259" s="274">
        <v>23220.83</v>
      </c>
      <c r="R259" s="232">
        <f t="shared" si="23"/>
        <v>51437.99</v>
      </c>
      <c r="S259" s="281"/>
    </row>
    <row r="260" spans="1:19">
      <c r="A260" s="272">
        <v>254</v>
      </c>
      <c r="B260" s="78" t="s">
        <v>541</v>
      </c>
      <c r="C260" s="78" t="s">
        <v>1089</v>
      </c>
      <c r="D260" s="229">
        <v>0</v>
      </c>
      <c r="E260" s="231">
        <v>698058.64</v>
      </c>
      <c r="F260" s="232">
        <f t="shared" si="28"/>
        <v>698058.64</v>
      </c>
      <c r="G260" s="249">
        <v>673071.44</v>
      </c>
      <c r="H260" s="241">
        <v>24987.20000000007</v>
      </c>
      <c r="I260" s="231">
        <v>928516.82000000007</v>
      </c>
      <c r="J260" s="232">
        <f t="shared" si="29"/>
        <v>953504.02000000014</v>
      </c>
      <c r="K260" s="281">
        <v>1015219.68</v>
      </c>
      <c r="L260" s="232">
        <v>0</v>
      </c>
      <c r="M260" s="274">
        <v>956466.37999999989</v>
      </c>
      <c r="N260" s="232">
        <f t="shared" si="22"/>
        <v>956466.37999999989</v>
      </c>
      <c r="O260" s="281">
        <v>1024671.46</v>
      </c>
      <c r="P260" s="402">
        <v>0</v>
      </c>
      <c r="Q260" s="274">
        <v>1023746.98</v>
      </c>
      <c r="R260" s="232">
        <f t="shared" si="23"/>
        <v>1023746.98</v>
      </c>
      <c r="S260" s="281"/>
    </row>
    <row r="261" spans="1:19">
      <c r="A261" s="272">
        <v>255</v>
      </c>
      <c r="B261" s="78" t="s">
        <v>543</v>
      </c>
      <c r="C261" s="78" t="s">
        <v>1090</v>
      </c>
      <c r="D261" s="229">
        <v>5617.1099999999278</v>
      </c>
      <c r="E261" s="231">
        <v>482396.76999999996</v>
      </c>
      <c r="F261" s="232">
        <f t="shared" si="28"/>
        <v>488013.87999999989</v>
      </c>
      <c r="G261" s="249">
        <v>574907.93000000005</v>
      </c>
      <c r="H261" s="241">
        <v>0</v>
      </c>
      <c r="I261" s="231">
        <v>661678.12999999989</v>
      </c>
      <c r="J261" s="232">
        <f t="shared" si="29"/>
        <v>661678.12999999989</v>
      </c>
      <c r="K261" s="281">
        <v>961690.07999999984</v>
      </c>
      <c r="L261" s="232">
        <v>0</v>
      </c>
      <c r="M261" s="274">
        <v>685908.19000000006</v>
      </c>
      <c r="N261" s="232">
        <f t="shared" si="22"/>
        <v>685908.19000000006</v>
      </c>
      <c r="O261" s="281">
        <v>1160180.8</v>
      </c>
      <c r="P261" s="402">
        <v>0</v>
      </c>
      <c r="Q261" s="274">
        <v>744400.6100000001</v>
      </c>
      <c r="R261" s="232">
        <f t="shared" si="23"/>
        <v>744400.6100000001</v>
      </c>
      <c r="S261" s="281"/>
    </row>
    <row r="262" spans="1:19">
      <c r="A262" s="272">
        <v>256</v>
      </c>
      <c r="B262" s="78" t="s">
        <v>545</v>
      </c>
      <c r="C262" s="78" t="s">
        <v>1091</v>
      </c>
      <c r="D262" s="229">
        <v>0</v>
      </c>
      <c r="E262" s="231">
        <v>38339.94</v>
      </c>
      <c r="F262" s="232">
        <f t="shared" si="28"/>
        <v>38339.94</v>
      </c>
      <c r="G262" s="249">
        <v>30276.66</v>
      </c>
      <c r="H262" s="241">
        <v>8063.2800000000025</v>
      </c>
      <c r="I262" s="231">
        <v>55770.030000000006</v>
      </c>
      <c r="J262" s="232">
        <f t="shared" si="29"/>
        <v>63833.310000000012</v>
      </c>
      <c r="K262" s="281">
        <v>37086.780000000013</v>
      </c>
      <c r="L262" s="232">
        <v>26746.53</v>
      </c>
      <c r="M262" s="274">
        <v>57281.38</v>
      </c>
      <c r="N262" s="232">
        <f t="shared" si="22"/>
        <v>84027.91</v>
      </c>
      <c r="O262" s="281">
        <v>58363.54</v>
      </c>
      <c r="P262" s="402">
        <v>25664.370000000003</v>
      </c>
      <c r="Q262" s="274">
        <v>61090.39</v>
      </c>
      <c r="R262" s="232">
        <f t="shared" si="23"/>
        <v>86754.760000000009</v>
      </c>
      <c r="S262" s="281"/>
    </row>
    <row r="263" spans="1:19">
      <c r="A263" s="272">
        <v>257</v>
      </c>
      <c r="B263" s="78" t="s">
        <v>547</v>
      </c>
      <c r="C263" s="78" t="s">
        <v>1092</v>
      </c>
      <c r="D263" s="229">
        <v>593.52000000000044</v>
      </c>
      <c r="E263" s="231">
        <v>38506.43</v>
      </c>
      <c r="F263" s="232">
        <f t="shared" si="28"/>
        <v>39099.949999999997</v>
      </c>
      <c r="G263" s="249">
        <v>28556.23</v>
      </c>
      <c r="H263" s="241">
        <v>10543.719999999998</v>
      </c>
      <c r="I263" s="231">
        <v>57029.45</v>
      </c>
      <c r="J263" s="232">
        <f t="shared" si="29"/>
        <v>67573.17</v>
      </c>
      <c r="K263" s="281">
        <v>45042.710000000006</v>
      </c>
      <c r="L263" s="232">
        <v>22530.459999999992</v>
      </c>
      <c r="M263" s="274">
        <v>58518.17</v>
      </c>
      <c r="N263" s="232">
        <f t="shared" ref="N263:N326" si="30">+L263+M263</f>
        <v>81048.62999999999</v>
      </c>
      <c r="O263" s="281">
        <v>71508.3</v>
      </c>
      <c r="P263" s="402">
        <v>9540.3299999999872</v>
      </c>
      <c r="Q263" s="274">
        <v>62536.529999999992</v>
      </c>
      <c r="R263" s="232">
        <f t="shared" ref="R263:R326" si="31">+P263+Q263</f>
        <v>72076.859999999986</v>
      </c>
      <c r="S263" s="281"/>
    </row>
    <row r="264" spans="1:19">
      <c r="A264" s="272">
        <v>258</v>
      </c>
      <c r="B264" s="78" t="s">
        <v>549</v>
      </c>
      <c r="C264" s="78" t="s">
        <v>1093</v>
      </c>
      <c r="D264" s="229">
        <v>92036.890000000043</v>
      </c>
      <c r="E264" s="231">
        <v>681166.57</v>
      </c>
      <c r="F264" s="232">
        <f t="shared" si="28"/>
        <v>773203.46</v>
      </c>
      <c r="G264" s="249">
        <v>485198.22</v>
      </c>
      <c r="H264" s="241">
        <v>288005.24</v>
      </c>
      <c r="I264" s="231">
        <v>913578.49</v>
      </c>
      <c r="J264" s="232">
        <f t="shared" si="29"/>
        <v>1201583.73</v>
      </c>
      <c r="K264" s="281">
        <v>650689.18999999994</v>
      </c>
      <c r="L264" s="232">
        <v>550894.54</v>
      </c>
      <c r="M264" s="274">
        <v>921973.61</v>
      </c>
      <c r="N264" s="232">
        <f t="shared" si="30"/>
        <v>1472868.15</v>
      </c>
      <c r="O264" s="281"/>
      <c r="P264" s="402">
        <v>1472868.15</v>
      </c>
      <c r="Q264" s="274">
        <v>1014075.41</v>
      </c>
      <c r="R264" s="232">
        <f t="shared" si="31"/>
        <v>2486943.56</v>
      </c>
      <c r="S264" s="281"/>
    </row>
    <row r="265" spans="1:19">
      <c r="A265" s="272">
        <v>259</v>
      </c>
      <c r="B265" s="78" t="s">
        <v>551</v>
      </c>
      <c r="C265" s="78" t="s">
        <v>1094</v>
      </c>
      <c r="D265" s="229">
        <v>0</v>
      </c>
      <c r="E265" s="231">
        <v>96474.500000000015</v>
      </c>
      <c r="F265" s="232">
        <f t="shared" si="28"/>
        <v>96474.500000000015</v>
      </c>
      <c r="G265" s="249">
        <v>88822.92</v>
      </c>
      <c r="H265" s="241">
        <v>7651.5800000000163</v>
      </c>
      <c r="I265" s="231">
        <v>130950.89</v>
      </c>
      <c r="J265" s="232">
        <f t="shared" si="29"/>
        <v>138602.47000000003</v>
      </c>
      <c r="K265" s="281">
        <v>137178.56999999998</v>
      </c>
      <c r="L265" s="232">
        <v>1423.9000000000524</v>
      </c>
      <c r="M265" s="274">
        <v>122238.06</v>
      </c>
      <c r="N265" s="232">
        <f t="shared" si="30"/>
        <v>123661.96000000005</v>
      </c>
      <c r="O265" s="281">
        <v>195163.91999999998</v>
      </c>
      <c r="P265" s="402">
        <v>0</v>
      </c>
      <c r="Q265" s="274">
        <v>128903.36</v>
      </c>
      <c r="R265" s="232">
        <f t="shared" si="31"/>
        <v>128903.36</v>
      </c>
      <c r="S265" s="281"/>
    </row>
    <row r="266" spans="1:19">
      <c r="A266" s="272">
        <v>260</v>
      </c>
      <c r="B266" s="78" t="s">
        <v>553</v>
      </c>
      <c r="C266" s="78" t="s">
        <v>1095</v>
      </c>
      <c r="D266" s="229">
        <v>0</v>
      </c>
      <c r="E266" s="231">
        <v>11687.57</v>
      </c>
      <c r="F266" s="232">
        <f t="shared" si="28"/>
        <v>11687.57</v>
      </c>
      <c r="G266" s="249"/>
      <c r="H266" s="241">
        <v>11687.57</v>
      </c>
      <c r="I266" s="231">
        <v>19453</v>
      </c>
      <c r="J266" s="232">
        <f t="shared" si="29"/>
        <v>31140.57</v>
      </c>
      <c r="K266" s="281"/>
      <c r="L266" s="232">
        <v>31140.57</v>
      </c>
      <c r="M266" s="274">
        <v>19572.96</v>
      </c>
      <c r="N266" s="232">
        <f t="shared" si="30"/>
        <v>50713.53</v>
      </c>
      <c r="O266" s="281">
        <v>22292.82</v>
      </c>
      <c r="P266" s="402">
        <v>28420.71</v>
      </c>
      <c r="Q266" s="274">
        <v>20621.170000000002</v>
      </c>
      <c r="R266" s="232">
        <f t="shared" si="31"/>
        <v>49041.880000000005</v>
      </c>
      <c r="S266" s="281"/>
    </row>
    <row r="267" spans="1:19">
      <c r="A267" s="272">
        <v>261</v>
      </c>
      <c r="B267" s="78" t="s">
        <v>555</v>
      </c>
      <c r="C267" s="78" t="s">
        <v>1096</v>
      </c>
      <c r="D267" s="229">
        <v>0</v>
      </c>
      <c r="E267" s="231">
        <v>2026171.1</v>
      </c>
      <c r="F267" s="232">
        <f t="shared" si="28"/>
        <v>2026171.1</v>
      </c>
      <c r="G267" s="249">
        <v>2025772.12</v>
      </c>
      <c r="H267" s="241">
        <v>398.97999999998137</v>
      </c>
      <c r="I267" s="231">
        <v>2771932.5</v>
      </c>
      <c r="J267" s="232">
        <f t="shared" si="29"/>
        <v>2772331.48</v>
      </c>
      <c r="K267" s="281">
        <v>2717516.1799999992</v>
      </c>
      <c r="L267" s="232">
        <v>54815.300000000745</v>
      </c>
      <c r="M267" s="274">
        <v>2765232.42</v>
      </c>
      <c r="N267" s="232">
        <f t="shared" si="30"/>
        <v>2820047.7200000007</v>
      </c>
      <c r="O267" s="281">
        <v>2765232.42</v>
      </c>
      <c r="P267" s="402">
        <v>54815.300000000745</v>
      </c>
      <c r="Q267" s="274">
        <v>2986523.9399999995</v>
      </c>
      <c r="R267" s="232">
        <f t="shared" si="31"/>
        <v>3041339.24</v>
      </c>
      <c r="S267" s="281"/>
    </row>
    <row r="268" spans="1:19">
      <c r="A268" s="272">
        <v>262</v>
      </c>
      <c r="B268" s="78" t="s">
        <v>557</v>
      </c>
      <c r="C268" s="78" t="s">
        <v>1389</v>
      </c>
      <c r="D268" s="229">
        <v>3782.8700000000008</v>
      </c>
      <c r="E268" s="231">
        <v>29981.399999999998</v>
      </c>
      <c r="F268" s="232">
        <f t="shared" si="28"/>
        <v>33764.269999999997</v>
      </c>
      <c r="G268" s="249">
        <v>24954.42</v>
      </c>
      <c r="H268" s="242">
        <v>8809.8499999999985</v>
      </c>
      <c r="I268" s="231">
        <v>60079.340000000004</v>
      </c>
      <c r="J268" s="232">
        <f t="shared" si="29"/>
        <v>68889.19</v>
      </c>
      <c r="K268" s="281">
        <v>52371.63</v>
      </c>
      <c r="L268" s="232">
        <v>16517.560000000005</v>
      </c>
      <c r="M268" s="274">
        <v>80523.959999999992</v>
      </c>
      <c r="N268" s="232">
        <f t="shared" si="30"/>
        <v>97041.51999999999</v>
      </c>
      <c r="O268" s="281">
        <v>98642.880000000005</v>
      </c>
      <c r="P268" s="402">
        <v>0</v>
      </c>
      <c r="Q268" s="274">
        <v>91473.76999999999</v>
      </c>
      <c r="R268" s="232">
        <f t="shared" si="31"/>
        <v>91473.76999999999</v>
      </c>
      <c r="S268" s="281"/>
    </row>
    <row r="269" spans="1:19">
      <c r="A269" s="272">
        <v>263</v>
      </c>
      <c r="B269" s="78" t="s">
        <v>559</v>
      </c>
      <c r="C269" s="78" t="s">
        <v>1099</v>
      </c>
      <c r="D269" s="229">
        <v>0</v>
      </c>
      <c r="E269" s="231">
        <v>11826.68</v>
      </c>
      <c r="F269" s="232">
        <f t="shared" si="28"/>
        <v>11826.68</v>
      </c>
      <c r="G269" s="249">
        <v>5760.83</v>
      </c>
      <c r="H269" s="241">
        <v>6065.85</v>
      </c>
      <c r="I269" s="231">
        <v>17912.149999999998</v>
      </c>
      <c r="J269" s="232">
        <f t="shared" si="29"/>
        <v>23978</v>
      </c>
      <c r="K269" s="281">
        <v>13827.349999999999</v>
      </c>
      <c r="L269" s="232">
        <v>10150.650000000001</v>
      </c>
      <c r="M269" s="274">
        <v>17930.599999999999</v>
      </c>
      <c r="N269" s="232">
        <f t="shared" si="30"/>
        <v>28081.25</v>
      </c>
      <c r="O269" s="281">
        <v>15983.18</v>
      </c>
      <c r="P269" s="402">
        <v>12098.07</v>
      </c>
      <c r="Q269" s="274">
        <v>18956.64</v>
      </c>
      <c r="R269" s="232">
        <f t="shared" si="31"/>
        <v>31054.71</v>
      </c>
      <c r="S269" s="281"/>
    </row>
    <row r="270" spans="1:19">
      <c r="A270" s="272">
        <v>264</v>
      </c>
      <c r="B270" s="78" t="s">
        <v>561</v>
      </c>
      <c r="C270" s="78" t="s">
        <v>1390</v>
      </c>
      <c r="D270" s="229">
        <v>0</v>
      </c>
      <c r="E270" s="231">
        <v>14023.789999999999</v>
      </c>
      <c r="F270" s="232">
        <f t="shared" si="28"/>
        <v>14023.789999999999</v>
      </c>
      <c r="G270" s="249">
        <v>13063.94</v>
      </c>
      <c r="H270" s="241">
        <v>959.84999999999854</v>
      </c>
      <c r="I270" s="231">
        <v>21847.350000000002</v>
      </c>
      <c r="J270" s="232">
        <f t="shared" si="29"/>
        <v>22807.200000000001</v>
      </c>
      <c r="K270" s="281">
        <v>20262.52</v>
      </c>
      <c r="L270" s="232">
        <v>2544.6800000000003</v>
      </c>
      <c r="M270" s="274">
        <v>21300.260000000002</v>
      </c>
      <c r="N270" s="232">
        <f t="shared" si="30"/>
        <v>23844.940000000002</v>
      </c>
      <c r="O270" s="281">
        <v>21485.74</v>
      </c>
      <c r="P270" s="402">
        <v>2359.2000000000007</v>
      </c>
      <c r="Q270" s="274">
        <v>24425.62</v>
      </c>
      <c r="R270" s="232">
        <f t="shared" si="31"/>
        <v>26784.82</v>
      </c>
      <c r="S270" s="281"/>
    </row>
    <row r="271" spans="1:19">
      <c r="A271" s="272">
        <v>265</v>
      </c>
      <c r="B271" s="78" t="s">
        <v>563</v>
      </c>
      <c r="C271" s="78" t="s">
        <v>1391</v>
      </c>
      <c r="D271" s="229">
        <v>3504.6899999999732</v>
      </c>
      <c r="E271" s="231">
        <v>340178.78</v>
      </c>
      <c r="F271" s="232">
        <f t="shared" si="28"/>
        <v>343683.47</v>
      </c>
      <c r="G271" s="249">
        <v>324945.01</v>
      </c>
      <c r="H271" s="241">
        <v>18738.459999999963</v>
      </c>
      <c r="I271" s="231">
        <v>453492.13</v>
      </c>
      <c r="J271" s="232">
        <f t="shared" si="29"/>
        <v>472230.58999999997</v>
      </c>
      <c r="K271" s="281">
        <v>483278.98999999987</v>
      </c>
      <c r="L271" s="232">
        <v>0</v>
      </c>
      <c r="M271" s="274">
        <v>480010.82</v>
      </c>
      <c r="N271" s="232">
        <f t="shared" si="30"/>
        <v>480010.82</v>
      </c>
      <c r="O271" s="281">
        <v>480010.81000000006</v>
      </c>
      <c r="P271" s="402">
        <v>9.9999999511055648E-3</v>
      </c>
      <c r="Q271" s="274">
        <v>532344.94999999995</v>
      </c>
      <c r="R271" s="232">
        <f t="shared" si="31"/>
        <v>532344.96</v>
      </c>
      <c r="S271" s="281"/>
    </row>
    <row r="272" spans="1:19">
      <c r="A272" s="272">
        <v>266</v>
      </c>
      <c r="B272" s="78" t="s">
        <v>565</v>
      </c>
      <c r="C272" s="78" t="s">
        <v>1392</v>
      </c>
      <c r="D272" s="229">
        <v>32.439999999999827</v>
      </c>
      <c r="E272" s="231">
        <v>2068.1799999999998</v>
      </c>
      <c r="F272" s="232">
        <f t="shared" si="28"/>
        <v>2100.62</v>
      </c>
      <c r="G272" s="249"/>
      <c r="H272" s="241">
        <v>2100.62</v>
      </c>
      <c r="I272" s="231">
        <v>3150.87</v>
      </c>
      <c r="J272" s="232">
        <f t="shared" si="29"/>
        <v>5251.49</v>
      </c>
      <c r="K272" s="281"/>
      <c r="L272" s="232">
        <v>5251.49</v>
      </c>
      <c r="M272" s="274">
        <v>2915.85</v>
      </c>
      <c r="N272" s="232">
        <f t="shared" si="30"/>
        <v>8167.34</v>
      </c>
      <c r="O272" s="281">
        <v>2434.67</v>
      </c>
      <c r="P272" s="402">
        <v>5732.67</v>
      </c>
      <c r="Q272" s="274">
        <v>3056.14</v>
      </c>
      <c r="R272" s="232">
        <f t="shared" si="31"/>
        <v>8788.81</v>
      </c>
      <c r="S272" s="281"/>
    </row>
    <row r="273" spans="1:19">
      <c r="A273" s="272">
        <v>267</v>
      </c>
      <c r="B273" s="78" t="s">
        <v>567</v>
      </c>
      <c r="C273" s="78" t="s">
        <v>1103</v>
      </c>
      <c r="D273" s="229">
        <v>144.45000000000027</v>
      </c>
      <c r="E273" s="231">
        <v>3646.2400000000002</v>
      </c>
      <c r="F273" s="232">
        <f t="shared" si="28"/>
        <v>3790.6900000000005</v>
      </c>
      <c r="G273" s="249"/>
      <c r="H273" s="241">
        <v>3790.6900000000005</v>
      </c>
      <c r="I273" s="231">
        <v>5362.2</v>
      </c>
      <c r="J273" s="232">
        <f t="shared" si="29"/>
        <v>9152.89</v>
      </c>
      <c r="K273" s="281">
        <v>3527</v>
      </c>
      <c r="L273" s="232">
        <v>5625.8899999999994</v>
      </c>
      <c r="M273" s="274">
        <v>14781.189999999999</v>
      </c>
      <c r="N273" s="232">
        <f t="shared" si="30"/>
        <v>20407.079999999998</v>
      </c>
      <c r="O273" s="281">
        <v>4862.67</v>
      </c>
      <c r="P273" s="402">
        <v>15544.409999999998</v>
      </c>
      <c r="Q273" s="274">
        <v>15594.35</v>
      </c>
      <c r="R273" s="232">
        <f t="shared" si="31"/>
        <v>31138.76</v>
      </c>
      <c r="S273" s="281"/>
    </row>
    <row r="274" spans="1:19">
      <c r="A274" s="272">
        <v>268</v>
      </c>
      <c r="B274" s="78" t="s">
        <v>569</v>
      </c>
      <c r="C274" s="78" t="s">
        <v>1104</v>
      </c>
      <c r="D274" s="229">
        <v>872.78</v>
      </c>
      <c r="E274" s="231">
        <v>2073.58</v>
      </c>
      <c r="F274" s="232">
        <f t="shared" si="28"/>
        <v>2946.3599999999997</v>
      </c>
      <c r="G274" s="249"/>
      <c r="H274" s="241">
        <v>2946.3599999999997</v>
      </c>
      <c r="I274" s="231">
        <v>2889.57</v>
      </c>
      <c r="J274" s="232">
        <f t="shared" si="29"/>
        <v>5835.93</v>
      </c>
      <c r="K274" s="281"/>
      <c r="L274" s="232">
        <v>5835.93</v>
      </c>
      <c r="M274" s="274">
        <v>3327.13</v>
      </c>
      <c r="N274" s="232">
        <f t="shared" si="30"/>
        <v>9163.0600000000013</v>
      </c>
      <c r="O274" s="281"/>
      <c r="P274" s="402">
        <v>9163.0600000000013</v>
      </c>
      <c r="Q274" s="274">
        <v>3250.33</v>
      </c>
      <c r="R274" s="232">
        <f t="shared" si="31"/>
        <v>12413.390000000001</v>
      </c>
      <c r="S274" s="281"/>
    </row>
    <row r="275" spans="1:19">
      <c r="A275" s="272">
        <v>269</v>
      </c>
      <c r="B275" s="78" t="s">
        <v>571</v>
      </c>
      <c r="C275" s="78" t="s">
        <v>1105</v>
      </c>
      <c r="D275" s="229">
        <v>22919.229999999996</v>
      </c>
      <c r="E275" s="231">
        <v>207557.63</v>
      </c>
      <c r="F275" s="232">
        <f t="shared" si="28"/>
        <v>230476.86</v>
      </c>
      <c r="G275" s="249">
        <v>180765.44</v>
      </c>
      <c r="H275" s="241">
        <v>49711.419999999984</v>
      </c>
      <c r="I275" s="231">
        <v>281547.06</v>
      </c>
      <c r="J275" s="232">
        <f t="shared" si="29"/>
        <v>331258.48</v>
      </c>
      <c r="K275" s="281">
        <v>331258.2</v>
      </c>
      <c r="L275" s="232">
        <v>0.27999999996973202</v>
      </c>
      <c r="M275" s="274">
        <v>281002.34000000003</v>
      </c>
      <c r="N275" s="232">
        <f t="shared" si="30"/>
        <v>281002.62</v>
      </c>
      <c r="O275" s="281">
        <v>281002.56</v>
      </c>
      <c r="P275" s="402">
        <v>5.9999999997671694E-2</v>
      </c>
      <c r="Q275" s="274">
        <v>301901.27999999997</v>
      </c>
      <c r="R275" s="232">
        <f t="shared" si="31"/>
        <v>301901.33999999997</v>
      </c>
      <c r="S275" s="281"/>
    </row>
    <row r="276" spans="1:19">
      <c r="A276" s="272">
        <v>270</v>
      </c>
      <c r="B276" s="78" t="s">
        <v>573</v>
      </c>
      <c r="C276" s="78" t="s">
        <v>1106</v>
      </c>
      <c r="D276" s="229">
        <v>0</v>
      </c>
      <c r="E276" s="231">
        <v>3785.87</v>
      </c>
      <c r="F276" s="232">
        <f t="shared" si="28"/>
        <v>3785.87</v>
      </c>
      <c r="G276" s="249">
        <v>0.01</v>
      </c>
      <c r="H276" s="241">
        <v>3785.8599999999997</v>
      </c>
      <c r="I276" s="231">
        <v>5592.59</v>
      </c>
      <c r="J276" s="232">
        <f t="shared" si="29"/>
        <v>9378.4500000000007</v>
      </c>
      <c r="K276" s="281"/>
      <c r="L276" s="232">
        <v>9378.4500000000007</v>
      </c>
      <c r="M276" s="274">
        <v>5686.3200000000006</v>
      </c>
      <c r="N276" s="232">
        <f t="shared" si="30"/>
        <v>15064.77</v>
      </c>
      <c r="O276" s="281">
        <v>4987.2</v>
      </c>
      <c r="P276" s="402">
        <v>10077.57</v>
      </c>
      <c r="Q276" s="274">
        <v>5856.4000000000005</v>
      </c>
      <c r="R276" s="232">
        <f t="shared" si="31"/>
        <v>15933.970000000001</v>
      </c>
      <c r="S276" s="281"/>
    </row>
    <row r="277" spans="1:19">
      <c r="A277" s="272">
        <v>271</v>
      </c>
      <c r="B277" s="78" t="s">
        <v>575</v>
      </c>
      <c r="C277" s="78" t="s">
        <v>1107</v>
      </c>
      <c r="D277" s="229">
        <v>24179.019999999997</v>
      </c>
      <c r="E277" s="231">
        <v>49493.319999999992</v>
      </c>
      <c r="F277" s="232">
        <f t="shared" si="28"/>
        <v>73672.34</v>
      </c>
      <c r="G277" s="249">
        <v>4719.63</v>
      </c>
      <c r="H277" s="241">
        <v>68952.709999999992</v>
      </c>
      <c r="I277" s="231">
        <v>67787.489999999991</v>
      </c>
      <c r="J277" s="232">
        <f t="shared" si="29"/>
        <v>136740.19999999998</v>
      </c>
      <c r="K277" s="281">
        <v>9498.2099999999991</v>
      </c>
      <c r="L277" s="232">
        <v>127241.98999999999</v>
      </c>
      <c r="M277" s="274">
        <v>67283.25</v>
      </c>
      <c r="N277" s="232">
        <f t="shared" si="30"/>
        <v>194525.24</v>
      </c>
      <c r="O277" s="281">
        <v>14694.67</v>
      </c>
      <c r="P277" s="402">
        <v>179830.56999999998</v>
      </c>
      <c r="Q277" s="274">
        <v>75277.670000000013</v>
      </c>
      <c r="R277" s="232">
        <f t="shared" si="31"/>
        <v>255108.24</v>
      </c>
      <c r="S277" s="281"/>
    </row>
    <row r="278" spans="1:19">
      <c r="A278" s="272">
        <v>272</v>
      </c>
      <c r="B278" s="78" t="s">
        <v>577</v>
      </c>
      <c r="C278" s="78" t="s">
        <v>1108</v>
      </c>
      <c r="D278" s="229">
        <v>7218.1300000000047</v>
      </c>
      <c r="E278" s="231">
        <v>150885.29999999999</v>
      </c>
      <c r="F278" s="232">
        <f t="shared" si="28"/>
        <v>158103.43</v>
      </c>
      <c r="G278" s="249">
        <v>131180.04</v>
      </c>
      <c r="H278" s="241">
        <v>26923.389999999985</v>
      </c>
      <c r="I278" s="231">
        <v>199013.01</v>
      </c>
      <c r="J278" s="232">
        <f t="shared" si="29"/>
        <v>225936.4</v>
      </c>
      <c r="K278" s="281">
        <v>197019.03</v>
      </c>
      <c r="L278" s="232">
        <v>28917.369999999995</v>
      </c>
      <c r="M278" s="274">
        <v>216398.22999999998</v>
      </c>
      <c r="N278" s="232">
        <f t="shared" si="30"/>
        <v>245315.59999999998</v>
      </c>
      <c r="O278" s="281">
        <v>207020.65</v>
      </c>
      <c r="P278" s="402">
        <v>38294.949999999983</v>
      </c>
      <c r="Q278" s="274">
        <v>256532.2</v>
      </c>
      <c r="R278" s="232">
        <f t="shared" si="31"/>
        <v>294827.15000000002</v>
      </c>
      <c r="S278" s="281"/>
    </row>
    <row r="279" spans="1:19">
      <c r="A279" s="272">
        <v>273</v>
      </c>
      <c r="B279" s="78" t="s">
        <v>579</v>
      </c>
      <c r="C279" s="78" t="s">
        <v>1109</v>
      </c>
      <c r="D279" s="229">
        <v>101.68000000000029</v>
      </c>
      <c r="E279" s="231">
        <v>4909.88</v>
      </c>
      <c r="F279" s="232">
        <f t="shared" si="28"/>
        <v>5011.5600000000004</v>
      </c>
      <c r="G279" s="249">
        <v>4561.25</v>
      </c>
      <c r="H279" s="241">
        <v>450.3100000000004</v>
      </c>
      <c r="I279" s="231">
        <v>7295.2</v>
      </c>
      <c r="J279" s="232">
        <f t="shared" si="29"/>
        <v>7745.51</v>
      </c>
      <c r="K279" s="281">
        <v>7664.35</v>
      </c>
      <c r="L279" s="232">
        <v>81.159999999999854</v>
      </c>
      <c r="M279" s="274">
        <v>8184.16</v>
      </c>
      <c r="N279" s="232">
        <f t="shared" si="30"/>
        <v>8265.32</v>
      </c>
      <c r="O279" s="281">
        <v>9003.36</v>
      </c>
      <c r="P279" s="402">
        <v>0</v>
      </c>
      <c r="Q279" s="274">
        <v>9771.33</v>
      </c>
      <c r="R279" s="232">
        <f t="shared" si="31"/>
        <v>9771.33</v>
      </c>
      <c r="S279" s="281"/>
    </row>
    <row r="280" spans="1:19">
      <c r="A280" s="272">
        <v>274</v>
      </c>
      <c r="B280" s="78" t="s">
        <v>581</v>
      </c>
      <c r="C280" s="78" t="s">
        <v>1393</v>
      </c>
      <c r="D280" s="229">
        <v>12389.9</v>
      </c>
      <c r="E280" s="231">
        <v>31218.53</v>
      </c>
      <c r="F280" s="232">
        <f t="shared" si="28"/>
        <v>43608.43</v>
      </c>
      <c r="G280" s="249"/>
      <c r="H280" s="242">
        <v>43608.43</v>
      </c>
      <c r="I280" s="231">
        <v>48647.05</v>
      </c>
      <c r="J280" s="232">
        <f t="shared" si="29"/>
        <v>92255.48000000001</v>
      </c>
      <c r="K280" s="281">
        <v>39061.42</v>
      </c>
      <c r="L280" s="232">
        <v>53194.060000000012</v>
      </c>
      <c r="M280" s="274">
        <v>48478.1</v>
      </c>
      <c r="N280" s="232">
        <f t="shared" si="30"/>
        <v>101672.16</v>
      </c>
      <c r="O280" s="281">
        <v>46044.76</v>
      </c>
      <c r="P280" s="402">
        <v>55627.4</v>
      </c>
      <c r="Q280" s="274">
        <v>46259.96</v>
      </c>
      <c r="R280" s="232">
        <f t="shared" si="31"/>
        <v>101887.36</v>
      </c>
      <c r="S280" s="281"/>
    </row>
    <row r="281" spans="1:19">
      <c r="A281" s="272">
        <v>275</v>
      </c>
      <c r="B281" s="78" t="s">
        <v>583</v>
      </c>
      <c r="C281" s="78" t="s">
        <v>1394</v>
      </c>
      <c r="D281" s="229">
        <v>7084.1899999999987</v>
      </c>
      <c r="E281" s="231">
        <v>14517.61</v>
      </c>
      <c r="F281" s="232">
        <f t="shared" si="28"/>
        <v>21601.8</v>
      </c>
      <c r="G281" s="249"/>
      <c r="H281" s="242">
        <v>21601.8</v>
      </c>
      <c r="I281" s="231">
        <v>22624.02</v>
      </c>
      <c r="J281" s="232">
        <f t="shared" si="29"/>
        <v>44225.82</v>
      </c>
      <c r="K281" s="281">
        <v>18219.29</v>
      </c>
      <c r="L281" s="232">
        <v>26006.53</v>
      </c>
      <c r="M281" s="274">
        <v>22077.360000000001</v>
      </c>
      <c r="N281" s="232">
        <f t="shared" si="30"/>
        <v>48083.89</v>
      </c>
      <c r="O281" s="281">
        <v>21048.25</v>
      </c>
      <c r="P281" s="402">
        <v>27035.64</v>
      </c>
      <c r="Q281" s="274">
        <v>20866.95</v>
      </c>
      <c r="R281" s="232">
        <f t="shared" si="31"/>
        <v>47902.59</v>
      </c>
      <c r="S281" s="281"/>
    </row>
    <row r="282" spans="1:19">
      <c r="A282" s="272">
        <v>276</v>
      </c>
      <c r="B282" s="78" t="s">
        <v>585</v>
      </c>
      <c r="C282" s="78" t="s">
        <v>1395</v>
      </c>
      <c r="D282" s="229">
        <v>11229.019999999999</v>
      </c>
      <c r="E282" s="231">
        <v>20889.72</v>
      </c>
      <c r="F282" s="232">
        <f t="shared" si="28"/>
        <v>32118.739999999998</v>
      </c>
      <c r="G282" s="249"/>
      <c r="H282" s="242">
        <v>32118.739999999998</v>
      </c>
      <c r="I282" s="231">
        <v>36273.120000000003</v>
      </c>
      <c r="J282" s="232">
        <f t="shared" si="29"/>
        <v>68391.86</v>
      </c>
      <c r="K282" s="281">
        <v>29163.63</v>
      </c>
      <c r="L282" s="232">
        <v>39228.229999999996</v>
      </c>
      <c r="M282" s="274">
        <v>30143.579999999998</v>
      </c>
      <c r="N282" s="232">
        <f t="shared" si="30"/>
        <v>69371.81</v>
      </c>
      <c r="O282" s="281">
        <v>25236.870000000003</v>
      </c>
      <c r="P282" s="402">
        <v>44134.939999999995</v>
      </c>
      <c r="Q282" s="274">
        <v>24868.440000000002</v>
      </c>
      <c r="R282" s="232">
        <f t="shared" si="31"/>
        <v>69003.38</v>
      </c>
      <c r="S282" s="281"/>
    </row>
    <row r="283" spans="1:19">
      <c r="A283" s="272">
        <v>277</v>
      </c>
      <c r="B283" s="78" t="s">
        <v>587</v>
      </c>
      <c r="C283" s="78" t="s">
        <v>1117</v>
      </c>
      <c r="D283" s="229">
        <v>0</v>
      </c>
      <c r="E283" s="231">
        <v>656292.27000000014</v>
      </c>
      <c r="F283" s="232">
        <f t="shared" si="28"/>
        <v>656292.27000000014</v>
      </c>
      <c r="G283" s="249">
        <v>656292.27</v>
      </c>
      <c r="H283" s="241">
        <v>1.1641532182693481E-10</v>
      </c>
      <c r="I283" s="231">
        <v>936195.5199999999</v>
      </c>
      <c r="J283" s="232">
        <f t="shared" si="29"/>
        <v>936195.52</v>
      </c>
      <c r="K283" s="281">
        <v>1278829.6099999999</v>
      </c>
      <c r="L283" s="232">
        <v>0</v>
      </c>
      <c r="M283" s="274">
        <v>975914.63000000012</v>
      </c>
      <c r="N283" s="232">
        <f t="shared" si="30"/>
        <v>975914.63000000012</v>
      </c>
      <c r="O283" s="281">
        <v>1321066.6399999999</v>
      </c>
      <c r="P283" s="402">
        <v>0</v>
      </c>
      <c r="Q283" s="274">
        <v>1086196.46</v>
      </c>
      <c r="R283" s="232">
        <f t="shared" si="31"/>
        <v>1086196.46</v>
      </c>
      <c r="S283" s="281"/>
    </row>
    <row r="284" spans="1:19">
      <c r="A284" s="272">
        <v>278</v>
      </c>
      <c r="B284" s="78" t="s">
        <v>589</v>
      </c>
      <c r="C284" s="78" t="s">
        <v>1118</v>
      </c>
      <c r="D284" s="229">
        <v>15491.98000000004</v>
      </c>
      <c r="E284" s="231">
        <v>459427.4</v>
      </c>
      <c r="F284" s="232">
        <f t="shared" si="28"/>
        <v>474919.38000000006</v>
      </c>
      <c r="G284" s="249">
        <v>416081.97</v>
      </c>
      <c r="H284" s="241">
        <v>58837.410000000091</v>
      </c>
      <c r="I284" s="231">
        <v>673822.48</v>
      </c>
      <c r="J284" s="232">
        <f t="shared" si="29"/>
        <v>732659.89000000013</v>
      </c>
      <c r="K284" s="281">
        <v>642145.70000000019</v>
      </c>
      <c r="L284" s="232">
        <v>90514.189999999944</v>
      </c>
      <c r="M284" s="274">
        <v>681158.07000000007</v>
      </c>
      <c r="N284" s="232">
        <f t="shared" si="30"/>
        <v>771672.26</v>
      </c>
      <c r="O284" s="281">
        <v>654449.36</v>
      </c>
      <c r="P284" s="402">
        <v>117222.90000000002</v>
      </c>
      <c r="Q284" s="274">
        <v>716430.34000000008</v>
      </c>
      <c r="R284" s="232">
        <f t="shared" si="31"/>
        <v>833653.24000000011</v>
      </c>
      <c r="S284" s="281"/>
    </row>
    <row r="285" spans="1:19">
      <c r="A285" s="272">
        <v>279</v>
      </c>
      <c r="B285" s="78" t="s">
        <v>591</v>
      </c>
      <c r="C285" s="78" t="s">
        <v>1396</v>
      </c>
      <c r="D285" s="229">
        <v>7231.19</v>
      </c>
      <c r="E285" s="231">
        <v>14907.71</v>
      </c>
      <c r="F285" s="232">
        <f t="shared" si="28"/>
        <v>22138.899999999998</v>
      </c>
      <c r="G285" s="249"/>
      <c r="H285" s="241">
        <v>22138.899999999998</v>
      </c>
      <c r="I285" s="231">
        <v>23019.649999999998</v>
      </c>
      <c r="J285" s="232">
        <f t="shared" si="29"/>
        <v>45158.549999999996</v>
      </c>
      <c r="K285" s="281"/>
      <c r="L285" s="232">
        <v>45158.549999999996</v>
      </c>
      <c r="M285" s="274">
        <v>23534.030000000002</v>
      </c>
      <c r="N285" s="232">
        <f t="shared" si="30"/>
        <v>68692.58</v>
      </c>
      <c r="O285" s="281"/>
      <c r="P285" s="402">
        <v>68692.58</v>
      </c>
      <c r="Q285" s="274">
        <v>24323.24</v>
      </c>
      <c r="R285" s="232">
        <f t="shared" si="31"/>
        <v>93015.82</v>
      </c>
      <c r="S285" s="281"/>
    </row>
    <row r="286" spans="1:19">
      <c r="A286" s="272">
        <v>280</v>
      </c>
      <c r="B286" s="78" t="s">
        <v>593</v>
      </c>
      <c r="C286" s="78" t="s">
        <v>1121</v>
      </c>
      <c r="D286" s="229">
        <v>0</v>
      </c>
      <c r="E286" s="231">
        <v>2095808.63</v>
      </c>
      <c r="F286" s="232">
        <f t="shared" si="28"/>
        <v>2095808.63</v>
      </c>
      <c r="G286" s="249">
        <v>2451014.5699999998</v>
      </c>
      <c r="H286" s="241">
        <v>0</v>
      </c>
      <c r="I286" s="231">
        <v>2938167.9000000004</v>
      </c>
      <c r="J286" s="232">
        <f t="shared" si="29"/>
        <v>2938167.9000000004</v>
      </c>
      <c r="K286" s="281">
        <v>3786284.9200000009</v>
      </c>
      <c r="L286" s="232">
        <v>0</v>
      </c>
      <c r="M286" s="274">
        <v>2834142.37</v>
      </c>
      <c r="N286" s="232">
        <f t="shared" si="30"/>
        <v>2834142.37</v>
      </c>
      <c r="O286" s="281">
        <v>4419614.3600000003</v>
      </c>
      <c r="P286" s="402">
        <v>0</v>
      </c>
      <c r="Q286" s="274">
        <v>3091582.64</v>
      </c>
      <c r="R286" s="232">
        <f t="shared" si="31"/>
        <v>3091582.64</v>
      </c>
      <c r="S286" s="281"/>
    </row>
    <row r="287" spans="1:19">
      <c r="A287" s="272">
        <v>281</v>
      </c>
      <c r="B287" s="78" t="s">
        <v>595</v>
      </c>
      <c r="C287" s="78" t="s">
        <v>1122</v>
      </c>
      <c r="D287" s="229">
        <v>0</v>
      </c>
      <c r="E287" s="231">
        <v>16425.97</v>
      </c>
      <c r="F287" s="232">
        <f t="shared" si="28"/>
        <v>16425.97</v>
      </c>
      <c r="G287" s="249">
        <v>57345.35</v>
      </c>
      <c r="H287" s="241">
        <v>0</v>
      </c>
      <c r="I287" s="231">
        <v>23967.25</v>
      </c>
      <c r="J287" s="232">
        <f t="shared" si="29"/>
        <v>23967.25</v>
      </c>
      <c r="K287" s="281">
        <v>50087.13</v>
      </c>
      <c r="L287" s="232">
        <v>0</v>
      </c>
      <c r="M287" s="274">
        <v>24003.71</v>
      </c>
      <c r="N287" s="232">
        <f t="shared" si="30"/>
        <v>24003.71</v>
      </c>
      <c r="O287" s="281">
        <v>60853.380000000005</v>
      </c>
      <c r="P287" s="402">
        <v>0</v>
      </c>
      <c r="Q287" s="274">
        <v>26195.059999999998</v>
      </c>
      <c r="R287" s="232">
        <f t="shared" si="31"/>
        <v>26195.059999999998</v>
      </c>
      <c r="S287" s="281"/>
    </row>
    <row r="288" spans="1:19">
      <c r="A288" s="272">
        <v>282</v>
      </c>
      <c r="B288" s="78" t="s">
        <v>597</v>
      </c>
      <c r="C288" s="78" t="s">
        <v>1123</v>
      </c>
      <c r="D288" s="229">
        <v>18956.100000000035</v>
      </c>
      <c r="E288" s="231">
        <v>625712.98</v>
      </c>
      <c r="F288" s="232">
        <f t="shared" si="28"/>
        <v>644669.08000000007</v>
      </c>
      <c r="G288" s="249">
        <v>612080.63</v>
      </c>
      <c r="H288" s="241">
        <v>32588.45000000007</v>
      </c>
      <c r="I288" s="231">
        <v>890656.95</v>
      </c>
      <c r="J288" s="232">
        <f t="shared" si="29"/>
        <v>923245.4</v>
      </c>
      <c r="K288" s="281">
        <v>756332.74</v>
      </c>
      <c r="L288" s="232">
        <v>166912.66000000003</v>
      </c>
      <c r="M288" s="274">
        <v>930868.19000000006</v>
      </c>
      <c r="N288" s="232">
        <f t="shared" si="30"/>
        <v>1097780.8500000001</v>
      </c>
      <c r="O288" s="281">
        <v>802986.00999999989</v>
      </c>
      <c r="P288" s="402">
        <v>294794.8400000002</v>
      </c>
      <c r="Q288" s="274">
        <v>1023404.6699999999</v>
      </c>
      <c r="R288" s="232">
        <f t="shared" si="31"/>
        <v>1318199.5100000002</v>
      </c>
      <c r="S288" s="281"/>
    </row>
    <row r="289" spans="1:19">
      <c r="A289" s="272">
        <v>283</v>
      </c>
      <c r="B289" s="78" t="s">
        <v>599</v>
      </c>
      <c r="C289" s="78" t="s">
        <v>1124</v>
      </c>
      <c r="D289" s="229">
        <v>321.4900000000016</v>
      </c>
      <c r="E289" s="231">
        <v>19172.870000000003</v>
      </c>
      <c r="F289" s="232">
        <f t="shared" ref="F289:F318" si="32">+D289+E289</f>
        <v>19494.360000000004</v>
      </c>
      <c r="G289" s="249">
        <v>21928.41</v>
      </c>
      <c r="H289" s="241">
        <v>0</v>
      </c>
      <c r="I289" s="231">
        <v>26345</v>
      </c>
      <c r="J289" s="232">
        <f t="shared" ref="J289:J318" si="33">+H289+I289</f>
        <v>26345</v>
      </c>
      <c r="K289" s="281">
        <v>26345</v>
      </c>
      <c r="L289" s="232">
        <v>0</v>
      </c>
      <c r="M289" s="274">
        <v>27128.94</v>
      </c>
      <c r="N289" s="232">
        <f t="shared" si="30"/>
        <v>27128.94</v>
      </c>
      <c r="O289" s="281">
        <v>27180.36</v>
      </c>
      <c r="P289" s="402">
        <v>0</v>
      </c>
      <c r="Q289" s="274">
        <v>29907.15</v>
      </c>
      <c r="R289" s="232">
        <f t="shared" si="31"/>
        <v>29907.15</v>
      </c>
      <c r="S289" s="281"/>
    </row>
    <row r="290" spans="1:19">
      <c r="A290" s="272">
        <v>284</v>
      </c>
      <c r="B290" s="78" t="s">
        <v>601</v>
      </c>
      <c r="C290" s="78" t="s">
        <v>1125</v>
      </c>
      <c r="D290" s="229">
        <v>4418.8899999999994</v>
      </c>
      <c r="E290" s="231">
        <v>83276.58</v>
      </c>
      <c r="F290" s="232">
        <f t="shared" si="32"/>
        <v>87695.47</v>
      </c>
      <c r="G290" s="249">
        <v>86373.15</v>
      </c>
      <c r="H290" s="241">
        <v>1322.320000000007</v>
      </c>
      <c r="I290" s="231">
        <v>116208.86</v>
      </c>
      <c r="J290" s="232">
        <f t="shared" si="33"/>
        <v>117531.18000000001</v>
      </c>
      <c r="K290" s="281">
        <v>117584.64000000001</v>
      </c>
      <c r="L290" s="232">
        <v>0</v>
      </c>
      <c r="M290" s="274">
        <v>114186.56999999999</v>
      </c>
      <c r="N290" s="232">
        <f t="shared" si="30"/>
        <v>114186.56999999999</v>
      </c>
      <c r="O290" s="281">
        <v>122785.39999999998</v>
      </c>
      <c r="P290" s="402">
        <v>0</v>
      </c>
      <c r="Q290" s="274">
        <v>127686.73999999999</v>
      </c>
      <c r="R290" s="232">
        <f t="shared" si="31"/>
        <v>127686.73999999999</v>
      </c>
      <c r="S290" s="281"/>
    </row>
    <row r="291" spans="1:19">
      <c r="A291" s="272">
        <v>285</v>
      </c>
      <c r="B291" s="78" t="s">
        <v>603</v>
      </c>
      <c r="C291" s="78" t="s">
        <v>1126</v>
      </c>
      <c r="D291" s="229">
        <v>0</v>
      </c>
      <c r="E291" s="231">
        <v>19929.310000000001</v>
      </c>
      <c r="F291" s="232">
        <f t="shared" si="32"/>
        <v>19929.310000000001</v>
      </c>
      <c r="G291" s="249">
        <v>28528.58</v>
      </c>
      <c r="H291" s="241">
        <v>0</v>
      </c>
      <c r="I291" s="231">
        <v>29833.86</v>
      </c>
      <c r="J291" s="232">
        <f t="shared" si="33"/>
        <v>29833.86</v>
      </c>
      <c r="K291" s="281">
        <v>40724.92</v>
      </c>
      <c r="L291" s="232">
        <v>0</v>
      </c>
      <c r="M291" s="274">
        <v>30584.06</v>
      </c>
      <c r="N291" s="232">
        <f t="shared" si="30"/>
        <v>30584.06</v>
      </c>
      <c r="O291" s="281">
        <v>43130.28</v>
      </c>
      <c r="P291" s="402">
        <v>0</v>
      </c>
      <c r="Q291" s="274">
        <v>36164.959999999999</v>
      </c>
      <c r="R291" s="232">
        <f t="shared" si="31"/>
        <v>36164.959999999999</v>
      </c>
      <c r="S291" s="281"/>
    </row>
    <row r="292" spans="1:19">
      <c r="A292" s="272">
        <v>286</v>
      </c>
      <c r="B292" s="78" t="s">
        <v>605</v>
      </c>
      <c r="C292" s="78" t="s">
        <v>1127</v>
      </c>
      <c r="D292" s="229">
        <v>980.66000000000349</v>
      </c>
      <c r="E292" s="231">
        <v>51896.14</v>
      </c>
      <c r="F292" s="232">
        <f t="shared" si="32"/>
        <v>52876.800000000003</v>
      </c>
      <c r="G292" s="249">
        <v>47807.32</v>
      </c>
      <c r="H292" s="241">
        <v>5069.4800000000032</v>
      </c>
      <c r="I292" s="231">
        <v>71877.08</v>
      </c>
      <c r="J292" s="232">
        <f t="shared" si="33"/>
        <v>76946.559999999998</v>
      </c>
      <c r="K292" s="281">
        <v>57506.129999999983</v>
      </c>
      <c r="L292" s="232">
        <v>19440.430000000015</v>
      </c>
      <c r="M292" s="274">
        <v>75588.100000000006</v>
      </c>
      <c r="N292" s="232">
        <f t="shared" si="30"/>
        <v>95028.530000000028</v>
      </c>
      <c r="O292" s="281">
        <v>61878.630000000005</v>
      </c>
      <c r="P292" s="402">
        <v>33149.900000000023</v>
      </c>
      <c r="Q292" s="274">
        <v>81549.939999999988</v>
      </c>
      <c r="R292" s="232">
        <f t="shared" si="31"/>
        <v>114699.84000000001</v>
      </c>
      <c r="S292" s="281"/>
    </row>
    <row r="293" spans="1:19">
      <c r="A293" s="272">
        <v>287</v>
      </c>
      <c r="B293" s="78" t="s">
        <v>607</v>
      </c>
      <c r="C293" s="78" t="s">
        <v>1128</v>
      </c>
      <c r="D293" s="229">
        <v>0</v>
      </c>
      <c r="E293" s="231">
        <v>67386.38</v>
      </c>
      <c r="F293" s="232">
        <f t="shared" si="32"/>
        <v>67386.38</v>
      </c>
      <c r="G293" s="249">
        <v>62619.57</v>
      </c>
      <c r="H293" s="241">
        <v>4766.8100000000049</v>
      </c>
      <c r="I293" s="231">
        <v>98085.34</v>
      </c>
      <c r="J293" s="232">
        <f t="shared" si="33"/>
        <v>102852.15</v>
      </c>
      <c r="K293" s="281">
        <v>97038.700000000026</v>
      </c>
      <c r="L293" s="232">
        <v>5813.449999999968</v>
      </c>
      <c r="M293" s="274">
        <v>98995.51999999999</v>
      </c>
      <c r="N293" s="232">
        <f t="shared" si="30"/>
        <v>104808.96999999996</v>
      </c>
      <c r="O293" s="281">
        <v>115176.44</v>
      </c>
      <c r="P293" s="402">
        <v>0</v>
      </c>
      <c r="Q293" s="274">
        <v>110770.1</v>
      </c>
      <c r="R293" s="232">
        <f t="shared" si="31"/>
        <v>110770.1</v>
      </c>
      <c r="S293" s="281"/>
    </row>
    <row r="294" spans="1:19">
      <c r="A294" s="272">
        <v>288</v>
      </c>
      <c r="B294" s="78" t="s">
        <v>609</v>
      </c>
      <c r="C294" s="78" t="s">
        <v>1129</v>
      </c>
      <c r="D294" s="229">
        <v>0</v>
      </c>
      <c r="E294" s="231">
        <v>267315.03999999998</v>
      </c>
      <c r="F294" s="232">
        <f t="shared" si="32"/>
        <v>267315.03999999998</v>
      </c>
      <c r="G294" s="249">
        <v>250300.44</v>
      </c>
      <c r="H294" s="241">
        <v>17014.599999999977</v>
      </c>
      <c r="I294" s="231">
        <v>394998.14</v>
      </c>
      <c r="J294" s="232">
        <f t="shared" si="33"/>
        <v>412012.74</v>
      </c>
      <c r="K294" s="281">
        <v>317083.36999999988</v>
      </c>
      <c r="L294" s="232">
        <v>94929.370000000112</v>
      </c>
      <c r="M294" s="274">
        <v>389963.94</v>
      </c>
      <c r="N294" s="232">
        <f t="shared" si="30"/>
        <v>484893.31000000011</v>
      </c>
      <c r="O294" s="281">
        <v>257606.46000000002</v>
      </c>
      <c r="P294" s="402">
        <v>227286.85000000009</v>
      </c>
      <c r="Q294" s="274">
        <v>416003.9</v>
      </c>
      <c r="R294" s="232">
        <f t="shared" si="31"/>
        <v>643290.75000000012</v>
      </c>
      <c r="S294" s="281"/>
    </row>
    <row r="295" spans="1:19">
      <c r="A295" s="272">
        <v>289</v>
      </c>
      <c r="B295" s="78" t="s">
        <v>611</v>
      </c>
      <c r="C295" s="78" t="s">
        <v>1130</v>
      </c>
      <c r="D295" s="229">
        <v>2106.1699999999992</v>
      </c>
      <c r="E295" s="231">
        <v>18783.370000000003</v>
      </c>
      <c r="F295" s="232">
        <f t="shared" si="32"/>
        <v>20889.54</v>
      </c>
      <c r="G295" s="249">
        <v>14094.84</v>
      </c>
      <c r="H295" s="241">
        <v>6794.7000000000007</v>
      </c>
      <c r="I295" s="231">
        <v>28180.420000000006</v>
      </c>
      <c r="J295" s="232">
        <f t="shared" si="33"/>
        <v>34975.12000000001</v>
      </c>
      <c r="K295" s="281">
        <v>19118.2</v>
      </c>
      <c r="L295" s="232">
        <v>15856.920000000009</v>
      </c>
      <c r="M295" s="274">
        <v>27617.620000000003</v>
      </c>
      <c r="N295" s="232">
        <f t="shared" si="30"/>
        <v>43474.540000000008</v>
      </c>
      <c r="O295" s="281">
        <v>27683.03</v>
      </c>
      <c r="P295" s="402">
        <v>15791.510000000009</v>
      </c>
      <c r="Q295" s="274">
        <v>30018.560000000001</v>
      </c>
      <c r="R295" s="232">
        <f t="shared" si="31"/>
        <v>45810.070000000007</v>
      </c>
      <c r="S295" s="281"/>
    </row>
    <row r="296" spans="1:19">
      <c r="A296" s="272">
        <v>290</v>
      </c>
      <c r="B296" s="78" t="s">
        <v>613</v>
      </c>
      <c r="C296" s="78" t="s">
        <v>1131</v>
      </c>
      <c r="D296" s="229">
        <v>1648.6399999999994</v>
      </c>
      <c r="E296" s="231">
        <v>38632.020000000004</v>
      </c>
      <c r="F296" s="232">
        <f t="shared" si="32"/>
        <v>40280.660000000003</v>
      </c>
      <c r="G296" s="249">
        <v>40936.94</v>
      </c>
      <c r="H296" s="241">
        <v>0</v>
      </c>
      <c r="I296" s="231">
        <v>56350.64</v>
      </c>
      <c r="J296" s="232">
        <f t="shared" si="33"/>
        <v>56350.64</v>
      </c>
      <c r="K296" s="281">
        <v>54360.82</v>
      </c>
      <c r="L296" s="232">
        <v>1989.8199999999997</v>
      </c>
      <c r="M296" s="274">
        <v>57592.33</v>
      </c>
      <c r="N296" s="232">
        <f t="shared" si="30"/>
        <v>59582.15</v>
      </c>
      <c r="O296" s="281">
        <v>58790.159999999996</v>
      </c>
      <c r="P296" s="402">
        <v>791.99000000000524</v>
      </c>
      <c r="Q296" s="274">
        <v>64575.170000000006</v>
      </c>
      <c r="R296" s="232">
        <f t="shared" si="31"/>
        <v>65367.160000000011</v>
      </c>
      <c r="S296" s="281"/>
    </row>
    <row r="297" spans="1:19">
      <c r="A297" s="272">
        <v>291</v>
      </c>
      <c r="B297" s="78" t="s">
        <v>615</v>
      </c>
      <c r="C297" s="78" t="s">
        <v>1132</v>
      </c>
      <c r="D297" s="229">
        <v>1407.5900000000011</v>
      </c>
      <c r="E297" s="231">
        <v>16345.16</v>
      </c>
      <c r="F297" s="232">
        <f t="shared" si="32"/>
        <v>17752.75</v>
      </c>
      <c r="G297" s="249">
        <v>16801.169999999998</v>
      </c>
      <c r="H297" s="241">
        <v>951.58000000000175</v>
      </c>
      <c r="I297" s="231">
        <v>20732.93</v>
      </c>
      <c r="J297" s="232">
        <f t="shared" si="33"/>
        <v>21684.510000000002</v>
      </c>
      <c r="K297" s="281">
        <v>27991.81</v>
      </c>
      <c r="L297" s="232">
        <v>0</v>
      </c>
      <c r="M297" s="274">
        <v>22530.12</v>
      </c>
      <c r="N297" s="232">
        <f t="shared" si="30"/>
        <v>22530.12</v>
      </c>
      <c r="O297" s="281">
        <v>32217.84</v>
      </c>
      <c r="P297" s="402">
        <v>0</v>
      </c>
      <c r="Q297" s="274">
        <v>24577.98</v>
      </c>
      <c r="R297" s="232">
        <f t="shared" si="31"/>
        <v>24577.98</v>
      </c>
      <c r="S297" s="281"/>
    </row>
    <row r="298" spans="1:19">
      <c r="A298" s="272">
        <v>292</v>
      </c>
      <c r="B298" s="78" t="s">
        <v>617</v>
      </c>
      <c r="C298" s="78" t="s">
        <v>1134</v>
      </c>
      <c r="D298" s="229">
        <v>0</v>
      </c>
      <c r="E298" s="231">
        <v>224856.79</v>
      </c>
      <c r="F298" s="232">
        <f t="shared" si="32"/>
        <v>224856.79</v>
      </c>
      <c r="G298" s="249">
        <v>63176.17</v>
      </c>
      <c r="H298" s="241">
        <v>161680.62</v>
      </c>
      <c r="I298" s="231">
        <v>326482.44</v>
      </c>
      <c r="J298" s="232">
        <f t="shared" si="33"/>
        <v>488163.06</v>
      </c>
      <c r="K298" s="281">
        <v>8259.7199999999993</v>
      </c>
      <c r="L298" s="232">
        <v>479903.34</v>
      </c>
      <c r="M298" s="274">
        <v>312496.59999999998</v>
      </c>
      <c r="N298" s="232">
        <f t="shared" si="30"/>
        <v>792399.94</v>
      </c>
      <c r="O298" s="281">
        <v>53369.82</v>
      </c>
      <c r="P298" s="402">
        <v>739030.12</v>
      </c>
      <c r="Q298" s="274">
        <v>338246.55000000005</v>
      </c>
      <c r="R298" s="232">
        <f t="shared" si="31"/>
        <v>1077276.67</v>
      </c>
      <c r="S298" s="281"/>
    </row>
    <row r="299" spans="1:19">
      <c r="A299" s="272">
        <v>293</v>
      </c>
      <c r="B299" s="78" t="s">
        <v>619</v>
      </c>
      <c r="C299" s="78" t="s">
        <v>1135</v>
      </c>
      <c r="D299" s="229">
        <v>25119.209999999992</v>
      </c>
      <c r="E299" s="231">
        <v>392131.47</v>
      </c>
      <c r="F299" s="232">
        <f t="shared" si="32"/>
        <v>417250.67999999993</v>
      </c>
      <c r="G299" s="249">
        <v>284922.83</v>
      </c>
      <c r="H299" s="241">
        <v>132327.84999999992</v>
      </c>
      <c r="I299" s="231">
        <v>549906</v>
      </c>
      <c r="J299" s="232">
        <f t="shared" si="33"/>
        <v>682233.84999999986</v>
      </c>
      <c r="K299" s="281">
        <v>535671.65</v>
      </c>
      <c r="L299" s="232">
        <v>146562.19999999984</v>
      </c>
      <c r="M299" s="274">
        <v>567349.7300000001</v>
      </c>
      <c r="N299" s="232">
        <f t="shared" si="30"/>
        <v>713911.92999999993</v>
      </c>
      <c r="O299" s="281">
        <v>332537.39</v>
      </c>
      <c r="P299" s="402">
        <v>381374.53999999992</v>
      </c>
      <c r="Q299" s="274">
        <v>622898.16</v>
      </c>
      <c r="R299" s="232">
        <f t="shared" si="31"/>
        <v>1004272.7</v>
      </c>
      <c r="S299" s="281"/>
    </row>
    <row r="300" spans="1:19">
      <c r="A300" s="272">
        <v>294</v>
      </c>
      <c r="B300" s="78" t="s">
        <v>621</v>
      </c>
      <c r="C300" s="78" t="s">
        <v>1136</v>
      </c>
      <c r="D300" s="229">
        <v>1803.0400000000009</v>
      </c>
      <c r="E300" s="231">
        <v>42687.25</v>
      </c>
      <c r="F300" s="232">
        <f t="shared" si="32"/>
        <v>44490.29</v>
      </c>
      <c r="G300" s="249">
        <v>40928.46</v>
      </c>
      <c r="H300" s="241">
        <v>3561.8300000000017</v>
      </c>
      <c r="I300" s="231">
        <v>62841.07</v>
      </c>
      <c r="J300" s="232">
        <f t="shared" si="33"/>
        <v>66402.899999999994</v>
      </c>
      <c r="K300" s="281">
        <v>53023.44</v>
      </c>
      <c r="L300" s="232">
        <v>13379.459999999992</v>
      </c>
      <c r="M300" s="274">
        <v>63930.51</v>
      </c>
      <c r="N300" s="232">
        <f t="shared" si="30"/>
        <v>77309.97</v>
      </c>
      <c r="O300" s="281">
        <v>53013.619999999995</v>
      </c>
      <c r="P300" s="402">
        <v>24296.350000000006</v>
      </c>
      <c r="Q300" s="274">
        <v>67429.75</v>
      </c>
      <c r="R300" s="232">
        <f t="shared" si="31"/>
        <v>91726.1</v>
      </c>
      <c r="S300" s="281"/>
    </row>
    <row r="301" spans="1:19">
      <c r="A301" s="272">
        <v>295</v>
      </c>
      <c r="B301" s="78" t="s">
        <v>623</v>
      </c>
      <c r="C301" s="78" t="s">
        <v>1137</v>
      </c>
      <c r="D301" s="229">
        <v>0</v>
      </c>
      <c r="E301" s="231">
        <v>355644.65999999992</v>
      </c>
      <c r="F301" s="232">
        <f t="shared" si="32"/>
        <v>355644.65999999992</v>
      </c>
      <c r="G301" s="249">
        <v>355644.66</v>
      </c>
      <c r="H301" s="241">
        <v>0</v>
      </c>
      <c r="I301" s="231">
        <v>524442.17000000004</v>
      </c>
      <c r="J301" s="232">
        <f t="shared" si="33"/>
        <v>524442.17000000004</v>
      </c>
      <c r="K301" s="281">
        <v>544257.03000000014</v>
      </c>
      <c r="L301" s="232">
        <v>0</v>
      </c>
      <c r="M301" s="274">
        <v>522394.88999999996</v>
      </c>
      <c r="N301" s="232">
        <f t="shared" si="30"/>
        <v>522394.88999999996</v>
      </c>
      <c r="O301" s="281">
        <v>536976.64999999991</v>
      </c>
      <c r="P301" s="402">
        <v>0</v>
      </c>
      <c r="Q301" s="274">
        <v>560815.62</v>
      </c>
      <c r="R301" s="232">
        <f t="shared" si="31"/>
        <v>560815.62</v>
      </c>
      <c r="S301" s="281"/>
    </row>
    <row r="302" spans="1:19">
      <c r="A302" s="272">
        <v>296</v>
      </c>
      <c r="B302" s="78" t="s">
        <v>625</v>
      </c>
      <c r="C302" s="78" t="s">
        <v>1138</v>
      </c>
      <c r="D302" s="229">
        <v>0</v>
      </c>
      <c r="E302" s="231">
        <v>26602.999999999996</v>
      </c>
      <c r="F302" s="232">
        <f t="shared" si="32"/>
        <v>26602.999999999996</v>
      </c>
      <c r="G302" s="249">
        <v>27694.25</v>
      </c>
      <c r="H302" s="241">
        <v>0</v>
      </c>
      <c r="I302" s="231">
        <v>36955.919999999998</v>
      </c>
      <c r="J302" s="232">
        <f t="shared" si="33"/>
        <v>36955.919999999998</v>
      </c>
      <c r="K302" s="281">
        <v>36757.43</v>
      </c>
      <c r="L302" s="232">
        <v>198.48999999999796</v>
      </c>
      <c r="M302" s="274">
        <v>39785.179999999993</v>
      </c>
      <c r="N302" s="232">
        <f t="shared" si="30"/>
        <v>39983.669999999991</v>
      </c>
      <c r="O302" s="281">
        <v>37876.479999999996</v>
      </c>
      <c r="P302" s="402">
        <v>2107.1899999999951</v>
      </c>
      <c r="Q302" s="274">
        <v>43134.21</v>
      </c>
      <c r="R302" s="232">
        <f t="shared" si="31"/>
        <v>45241.399999999994</v>
      </c>
      <c r="S302" s="281"/>
    </row>
    <row r="303" spans="1:19">
      <c r="A303" s="272">
        <v>297</v>
      </c>
      <c r="B303" s="78" t="s">
        <v>627</v>
      </c>
      <c r="C303" s="78" t="s">
        <v>1139</v>
      </c>
      <c r="D303" s="229">
        <v>8620.8999999999069</v>
      </c>
      <c r="E303" s="231">
        <v>1515108.04</v>
      </c>
      <c r="F303" s="232">
        <f t="shared" si="32"/>
        <v>1523728.94</v>
      </c>
      <c r="G303" s="249">
        <v>1462996.81</v>
      </c>
      <c r="H303" s="241">
        <v>60732.129999999888</v>
      </c>
      <c r="I303" s="231">
        <v>2124159.9900000002</v>
      </c>
      <c r="J303" s="232">
        <f t="shared" si="33"/>
        <v>2184892.12</v>
      </c>
      <c r="K303" s="281">
        <v>2121293.8700000006</v>
      </c>
      <c r="L303" s="232">
        <v>63598.249999999534</v>
      </c>
      <c r="M303" s="274">
        <v>2092244.18</v>
      </c>
      <c r="N303" s="232">
        <f t="shared" si="30"/>
        <v>2155842.4299999997</v>
      </c>
      <c r="O303" s="281">
        <v>2226945.56</v>
      </c>
      <c r="P303" s="402">
        <v>0</v>
      </c>
      <c r="Q303" s="274">
        <v>2320771.23</v>
      </c>
      <c r="R303" s="232">
        <f t="shared" si="31"/>
        <v>2320771.23</v>
      </c>
      <c r="S303" s="281"/>
    </row>
    <row r="304" spans="1:19">
      <c r="A304" s="272">
        <v>298</v>
      </c>
      <c r="B304" s="78" t="s">
        <v>629</v>
      </c>
      <c r="C304" s="78" t="s">
        <v>1140</v>
      </c>
      <c r="D304" s="229">
        <v>9024.6100000000079</v>
      </c>
      <c r="E304" s="231">
        <v>90809.239999999991</v>
      </c>
      <c r="F304" s="232">
        <f t="shared" si="32"/>
        <v>99833.85</v>
      </c>
      <c r="G304" s="249">
        <v>76749.97</v>
      </c>
      <c r="H304" s="241">
        <v>23083.880000000005</v>
      </c>
      <c r="I304" s="231">
        <v>127677.86</v>
      </c>
      <c r="J304" s="232">
        <f t="shared" si="33"/>
        <v>150761.74</v>
      </c>
      <c r="K304" s="281">
        <v>141640.62</v>
      </c>
      <c r="L304" s="232">
        <v>9121.1199999999953</v>
      </c>
      <c r="M304" s="274">
        <v>129954</v>
      </c>
      <c r="N304" s="232">
        <f t="shared" si="30"/>
        <v>139075.12</v>
      </c>
      <c r="O304" s="281">
        <v>139983.87</v>
      </c>
      <c r="P304" s="402">
        <v>0</v>
      </c>
      <c r="Q304" s="274">
        <v>143000.65</v>
      </c>
      <c r="R304" s="232">
        <f t="shared" si="31"/>
        <v>143000.65</v>
      </c>
      <c r="S304" s="281"/>
    </row>
    <row r="305" spans="1:19">
      <c r="A305" s="272">
        <v>299</v>
      </c>
      <c r="B305" s="78" t="s">
        <v>631</v>
      </c>
      <c r="C305" s="78" t="s">
        <v>1397</v>
      </c>
      <c r="D305" s="229">
        <v>4163.24</v>
      </c>
      <c r="E305" s="231">
        <v>9902.23</v>
      </c>
      <c r="F305" s="232">
        <f t="shared" si="32"/>
        <v>14065.47</v>
      </c>
      <c r="G305" s="249">
        <v>13605.6</v>
      </c>
      <c r="H305" s="241">
        <v>459.86999999999898</v>
      </c>
      <c r="I305" s="231">
        <v>14142.380000000001</v>
      </c>
      <c r="J305" s="232">
        <f t="shared" si="33"/>
        <v>14602.25</v>
      </c>
      <c r="K305" s="281">
        <v>22616.44</v>
      </c>
      <c r="L305" s="232">
        <v>0</v>
      </c>
      <c r="M305" s="274">
        <v>14225.240000000002</v>
      </c>
      <c r="N305" s="232">
        <f t="shared" si="30"/>
        <v>14225.240000000002</v>
      </c>
      <c r="O305" s="281">
        <v>25165.45</v>
      </c>
      <c r="P305" s="402">
        <v>0</v>
      </c>
      <c r="Q305" s="274">
        <v>16373.829999999998</v>
      </c>
      <c r="R305" s="232">
        <f t="shared" si="31"/>
        <v>16373.829999999998</v>
      </c>
      <c r="S305" s="281"/>
    </row>
    <row r="306" spans="1:19">
      <c r="A306" s="272">
        <v>300</v>
      </c>
      <c r="B306" s="234" t="s">
        <v>633</v>
      </c>
      <c r="C306" s="78" t="s">
        <v>1142</v>
      </c>
      <c r="D306" s="229">
        <v>1782.5200000000004</v>
      </c>
      <c r="E306" s="231">
        <v>29559.77</v>
      </c>
      <c r="F306" s="232">
        <f t="shared" si="32"/>
        <v>31342.29</v>
      </c>
      <c r="G306" s="249">
        <v>26683.99</v>
      </c>
      <c r="H306" s="241">
        <v>4658.2999999999993</v>
      </c>
      <c r="I306" s="231">
        <v>44489</v>
      </c>
      <c r="J306" s="232">
        <f t="shared" si="33"/>
        <v>49147.3</v>
      </c>
      <c r="K306" s="281">
        <v>46701.47</v>
      </c>
      <c r="L306" s="232">
        <v>2445.8300000000017</v>
      </c>
      <c r="M306" s="274">
        <v>42925.84</v>
      </c>
      <c r="N306" s="232">
        <f t="shared" si="30"/>
        <v>45371.67</v>
      </c>
      <c r="O306" s="281">
        <v>47745.429999999993</v>
      </c>
      <c r="P306" s="402">
        <v>0</v>
      </c>
      <c r="Q306" s="274">
        <v>45608.68</v>
      </c>
      <c r="R306" s="232">
        <f t="shared" si="31"/>
        <v>45608.68</v>
      </c>
      <c r="S306" s="281"/>
    </row>
    <row r="307" spans="1:19">
      <c r="A307" s="272">
        <v>301</v>
      </c>
      <c r="B307" s="78" t="s">
        <v>635</v>
      </c>
      <c r="C307" s="78" t="s">
        <v>1143</v>
      </c>
      <c r="D307" s="229">
        <v>0</v>
      </c>
      <c r="E307" s="231">
        <v>178161.79</v>
      </c>
      <c r="F307" s="232">
        <f t="shared" si="32"/>
        <v>178161.79</v>
      </c>
      <c r="G307" s="249">
        <v>178548.13</v>
      </c>
      <c r="H307" s="241">
        <v>0</v>
      </c>
      <c r="I307" s="231">
        <v>266454.68999999994</v>
      </c>
      <c r="J307" s="232">
        <f t="shared" si="33"/>
        <v>266454.68999999994</v>
      </c>
      <c r="K307" s="281">
        <v>95332.51</v>
      </c>
      <c r="L307" s="232">
        <v>171122.17999999993</v>
      </c>
      <c r="M307" s="274">
        <v>263746.93</v>
      </c>
      <c r="N307" s="232">
        <f t="shared" si="30"/>
        <v>434869.10999999993</v>
      </c>
      <c r="O307" s="281">
        <v>216395.73000000004</v>
      </c>
      <c r="P307" s="402">
        <v>218473.37999999989</v>
      </c>
      <c r="Q307" s="274">
        <v>277857.38</v>
      </c>
      <c r="R307" s="232">
        <f t="shared" si="31"/>
        <v>496330.75999999989</v>
      </c>
      <c r="S307" s="281"/>
    </row>
    <row r="308" spans="1:19">
      <c r="A308" s="272">
        <v>302</v>
      </c>
      <c r="B308" s="78" t="s">
        <v>637</v>
      </c>
      <c r="C308" s="78" t="s">
        <v>1144</v>
      </c>
      <c r="D308" s="229">
        <v>3602.1100000000015</v>
      </c>
      <c r="E308" s="231">
        <v>20853.46</v>
      </c>
      <c r="F308" s="232">
        <f t="shared" si="32"/>
        <v>24455.57</v>
      </c>
      <c r="G308" s="249">
        <v>16138.81</v>
      </c>
      <c r="H308" s="241">
        <v>8316.76</v>
      </c>
      <c r="I308" s="231">
        <v>30082.74</v>
      </c>
      <c r="J308" s="232">
        <f t="shared" si="33"/>
        <v>38399.5</v>
      </c>
      <c r="K308" s="281">
        <v>21799.08</v>
      </c>
      <c r="L308" s="232">
        <v>16600.419999999998</v>
      </c>
      <c r="M308" s="274">
        <v>31687.370000000003</v>
      </c>
      <c r="N308" s="232">
        <f t="shared" si="30"/>
        <v>48287.79</v>
      </c>
      <c r="O308" s="281">
        <v>22755.059999999998</v>
      </c>
      <c r="P308" s="402">
        <v>25532.730000000003</v>
      </c>
      <c r="Q308" s="274">
        <v>31102.84</v>
      </c>
      <c r="R308" s="232">
        <f t="shared" si="31"/>
        <v>56635.570000000007</v>
      </c>
      <c r="S308" s="281"/>
    </row>
    <row r="309" spans="1:19">
      <c r="A309" s="272">
        <v>303</v>
      </c>
      <c r="B309" s="78" t="s">
        <v>639</v>
      </c>
      <c r="C309" s="78" t="s">
        <v>1398</v>
      </c>
      <c r="D309" s="229">
        <v>55988.200000000041</v>
      </c>
      <c r="E309" s="231">
        <v>368604.75</v>
      </c>
      <c r="F309" s="232">
        <f t="shared" si="32"/>
        <v>424592.95000000007</v>
      </c>
      <c r="G309" s="249">
        <v>9467.9599999999991</v>
      </c>
      <c r="H309" s="241">
        <v>415124.99000000005</v>
      </c>
      <c r="I309" s="231">
        <v>498110.98</v>
      </c>
      <c r="J309" s="232">
        <f t="shared" si="33"/>
        <v>913235.97</v>
      </c>
      <c r="K309" s="281">
        <v>508772.40000000008</v>
      </c>
      <c r="L309" s="232">
        <v>404463.56999999989</v>
      </c>
      <c r="M309" s="274">
        <v>505428.94999999995</v>
      </c>
      <c r="N309" s="232">
        <f t="shared" si="30"/>
        <v>909892.51999999979</v>
      </c>
      <c r="O309" s="281">
        <v>586209.52</v>
      </c>
      <c r="P309" s="402">
        <v>323682.99999999977</v>
      </c>
      <c r="Q309" s="274">
        <v>557309.52</v>
      </c>
      <c r="R309" s="232">
        <f t="shared" si="31"/>
        <v>880992.51999999979</v>
      </c>
      <c r="S309" s="281"/>
    </row>
    <row r="310" spans="1:19">
      <c r="A310" s="272">
        <v>304</v>
      </c>
      <c r="B310" s="78" t="s">
        <v>641</v>
      </c>
      <c r="C310" s="78" t="s">
        <v>1146</v>
      </c>
      <c r="D310" s="229">
        <v>4038.4599999999773</v>
      </c>
      <c r="E310" s="231">
        <v>228195.49</v>
      </c>
      <c r="F310" s="232">
        <f t="shared" si="32"/>
        <v>232233.94999999995</v>
      </c>
      <c r="G310" s="249">
        <v>194482.91</v>
      </c>
      <c r="H310" s="241">
        <v>37751.03999999995</v>
      </c>
      <c r="I310" s="231">
        <v>331869.17000000004</v>
      </c>
      <c r="J310" s="232">
        <f t="shared" si="33"/>
        <v>369620.20999999996</v>
      </c>
      <c r="K310" s="281">
        <v>205255.83</v>
      </c>
      <c r="L310" s="232">
        <v>164364.37999999998</v>
      </c>
      <c r="M310" s="274">
        <v>325886.28000000003</v>
      </c>
      <c r="N310" s="232">
        <f t="shared" si="30"/>
        <v>490250.66000000003</v>
      </c>
      <c r="O310" s="281">
        <v>115511.69999999998</v>
      </c>
      <c r="P310" s="402">
        <v>374738.96000000008</v>
      </c>
      <c r="Q310" s="274">
        <v>360228.74</v>
      </c>
      <c r="R310" s="232">
        <f t="shared" si="31"/>
        <v>734967.70000000007</v>
      </c>
      <c r="S310" s="281"/>
    </row>
    <row r="311" spans="1:19">
      <c r="A311" s="272">
        <v>305</v>
      </c>
      <c r="B311" s="78" t="s">
        <v>643</v>
      </c>
      <c r="C311" s="78" t="s">
        <v>1147</v>
      </c>
      <c r="D311" s="229">
        <v>0</v>
      </c>
      <c r="E311" s="231">
        <v>64436.81</v>
      </c>
      <c r="F311" s="232">
        <f t="shared" si="32"/>
        <v>64436.81</v>
      </c>
      <c r="G311" s="249">
        <v>63276.74</v>
      </c>
      <c r="H311" s="241">
        <v>1160.0699999999997</v>
      </c>
      <c r="I311" s="231">
        <v>90583.959999999992</v>
      </c>
      <c r="J311" s="232">
        <f t="shared" si="33"/>
        <v>91744.03</v>
      </c>
      <c r="K311" s="281">
        <v>89204.48000000001</v>
      </c>
      <c r="L311" s="232">
        <v>2539.5499999999884</v>
      </c>
      <c r="M311" s="274">
        <v>91067.650000000009</v>
      </c>
      <c r="N311" s="232">
        <f t="shared" si="30"/>
        <v>93607.2</v>
      </c>
      <c r="O311" s="281">
        <v>62456.99</v>
      </c>
      <c r="P311" s="402">
        <v>31150.21</v>
      </c>
      <c r="Q311" s="274">
        <v>97975.09</v>
      </c>
      <c r="R311" s="232">
        <f t="shared" si="31"/>
        <v>129125.29999999999</v>
      </c>
      <c r="S311" s="281"/>
    </row>
    <row r="312" spans="1:19">
      <c r="A312" s="272">
        <v>306</v>
      </c>
      <c r="B312" s="78" t="s">
        <v>645</v>
      </c>
      <c r="C312" s="78" t="s">
        <v>1148</v>
      </c>
      <c r="D312" s="229">
        <v>21469.97</v>
      </c>
      <c r="E312" s="231">
        <v>203579.56</v>
      </c>
      <c r="F312" s="232">
        <f t="shared" si="32"/>
        <v>225049.53</v>
      </c>
      <c r="G312" s="249">
        <v>217445.61</v>
      </c>
      <c r="H312" s="241">
        <v>7603.9200000000128</v>
      </c>
      <c r="I312" s="231">
        <v>261287.41999999998</v>
      </c>
      <c r="J312" s="232">
        <f t="shared" si="33"/>
        <v>268891.33999999997</v>
      </c>
      <c r="K312" s="281">
        <v>330436.59999999998</v>
      </c>
      <c r="L312" s="232">
        <v>0</v>
      </c>
      <c r="M312" s="274">
        <v>269641.17</v>
      </c>
      <c r="N312" s="232">
        <f t="shared" si="30"/>
        <v>269641.17</v>
      </c>
      <c r="O312" s="281">
        <v>305723.12</v>
      </c>
      <c r="P312" s="402">
        <v>0</v>
      </c>
      <c r="Q312" s="274">
        <v>286124.7</v>
      </c>
      <c r="R312" s="232">
        <f t="shared" si="31"/>
        <v>286124.7</v>
      </c>
      <c r="S312" s="281"/>
    </row>
    <row r="313" spans="1:19">
      <c r="A313" s="272">
        <v>307</v>
      </c>
      <c r="B313" s="78" t="s">
        <v>647</v>
      </c>
      <c r="C313" s="78" t="s">
        <v>1149</v>
      </c>
      <c r="D313" s="229">
        <v>1270.1899999999996</v>
      </c>
      <c r="E313" s="231">
        <v>12138.61</v>
      </c>
      <c r="F313" s="232">
        <f t="shared" si="32"/>
        <v>13408.8</v>
      </c>
      <c r="G313" s="249">
        <v>10397.209999999999</v>
      </c>
      <c r="H313" s="241">
        <v>3011.59</v>
      </c>
      <c r="I313" s="231">
        <v>18633.039999999997</v>
      </c>
      <c r="J313" s="232">
        <f t="shared" si="33"/>
        <v>21644.629999999997</v>
      </c>
      <c r="K313" s="281">
        <v>17016.449999999997</v>
      </c>
      <c r="L313" s="232">
        <v>4628.18</v>
      </c>
      <c r="M313" s="274">
        <v>19183.069999999996</v>
      </c>
      <c r="N313" s="232">
        <f t="shared" si="30"/>
        <v>23811.249999999996</v>
      </c>
      <c r="O313" s="281">
        <v>18111.12</v>
      </c>
      <c r="P313" s="402">
        <v>5700.1299999999974</v>
      </c>
      <c r="Q313" s="274">
        <v>20433.45</v>
      </c>
      <c r="R313" s="232">
        <f t="shared" si="31"/>
        <v>26133.579999999998</v>
      </c>
      <c r="S313" s="281"/>
    </row>
    <row r="314" spans="1:19">
      <c r="A314" s="272">
        <v>308</v>
      </c>
      <c r="B314" s="78" t="s">
        <v>649</v>
      </c>
      <c r="C314" s="78" t="s">
        <v>1150</v>
      </c>
      <c r="D314" s="229">
        <v>1.8189894035458565E-12</v>
      </c>
      <c r="E314" s="231">
        <v>19044.170000000002</v>
      </c>
      <c r="F314" s="232">
        <f t="shared" si="32"/>
        <v>19044.170000000006</v>
      </c>
      <c r="G314" s="249">
        <v>19044.169999999998</v>
      </c>
      <c r="H314" s="241">
        <v>7.2759576141834259E-12</v>
      </c>
      <c r="I314" s="231">
        <v>29428.059999999998</v>
      </c>
      <c r="J314" s="232">
        <f t="shared" si="33"/>
        <v>29428.060000000005</v>
      </c>
      <c r="K314" s="281">
        <v>29501.989999999998</v>
      </c>
      <c r="L314" s="232">
        <v>0</v>
      </c>
      <c r="M314" s="274">
        <v>29597.45</v>
      </c>
      <c r="N314" s="232">
        <f t="shared" si="30"/>
        <v>29597.45</v>
      </c>
      <c r="O314" s="281">
        <v>29493.670000000002</v>
      </c>
      <c r="P314" s="402">
        <v>103.77999999999884</v>
      </c>
      <c r="Q314" s="274">
        <v>31976.29</v>
      </c>
      <c r="R314" s="232">
        <f t="shared" si="31"/>
        <v>32080.07</v>
      </c>
      <c r="S314" s="281"/>
    </row>
    <row r="315" spans="1:19">
      <c r="A315" s="272">
        <v>309</v>
      </c>
      <c r="B315" s="78" t="s">
        <v>651</v>
      </c>
      <c r="C315" s="78" t="s">
        <v>1151</v>
      </c>
      <c r="D315" s="229">
        <v>0</v>
      </c>
      <c r="E315" s="231">
        <v>30330.28</v>
      </c>
      <c r="F315" s="232">
        <f t="shared" si="32"/>
        <v>30330.28</v>
      </c>
      <c r="G315" s="249">
        <v>31114.31</v>
      </c>
      <c r="H315" s="241">
        <v>0</v>
      </c>
      <c r="I315" s="231">
        <v>46567.09</v>
      </c>
      <c r="J315" s="232">
        <f t="shared" si="33"/>
        <v>46567.09</v>
      </c>
      <c r="K315" s="281">
        <v>35357.93</v>
      </c>
      <c r="L315" s="232">
        <v>11209.159999999996</v>
      </c>
      <c r="M315" s="274">
        <v>43682.71</v>
      </c>
      <c r="N315" s="232">
        <f t="shared" si="30"/>
        <v>54891.869999999995</v>
      </c>
      <c r="O315" s="281">
        <v>41124.26</v>
      </c>
      <c r="P315" s="402">
        <v>13767.609999999993</v>
      </c>
      <c r="Q315" s="274">
        <v>44518.17</v>
      </c>
      <c r="R315" s="232">
        <f t="shared" si="31"/>
        <v>58285.779999999992</v>
      </c>
      <c r="S315" s="281"/>
    </row>
    <row r="316" spans="1:19">
      <c r="A316" s="272">
        <v>310</v>
      </c>
      <c r="B316" s="78" t="s">
        <v>653</v>
      </c>
      <c r="C316" s="78" t="s">
        <v>1152</v>
      </c>
      <c r="D316" s="229">
        <v>4122.4800000000687</v>
      </c>
      <c r="E316" s="231">
        <v>507726.16999999993</v>
      </c>
      <c r="F316" s="232">
        <f t="shared" si="32"/>
        <v>511848.65</v>
      </c>
      <c r="G316" s="249">
        <v>500337.6</v>
      </c>
      <c r="H316" s="241">
        <v>11511.050000000047</v>
      </c>
      <c r="I316" s="231">
        <v>693349.15999999992</v>
      </c>
      <c r="J316" s="232">
        <f t="shared" si="33"/>
        <v>704860.21</v>
      </c>
      <c r="K316" s="281">
        <v>750704.27</v>
      </c>
      <c r="L316" s="232">
        <v>0</v>
      </c>
      <c r="M316" s="274">
        <v>716568.86</v>
      </c>
      <c r="N316" s="232">
        <f t="shared" si="30"/>
        <v>716568.86</v>
      </c>
      <c r="O316" s="281">
        <v>763289.37999999977</v>
      </c>
      <c r="P316" s="402">
        <v>0</v>
      </c>
      <c r="Q316" s="274">
        <v>763222.52</v>
      </c>
      <c r="R316" s="232">
        <f t="shared" si="31"/>
        <v>763222.52</v>
      </c>
      <c r="S316" s="281"/>
    </row>
    <row r="317" spans="1:19">
      <c r="A317" s="272">
        <v>311</v>
      </c>
      <c r="B317" s="78" t="s">
        <v>655</v>
      </c>
      <c r="C317" s="78" t="s">
        <v>1399</v>
      </c>
      <c r="D317" s="229">
        <v>30147.309999999998</v>
      </c>
      <c r="E317" s="231">
        <v>203220.31</v>
      </c>
      <c r="F317" s="232">
        <f t="shared" si="32"/>
        <v>233367.62</v>
      </c>
      <c r="G317" s="249">
        <v>233367.62</v>
      </c>
      <c r="H317" s="241">
        <v>0</v>
      </c>
      <c r="I317" s="231">
        <v>272904.63</v>
      </c>
      <c r="J317" s="232">
        <f t="shared" si="33"/>
        <v>272904.63</v>
      </c>
      <c r="K317" s="281">
        <v>294905.95</v>
      </c>
      <c r="L317" s="232">
        <v>0</v>
      </c>
      <c r="M317" s="274">
        <v>260355.60000000003</v>
      </c>
      <c r="N317" s="232">
        <f t="shared" si="30"/>
        <v>260355.60000000003</v>
      </c>
      <c r="O317" s="281">
        <v>270285.55</v>
      </c>
      <c r="P317" s="402">
        <v>0</v>
      </c>
      <c r="Q317" s="274">
        <v>286034.68999999994</v>
      </c>
      <c r="R317" s="232">
        <f t="shared" si="31"/>
        <v>286034.68999999994</v>
      </c>
      <c r="S317" s="281"/>
    </row>
    <row r="318" spans="1:19">
      <c r="A318" s="272">
        <v>312</v>
      </c>
      <c r="B318" s="78" t="s">
        <v>657</v>
      </c>
      <c r="C318" s="78" t="s">
        <v>1400</v>
      </c>
      <c r="D318" s="229">
        <v>33571.53</v>
      </c>
      <c r="E318" s="231">
        <v>348179.93</v>
      </c>
      <c r="F318" s="232">
        <f t="shared" si="32"/>
        <v>381751.45999999996</v>
      </c>
      <c r="G318" s="249">
        <v>290175.25</v>
      </c>
      <c r="H318" s="242">
        <v>91576.209999999963</v>
      </c>
      <c r="I318" s="231">
        <v>482195.12</v>
      </c>
      <c r="J318" s="232">
        <f t="shared" si="33"/>
        <v>573771.32999999996</v>
      </c>
      <c r="K318" s="281">
        <v>573771.33000000007</v>
      </c>
      <c r="L318" s="232">
        <v>0</v>
      </c>
      <c r="M318" s="274">
        <v>499602.16</v>
      </c>
      <c r="N318" s="232">
        <f t="shared" si="30"/>
        <v>499602.16</v>
      </c>
      <c r="O318" s="281">
        <v>499619.15</v>
      </c>
      <c r="P318" s="402">
        <v>0</v>
      </c>
      <c r="Q318" s="274">
        <v>547075.52999999991</v>
      </c>
      <c r="R318" s="232">
        <f t="shared" si="31"/>
        <v>547075.52999999991</v>
      </c>
      <c r="S318" s="281"/>
    </row>
    <row r="319" spans="1:19">
      <c r="A319" s="272">
        <v>313</v>
      </c>
      <c r="B319" s="276" t="s">
        <v>659</v>
      </c>
      <c r="C319" s="233" t="s">
        <v>1155</v>
      </c>
      <c r="D319" s="229"/>
      <c r="E319" s="231"/>
      <c r="F319" s="232"/>
      <c r="G319" s="249"/>
      <c r="H319" s="242"/>
      <c r="I319" s="231"/>
      <c r="J319" s="232"/>
      <c r="K319" s="281"/>
      <c r="L319" s="232">
        <v>0</v>
      </c>
      <c r="M319" s="274">
        <v>14594.77</v>
      </c>
      <c r="N319" s="232">
        <f t="shared" si="30"/>
        <v>14594.77</v>
      </c>
      <c r="O319" s="281">
        <v>13884.75</v>
      </c>
      <c r="P319" s="402">
        <v>710.02000000000044</v>
      </c>
      <c r="Q319" s="274">
        <v>16162.54</v>
      </c>
      <c r="R319" s="232">
        <f t="shared" si="31"/>
        <v>16872.560000000001</v>
      </c>
      <c r="S319" s="281"/>
    </row>
    <row r="320" spans="1:19">
      <c r="A320" s="272">
        <v>314</v>
      </c>
      <c r="B320" s="78" t="s">
        <v>661</v>
      </c>
      <c r="C320" s="78" t="s">
        <v>1156</v>
      </c>
      <c r="D320" s="229">
        <v>1412.7900000000009</v>
      </c>
      <c r="E320" s="231">
        <v>26671.760000000002</v>
      </c>
      <c r="F320" s="232">
        <f>+D320+E320</f>
        <v>28084.550000000003</v>
      </c>
      <c r="G320" s="249"/>
      <c r="H320" s="241">
        <v>28084.550000000003</v>
      </c>
      <c r="I320" s="231">
        <v>35343.94</v>
      </c>
      <c r="J320" s="232">
        <f>+H320+I320</f>
        <v>63428.490000000005</v>
      </c>
      <c r="K320" s="281">
        <v>40602.979999999996</v>
      </c>
      <c r="L320" s="232">
        <v>22825.510000000009</v>
      </c>
      <c r="M320" s="274">
        <v>36947.75</v>
      </c>
      <c r="N320" s="232">
        <f t="shared" si="30"/>
        <v>59773.260000000009</v>
      </c>
      <c r="O320" s="281">
        <v>36627.79</v>
      </c>
      <c r="P320" s="402">
        <v>23145.470000000008</v>
      </c>
      <c r="Q320" s="274">
        <v>40848.85</v>
      </c>
      <c r="R320" s="232">
        <f t="shared" si="31"/>
        <v>63994.320000000007</v>
      </c>
      <c r="S320" s="281"/>
    </row>
    <row r="321" spans="1:19">
      <c r="A321" s="272">
        <v>315</v>
      </c>
      <c r="B321" s="78" t="s">
        <v>663</v>
      </c>
      <c r="C321" s="78" t="s">
        <v>1157</v>
      </c>
      <c r="D321" s="229">
        <v>0</v>
      </c>
      <c r="E321" s="231">
        <v>242561.03999999998</v>
      </c>
      <c r="F321" s="232">
        <f>+D321+E321</f>
        <v>242561.03999999998</v>
      </c>
      <c r="G321" s="249">
        <v>302712.44</v>
      </c>
      <c r="H321" s="241">
        <v>0</v>
      </c>
      <c r="I321" s="231">
        <v>354901.69999999995</v>
      </c>
      <c r="J321" s="232">
        <f>+H321+I321</f>
        <v>354901.69999999995</v>
      </c>
      <c r="K321" s="281">
        <v>358056.24999999994</v>
      </c>
      <c r="L321" s="232">
        <v>0</v>
      </c>
      <c r="M321" s="274">
        <v>382461.42</v>
      </c>
      <c r="N321" s="232">
        <f t="shared" si="30"/>
        <v>382461.42</v>
      </c>
      <c r="O321" s="281">
        <v>624335.43999999994</v>
      </c>
      <c r="P321" s="402">
        <v>0</v>
      </c>
      <c r="Q321" s="274">
        <v>422148.95999999996</v>
      </c>
      <c r="R321" s="232">
        <f t="shared" si="31"/>
        <v>422148.95999999996</v>
      </c>
      <c r="S321" s="281"/>
    </row>
    <row r="322" spans="1:19">
      <c r="A322" s="272">
        <v>316</v>
      </c>
      <c r="B322" s="78" t="s">
        <v>665</v>
      </c>
      <c r="C322" s="78" t="s">
        <v>1401</v>
      </c>
      <c r="D322" s="229">
        <v>0</v>
      </c>
      <c r="E322" s="231">
        <v>67137.47</v>
      </c>
      <c r="F322" s="232">
        <f>+D322+E322</f>
        <v>67137.47</v>
      </c>
      <c r="G322" s="249">
        <v>75759.95</v>
      </c>
      <c r="H322" s="241">
        <v>0</v>
      </c>
      <c r="I322" s="231">
        <v>91465.579999999987</v>
      </c>
      <c r="J322" s="232">
        <f>+H322+I322</f>
        <v>91465.579999999987</v>
      </c>
      <c r="K322" s="281">
        <v>102546.45999999999</v>
      </c>
      <c r="L322" s="232">
        <v>0</v>
      </c>
      <c r="M322" s="274">
        <v>89872.310000000012</v>
      </c>
      <c r="N322" s="232">
        <f t="shared" si="30"/>
        <v>89872.310000000012</v>
      </c>
      <c r="O322" s="281">
        <v>73191.429999999993</v>
      </c>
      <c r="P322" s="402">
        <v>16680.880000000019</v>
      </c>
      <c r="Q322" s="274">
        <v>96582.85</v>
      </c>
      <c r="R322" s="232">
        <f t="shared" si="31"/>
        <v>113263.73000000003</v>
      </c>
      <c r="S322" s="281"/>
    </row>
    <row r="323" spans="1:19">
      <c r="A323" s="272">
        <v>317</v>
      </c>
      <c r="B323" s="275" t="s">
        <v>667</v>
      </c>
      <c r="C323" s="233" t="s">
        <v>1159</v>
      </c>
      <c r="D323" s="229"/>
      <c r="E323" s="231"/>
      <c r="F323" s="232"/>
      <c r="G323" s="249"/>
      <c r="H323" s="241"/>
      <c r="I323" s="231"/>
      <c r="J323" s="232"/>
      <c r="K323" s="281"/>
      <c r="L323" s="232">
        <v>0</v>
      </c>
      <c r="M323" s="274">
        <v>18195.05</v>
      </c>
      <c r="N323" s="232">
        <f t="shared" si="30"/>
        <v>18195.05</v>
      </c>
      <c r="O323" s="281">
        <v>16302</v>
      </c>
      <c r="P323" s="402">
        <v>1893.0499999999993</v>
      </c>
      <c r="Q323" s="274">
        <v>22459.079999999998</v>
      </c>
      <c r="R323" s="232">
        <f t="shared" si="31"/>
        <v>24352.129999999997</v>
      </c>
      <c r="S323" s="281"/>
    </row>
    <row r="324" spans="1:19">
      <c r="A324" s="272">
        <v>318</v>
      </c>
      <c r="B324" s="78" t="s">
        <v>669</v>
      </c>
      <c r="C324" s="78" t="s">
        <v>1160</v>
      </c>
      <c r="D324" s="229">
        <v>0</v>
      </c>
      <c r="E324" s="231">
        <v>18558.52</v>
      </c>
      <c r="F324" s="232">
        <f t="shared" ref="F324:F334" si="34">+D324+E324</f>
        <v>18558.52</v>
      </c>
      <c r="G324" s="249">
        <v>30144.14</v>
      </c>
      <c r="H324" s="241">
        <v>0</v>
      </c>
      <c r="I324" s="231">
        <v>26452.75</v>
      </c>
      <c r="J324" s="232">
        <f t="shared" ref="J324:J334" si="35">+H324+I324</f>
        <v>26452.75</v>
      </c>
      <c r="K324" s="281">
        <v>27087.199999999997</v>
      </c>
      <c r="L324" s="232">
        <v>0</v>
      </c>
      <c r="M324" s="274">
        <v>26874.14</v>
      </c>
      <c r="N324" s="232">
        <f t="shared" si="30"/>
        <v>26874.14</v>
      </c>
      <c r="O324" s="281">
        <v>31010.09</v>
      </c>
      <c r="P324" s="402">
        <v>0</v>
      </c>
      <c r="Q324" s="274">
        <v>28368.95</v>
      </c>
      <c r="R324" s="232">
        <f t="shared" si="31"/>
        <v>28368.95</v>
      </c>
      <c r="S324" s="281"/>
    </row>
    <row r="325" spans="1:19">
      <c r="A325" s="272">
        <v>319</v>
      </c>
      <c r="B325" s="78" t="s">
        <v>671</v>
      </c>
      <c r="C325" s="78" t="s">
        <v>1161</v>
      </c>
      <c r="D325" s="229">
        <v>0</v>
      </c>
      <c r="E325" s="231">
        <v>24822.100000000002</v>
      </c>
      <c r="F325" s="232">
        <f t="shared" si="34"/>
        <v>24822.100000000002</v>
      </c>
      <c r="G325" s="249">
        <v>9887.2800000000007</v>
      </c>
      <c r="H325" s="241">
        <v>14934.820000000002</v>
      </c>
      <c r="I325" s="231">
        <v>36482.770000000004</v>
      </c>
      <c r="J325" s="232">
        <f t="shared" si="35"/>
        <v>51417.590000000004</v>
      </c>
      <c r="K325" s="281"/>
      <c r="L325" s="232">
        <v>51417.590000000004</v>
      </c>
      <c r="M325" s="274">
        <v>38312.789999999994</v>
      </c>
      <c r="N325" s="232">
        <f t="shared" si="30"/>
        <v>89730.38</v>
      </c>
      <c r="O325" s="281">
        <v>20738.53</v>
      </c>
      <c r="P325" s="402">
        <v>68991.850000000006</v>
      </c>
      <c r="Q325" s="274">
        <v>40386.47</v>
      </c>
      <c r="R325" s="232">
        <f t="shared" si="31"/>
        <v>109378.32</v>
      </c>
      <c r="S325" s="281"/>
    </row>
    <row r="326" spans="1:19">
      <c r="A326" s="272">
        <v>320</v>
      </c>
      <c r="B326" s="78" t="s">
        <v>673</v>
      </c>
      <c r="C326" s="78" t="s">
        <v>1162</v>
      </c>
      <c r="D326" s="229">
        <v>7324.8</v>
      </c>
      <c r="E326" s="231">
        <v>15732.810000000001</v>
      </c>
      <c r="F326" s="232">
        <f t="shared" si="34"/>
        <v>23057.61</v>
      </c>
      <c r="G326" s="249"/>
      <c r="H326" s="241">
        <v>23057.61</v>
      </c>
      <c r="I326" s="231">
        <v>23597.29</v>
      </c>
      <c r="J326" s="232">
        <f t="shared" si="35"/>
        <v>46654.9</v>
      </c>
      <c r="K326" s="281">
        <v>7318.880000000001</v>
      </c>
      <c r="L326" s="232">
        <v>39336.020000000004</v>
      </c>
      <c r="M326" s="274">
        <v>22146.560000000001</v>
      </c>
      <c r="N326" s="232">
        <f t="shared" si="30"/>
        <v>61482.58</v>
      </c>
      <c r="O326" s="281">
        <v>7546.2</v>
      </c>
      <c r="P326" s="402">
        <v>53936.380000000005</v>
      </c>
      <c r="Q326" s="274">
        <v>23723.980000000003</v>
      </c>
      <c r="R326" s="232">
        <f t="shared" si="31"/>
        <v>77660.360000000015</v>
      </c>
      <c r="S326" s="281"/>
    </row>
    <row r="327" spans="1:19">
      <c r="A327" s="272">
        <v>321</v>
      </c>
      <c r="B327" s="78" t="s">
        <v>675</v>
      </c>
      <c r="C327" s="78" t="s">
        <v>1163</v>
      </c>
      <c r="D327" s="229">
        <v>4035.6600000000071</v>
      </c>
      <c r="E327" s="231">
        <v>50762.05</v>
      </c>
      <c r="F327" s="232">
        <f t="shared" si="34"/>
        <v>54797.710000000006</v>
      </c>
      <c r="G327" s="249">
        <v>19675.82</v>
      </c>
      <c r="H327" s="241">
        <v>35121.890000000007</v>
      </c>
      <c r="I327" s="231">
        <v>74936.73</v>
      </c>
      <c r="J327" s="232">
        <f t="shared" si="35"/>
        <v>110058.62</v>
      </c>
      <c r="K327" s="281">
        <v>21064.78</v>
      </c>
      <c r="L327" s="232">
        <v>88993.84</v>
      </c>
      <c r="M327" s="274">
        <v>80103.51999999999</v>
      </c>
      <c r="N327" s="232">
        <f t="shared" ref="N327:N334" si="36">+L327+M327</f>
        <v>169097.36</v>
      </c>
      <c r="O327" s="281">
        <v>25503.879999999997</v>
      </c>
      <c r="P327" s="402">
        <v>143593.47999999998</v>
      </c>
      <c r="Q327" s="274">
        <v>89421.7</v>
      </c>
      <c r="R327" s="232">
        <f t="shared" ref="R327:R334" si="37">+P327+Q327</f>
        <v>233015.18</v>
      </c>
      <c r="S327" s="281"/>
    </row>
    <row r="328" spans="1:19">
      <c r="A328" s="272">
        <v>322</v>
      </c>
      <c r="B328" s="78" t="s">
        <v>677</v>
      </c>
      <c r="C328" s="78" t="s">
        <v>1164</v>
      </c>
      <c r="D328" s="229">
        <v>0</v>
      </c>
      <c r="E328" s="231">
        <v>15405.039999999999</v>
      </c>
      <c r="F328" s="232">
        <f t="shared" si="34"/>
        <v>15405.039999999999</v>
      </c>
      <c r="G328" s="249">
        <v>14086.17</v>
      </c>
      <c r="H328" s="241">
        <v>1318.869999999999</v>
      </c>
      <c r="I328" s="231">
        <v>23310.42</v>
      </c>
      <c r="J328" s="232">
        <f t="shared" si="35"/>
        <v>24629.289999999997</v>
      </c>
      <c r="K328" s="281">
        <v>27392.68</v>
      </c>
      <c r="L328" s="232">
        <v>0</v>
      </c>
      <c r="M328" s="274">
        <v>24638.28</v>
      </c>
      <c r="N328" s="232">
        <f t="shared" si="36"/>
        <v>24638.28</v>
      </c>
      <c r="O328" s="281">
        <v>28714.100000000002</v>
      </c>
      <c r="P328" s="402">
        <v>0</v>
      </c>
      <c r="Q328" s="274">
        <v>26688.449999999997</v>
      </c>
      <c r="R328" s="232">
        <f t="shared" si="37"/>
        <v>26688.449999999997</v>
      </c>
      <c r="S328" s="281"/>
    </row>
    <row r="329" spans="1:19">
      <c r="A329" s="272">
        <v>323</v>
      </c>
      <c r="B329" s="78" t="s">
        <v>679</v>
      </c>
      <c r="C329" s="78" t="s">
        <v>1165</v>
      </c>
      <c r="D329" s="229">
        <v>0</v>
      </c>
      <c r="E329" s="231">
        <v>12053.12</v>
      </c>
      <c r="F329" s="232">
        <f t="shared" si="34"/>
        <v>12053.12</v>
      </c>
      <c r="G329" s="249">
        <v>8072.63</v>
      </c>
      <c r="H329" s="241">
        <v>3980.4900000000007</v>
      </c>
      <c r="I329" s="231">
        <v>18422.939999999999</v>
      </c>
      <c r="J329" s="232">
        <f t="shared" si="35"/>
        <v>22403.43</v>
      </c>
      <c r="K329" s="281">
        <v>12706.75</v>
      </c>
      <c r="L329" s="232">
        <v>9696.68</v>
      </c>
      <c r="M329" s="274">
        <v>18586.23</v>
      </c>
      <c r="N329" s="232">
        <f t="shared" si="36"/>
        <v>28282.91</v>
      </c>
      <c r="O329" s="281">
        <v>19308.12</v>
      </c>
      <c r="P329" s="402">
        <v>8974.7900000000009</v>
      </c>
      <c r="Q329" s="274">
        <v>19703.62</v>
      </c>
      <c r="R329" s="232">
        <f t="shared" si="37"/>
        <v>28678.41</v>
      </c>
      <c r="S329" s="281"/>
    </row>
    <row r="330" spans="1:19">
      <c r="A330" s="272">
        <v>324</v>
      </c>
      <c r="B330" s="78" t="s">
        <v>681</v>
      </c>
      <c r="C330" s="78" t="s">
        <v>1166</v>
      </c>
      <c r="D330" s="229">
        <v>0</v>
      </c>
      <c r="E330" s="231">
        <v>148852.97000000003</v>
      </c>
      <c r="F330" s="232">
        <f t="shared" si="34"/>
        <v>148852.97000000003</v>
      </c>
      <c r="G330" s="249">
        <v>146139.03</v>
      </c>
      <c r="H330" s="241">
        <v>2713.9400000000314</v>
      </c>
      <c r="I330" s="231">
        <v>193194.78999999998</v>
      </c>
      <c r="J330" s="232">
        <f t="shared" si="35"/>
        <v>195908.73</v>
      </c>
      <c r="K330" s="281">
        <v>231004.66</v>
      </c>
      <c r="L330" s="232">
        <v>0</v>
      </c>
      <c r="M330" s="274">
        <v>205162.32</v>
      </c>
      <c r="N330" s="232">
        <f t="shared" si="36"/>
        <v>205162.32</v>
      </c>
      <c r="O330" s="281">
        <v>237770.71000000002</v>
      </c>
      <c r="P330" s="402">
        <v>0</v>
      </c>
      <c r="Q330" s="274">
        <v>228743.12</v>
      </c>
      <c r="R330" s="232">
        <f t="shared" si="37"/>
        <v>228743.12</v>
      </c>
      <c r="S330" s="281"/>
    </row>
    <row r="331" spans="1:19">
      <c r="A331" s="272">
        <v>325</v>
      </c>
      <c r="B331" s="78" t="s">
        <v>683</v>
      </c>
      <c r="C331" s="78" t="s">
        <v>1402</v>
      </c>
      <c r="D331" s="229">
        <v>0</v>
      </c>
      <c r="E331" s="231">
        <v>11818.29</v>
      </c>
      <c r="F331" s="232">
        <f t="shared" si="34"/>
        <v>11818.29</v>
      </c>
      <c r="G331" s="249"/>
      <c r="H331" s="241">
        <v>11818.29</v>
      </c>
      <c r="I331" s="231">
        <v>16971.89</v>
      </c>
      <c r="J331" s="232">
        <f t="shared" si="35"/>
        <v>28790.18</v>
      </c>
      <c r="K331" s="281"/>
      <c r="L331" s="232">
        <v>28790.18</v>
      </c>
      <c r="M331" s="274">
        <v>19248.71</v>
      </c>
      <c r="N331" s="232">
        <f t="shared" si="36"/>
        <v>48038.89</v>
      </c>
      <c r="O331" s="91"/>
      <c r="P331" s="402">
        <v>48038.89</v>
      </c>
      <c r="Q331" s="274">
        <v>19580.53</v>
      </c>
      <c r="R331" s="232">
        <f t="shared" si="37"/>
        <v>67619.42</v>
      </c>
      <c r="S331" s="281"/>
    </row>
    <row r="332" spans="1:19">
      <c r="A332" s="272">
        <v>326</v>
      </c>
      <c r="B332" s="78" t="s">
        <v>685</v>
      </c>
      <c r="C332" s="78" t="s">
        <v>1169</v>
      </c>
      <c r="D332" s="229">
        <v>550522.31999999995</v>
      </c>
      <c r="E332" s="231">
        <v>1055031.27</v>
      </c>
      <c r="F332" s="232">
        <f t="shared" si="34"/>
        <v>1605553.5899999999</v>
      </c>
      <c r="G332" s="249">
        <v>914261.75</v>
      </c>
      <c r="H332" s="241">
        <v>691291.83999999985</v>
      </c>
      <c r="I332" s="231">
        <v>1558859.4000000001</v>
      </c>
      <c r="J332" s="232">
        <f t="shared" si="35"/>
        <v>2250151.2400000002</v>
      </c>
      <c r="K332" s="281">
        <v>1407944.5999999999</v>
      </c>
      <c r="L332" s="232">
        <v>842206.64000000036</v>
      </c>
      <c r="M332" s="274">
        <v>1601421.48</v>
      </c>
      <c r="N332" s="232">
        <f t="shared" si="36"/>
        <v>2443628.12</v>
      </c>
      <c r="O332" s="281">
        <v>1234307.75</v>
      </c>
      <c r="P332" s="402">
        <v>1209320.3700000001</v>
      </c>
      <c r="Q332" s="274">
        <v>1717221.48</v>
      </c>
      <c r="R332" s="232">
        <f t="shared" si="37"/>
        <v>2926541.85</v>
      </c>
      <c r="S332" s="281"/>
    </row>
    <row r="333" spans="1:19">
      <c r="A333" s="272">
        <v>327</v>
      </c>
      <c r="B333" s="78" t="s">
        <v>687</v>
      </c>
      <c r="C333" s="78" t="s">
        <v>1170</v>
      </c>
      <c r="D333" s="229">
        <v>20102.809999999998</v>
      </c>
      <c r="E333" s="231">
        <v>346207.02999999997</v>
      </c>
      <c r="F333" s="232">
        <f t="shared" si="34"/>
        <v>366309.83999999997</v>
      </c>
      <c r="G333" s="249">
        <v>327404.82</v>
      </c>
      <c r="H333" s="241">
        <v>38905.01999999996</v>
      </c>
      <c r="I333" s="231">
        <v>485864.21</v>
      </c>
      <c r="J333" s="232">
        <f t="shared" si="35"/>
        <v>524769.23</v>
      </c>
      <c r="K333" s="281">
        <v>362239.1</v>
      </c>
      <c r="L333" s="232">
        <v>162530.13</v>
      </c>
      <c r="M333" s="274">
        <v>488495.55000000005</v>
      </c>
      <c r="N333" s="232">
        <f t="shared" si="36"/>
        <v>651025.68000000005</v>
      </c>
      <c r="O333" s="281">
        <v>553069.51</v>
      </c>
      <c r="P333" s="402">
        <v>97956.170000000042</v>
      </c>
      <c r="Q333" s="274">
        <v>548907.31999999995</v>
      </c>
      <c r="R333" s="232">
        <f t="shared" si="37"/>
        <v>646863.49</v>
      </c>
      <c r="S333" s="281"/>
    </row>
    <row r="334" spans="1:19">
      <c r="A334" s="272">
        <v>328</v>
      </c>
      <c r="B334" s="78" t="s">
        <v>689</v>
      </c>
      <c r="C334" s="78" t="s">
        <v>1171</v>
      </c>
      <c r="D334" s="229">
        <v>2725.0999999999985</v>
      </c>
      <c r="E334" s="231">
        <v>80904.72</v>
      </c>
      <c r="F334" s="232">
        <f t="shared" si="34"/>
        <v>83629.820000000007</v>
      </c>
      <c r="G334" s="249">
        <v>72139.520000000004</v>
      </c>
      <c r="H334" s="241">
        <v>11490.300000000003</v>
      </c>
      <c r="I334" s="231">
        <v>115399.61</v>
      </c>
      <c r="J334" s="232">
        <f t="shared" si="35"/>
        <v>126889.91</v>
      </c>
      <c r="K334" s="281">
        <v>116909.42000000001</v>
      </c>
      <c r="L334" s="232">
        <v>9980.4899999999907</v>
      </c>
      <c r="M334" s="274">
        <v>120630.6</v>
      </c>
      <c r="N334" s="232">
        <f t="shared" si="36"/>
        <v>130611.09</v>
      </c>
      <c r="O334" s="281">
        <v>121802.43000000001</v>
      </c>
      <c r="P334" s="402">
        <v>8808.6599999999889</v>
      </c>
      <c r="Q334" s="274">
        <v>137360.5</v>
      </c>
      <c r="R334" s="232">
        <f t="shared" si="37"/>
        <v>146169.15999999997</v>
      </c>
      <c r="S334" s="281"/>
    </row>
    <row r="335" spans="1:19">
      <c r="O335"/>
      <c r="P335"/>
      <c r="R335"/>
    </row>
    <row r="336" spans="1:19">
      <c r="O336"/>
      <c r="P336"/>
      <c r="Q336"/>
      <c r="R336"/>
    </row>
    <row r="337" spans="15:18">
      <c r="O337"/>
      <c r="P337"/>
      <c r="Q337"/>
      <c r="R337"/>
    </row>
    <row r="338" spans="15:18">
      <c r="O338"/>
      <c r="P338"/>
      <c r="Q338"/>
      <c r="R338"/>
    </row>
    <row r="339" spans="15:18">
      <c r="O339"/>
      <c r="P339"/>
      <c r="Q339"/>
      <c r="R339"/>
    </row>
    <row r="340" spans="15:18">
      <c r="O340"/>
      <c r="P340"/>
      <c r="Q340"/>
      <c r="R340"/>
    </row>
    <row r="341" spans="15:18">
      <c r="O341"/>
      <c r="P341"/>
      <c r="Q341"/>
      <c r="R341"/>
    </row>
    <row r="342" spans="15:18">
      <c r="O342"/>
      <c r="P342"/>
      <c r="Q342"/>
      <c r="R342"/>
    </row>
    <row r="343" spans="15:18">
      <c r="O343"/>
      <c r="P343"/>
      <c r="Q343"/>
      <c r="R343"/>
    </row>
    <row r="344" spans="15:18">
      <c r="O344"/>
      <c r="P344"/>
      <c r="Q344"/>
      <c r="R344"/>
    </row>
    <row r="345" spans="15:18">
      <c r="O345"/>
      <c r="P345"/>
      <c r="Q345"/>
      <c r="R345"/>
    </row>
    <row r="346" spans="15:18">
      <c r="O346"/>
      <c r="P346"/>
      <c r="Q346"/>
      <c r="R346"/>
    </row>
    <row r="347" spans="15:18">
      <c r="O347"/>
      <c r="P347"/>
      <c r="Q347"/>
      <c r="R347"/>
    </row>
    <row r="348" spans="15:18">
      <c r="O348"/>
      <c r="P348"/>
      <c r="Q348"/>
      <c r="R348"/>
    </row>
    <row r="349" spans="15:18">
      <c r="O349"/>
      <c r="P349"/>
      <c r="Q349"/>
      <c r="R349"/>
    </row>
    <row r="350" spans="15:18">
      <c r="O350"/>
      <c r="P350"/>
      <c r="Q350"/>
      <c r="R350"/>
    </row>
    <row r="351" spans="15:18">
      <c r="O351"/>
      <c r="P351"/>
      <c r="Q351"/>
      <c r="R351"/>
    </row>
    <row r="352" spans="15:18">
      <c r="O352"/>
      <c r="P352"/>
      <c r="Q352"/>
      <c r="R352"/>
    </row>
    <row r="353" spans="15:18">
      <c r="O353"/>
      <c r="P353"/>
      <c r="Q353"/>
      <c r="R353"/>
    </row>
    <row r="354" spans="15:18">
      <c r="O354"/>
      <c r="P354"/>
      <c r="Q354"/>
      <c r="R354"/>
    </row>
    <row r="355" spans="15:18">
      <c r="O355"/>
      <c r="P355"/>
      <c r="Q355"/>
      <c r="R355"/>
    </row>
    <row r="356" spans="15:18">
      <c r="O356"/>
      <c r="P356"/>
      <c r="Q356"/>
      <c r="R356"/>
    </row>
    <row r="357" spans="15:18">
      <c r="O357"/>
      <c r="P357"/>
      <c r="Q357"/>
      <c r="R357"/>
    </row>
    <row r="358" spans="15:18">
      <c r="O358"/>
      <c r="P358"/>
      <c r="Q358"/>
      <c r="R358"/>
    </row>
    <row r="359" spans="15:18">
      <c r="O359"/>
      <c r="P359"/>
      <c r="Q359"/>
      <c r="R359"/>
    </row>
    <row r="360" spans="15:18">
      <c r="O360"/>
      <c r="P360"/>
      <c r="Q360"/>
      <c r="R360"/>
    </row>
    <row r="361" spans="15:18">
      <c r="O361"/>
      <c r="P361"/>
      <c r="Q361"/>
      <c r="R361"/>
    </row>
    <row r="362" spans="15:18">
      <c r="O362"/>
      <c r="P362"/>
      <c r="Q362"/>
      <c r="R362"/>
    </row>
    <row r="363" spans="15:18">
      <c r="O363"/>
      <c r="P363"/>
      <c r="Q363"/>
      <c r="R363"/>
    </row>
    <row r="364" spans="15:18">
      <c r="O364"/>
      <c r="P364"/>
      <c r="Q364"/>
      <c r="R364"/>
    </row>
    <row r="365" spans="15:18">
      <c r="O365"/>
      <c r="P365"/>
      <c r="Q365"/>
      <c r="R365"/>
    </row>
    <row r="366" spans="15:18">
      <c r="O366"/>
      <c r="P366"/>
      <c r="Q366"/>
      <c r="R366"/>
    </row>
    <row r="367" spans="15:18">
      <c r="O367"/>
      <c r="P367"/>
      <c r="Q367"/>
      <c r="R367"/>
    </row>
    <row r="368" spans="15:18">
      <c r="O368"/>
      <c r="P368"/>
      <c r="Q368"/>
      <c r="R368"/>
    </row>
    <row r="369" spans="15:18">
      <c r="O369"/>
      <c r="P369"/>
      <c r="Q369"/>
      <c r="R369"/>
    </row>
  </sheetData>
  <sortState xmlns:xlrd2="http://schemas.microsoft.com/office/spreadsheetml/2017/richdata2" ref="T7:V334">
    <sortCondition ref="U7:U334"/>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C9F49-5A9E-41B5-90D2-81B5779FF5BC}">
  <sheetPr>
    <tabColor rgb="FF66FF33"/>
  </sheetPr>
  <dimension ref="A2:I324"/>
  <sheetViews>
    <sheetView workbookViewId="0">
      <selection activeCell="B3" sqref="B3"/>
    </sheetView>
  </sheetViews>
  <sheetFormatPr defaultRowHeight="15"/>
  <cols>
    <col min="2" max="2" width="39" bestFit="1" customWidth="1"/>
    <col min="3" max="3" width="15.28515625" bestFit="1" customWidth="1"/>
    <col min="4" max="4" width="1.28515625" customWidth="1"/>
    <col min="5" max="6" width="15.28515625" customWidth="1"/>
    <col min="7" max="8" width="13.28515625" bestFit="1" customWidth="1"/>
    <col min="9" max="9" width="11.5703125" bestFit="1" customWidth="1"/>
    <col min="10" max="11" width="14.28515625" bestFit="1" customWidth="1"/>
  </cols>
  <sheetData>
    <row r="2" spans="1:9" ht="15.75">
      <c r="A2" s="80" t="s">
        <v>1403</v>
      </c>
    </row>
    <row r="3" spans="1:9" ht="30.75" thickBot="1">
      <c r="A3" s="283"/>
      <c r="B3" s="284" t="s">
        <v>1404</v>
      </c>
      <c r="C3" s="285" t="s">
        <v>1405</v>
      </c>
      <c r="D3" s="285"/>
      <c r="E3" s="285" t="s">
        <v>1406</v>
      </c>
      <c r="F3" s="285" t="s">
        <v>1407</v>
      </c>
      <c r="G3" s="285" t="s">
        <v>1408</v>
      </c>
      <c r="H3" s="285" t="s">
        <v>1409</v>
      </c>
      <c r="I3" s="285" t="s">
        <v>1410</v>
      </c>
    </row>
    <row r="4" spans="1:9">
      <c r="A4" t="s">
        <v>647</v>
      </c>
      <c r="B4" t="s">
        <v>1411</v>
      </c>
      <c r="C4" s="49">
        <v>19183.069999999996</v>
      </c>
      <c r="D4" s="49"/>
      <c r="E4" s="49">
        <v>17854.109999999997</v>
      </c>
      <c r="F4" s="49">
        <v>710.45</v>
      </c>
      <c r="G4" s="49">
        <v>586.25</v>
      </c>
      <c r="H4" s="49">
        <v>0</v>
      </c>
      <c r="I4" s="49">
        <v>32.26</v>
      </c>
    </row>
    <row r="5" spans="1:9">
      <c r="A5" t="s">
        <v>57</v>
      </c>
      <c r="B5" t="s">
        <v>1412</v>
      </c>
      <c r="C5" s="49">
        <v>2921.46</v>
      </c>
      <c r="D5" s="49"/>
      <c r="E5" s="49">
        <v>2917.25</v>
      </c>
      <c r="F5" s="49">
        <v>0</v>
      </c>
      <c r="G5" s="49">
        <v>0</v>
      </c>
      <c r="H5" s="49">
        <v>0</v>
      </c>
      <c r="I5" s="49">
        <v>4.21</v>
      </c>
    </row>
    <row r="6" spans="1:9">
      <c r="A6" t="s">
        <v>435</v>
      </c>
      <c r="B6" t="s">
        <v>1413</v>
      </c>
      <c r="C6" s="49">
        <v>472990.57999999996</v>
      </c>
      <c r="D6" s="49"/>
      <c r="E6" s="49">
        <v>332379.77999999997</v>
      </c>
      <c r="F6" s="49">
        <v>48028.83</v>
      </c>
      <c r="G6" s="49">
        <v>50870.93</v>
      </c>
      <c r="H6" s="49">
        <v>39914.410000000003</v>
      </c>
      <c r="I6" s="49">
        <v>1796.63</v>
      </c>
    </row>
    <row r="7" spans="1:9">
      <c r="A7" t="s">
        <v>307</v>
      </c>
      <c r="B7" t="s">
        <v>1414</v>
      </c>
      <c r="C7" s="49">
        <v>28563.809999999998</v>
      </c>
      <c r="D7" s="49"/>
      <c r="E7" s="49">
        <v>23915.82</v>
      </c>
      <c r="F7" s="49">
        <v>1964.96</v>
      </c>
      <c r="G7" s="49">
        <v>2022.44</v>
      </c>
      <c r="H7" s="49">
        <v>660.59</v>
      </c>
      <c r="I7" s="49">
        <v>0</v>
      </c>
    </row>
    <row r="8" spans="1:9">
      <c r="A8" t="s">
        <v>503</v>
      </c>
      <c r="B8" t="s">
        <v>1415</v>
      </c>
      <c r="C8" s="49">
        <v>36936.839999999997</v>
      </c>
      <c r="D8" s="49"/>
      <c r="E8" s="49">
        <v>32574.01</v>
      </c>
      <c r="F8" s="49">
        <v>2259.4899999999998</v>
      </c>
      <c r="G8" s="49">
        <v>2103.34</v>
      </c>
      <c r="H8" s="49">
        <v>0</v>
      </c>
      <c r="I8" s="49">
        <v>0</v>
      </c>
    </row>
    <row r="9" spans="1:9">
      <c r="A9" t="s">
        <v>109</v>
      </c>
      <c r="B9" t="s">
        <v>1416</v>
      </c>
      <c r="C9" s="49">
        <v>214171.53999999998</v>
      </c>
      <c r="D9" s="49"/>
      <c r="E9" s="49">
        <v>167839.96</v>
      </c>
      <c r="F9" s="49">
        <v>26885.59</v>
      </c>
      <c r="G9" s="49">
        <v>18009.8</v>
      </c>
      <c r="H9" s="49">
        <v>457.23</v>
      </c>
      <c r="I9" s="49">
        <v>978.96</v>
      </c>
    </row>
    <row r="10" spans="1:9">
      <c r="A10" t="s">
        <v>45</v>
      </c>
      <c r="B10" t="s">
        <v>1417</v>
      </c>
      <c r="C10" s="49">
        <v>60272.929999999993</v>
      </c>
      <c r="D10" s="49"/>
      <c r="E10" s="49">
        <v>51589.009999999995</v>
      </c>
      <c r="F10" s="49">
        <v>6693.74</v>
      </c>
      <c r="G10" s="49">
        <v>1746.14</v>
      </c>
      <c r="H10" s="49">
        <v>0</v>
      </c>
      <c r="I10" s="49">
        <v>244.04</v>
      </c>
    </row>
    <row r="11" spans="1:9">
      <c r="A11" t="s">
        <v>277</v>
      </c>
      <c r="B11" t="s">
        <v>1418</v>
      </c>
      <c r="C11" s="49">
        <v>1746296.17</v>
      </c>
      <c r="D11" s="49"/>
      <c r="E11" s="49">
        <v>1342621.49</v>
      </c>
      <c r="F11" s="49">
        <v>186917.52</v>
      </c>
      <c r="G11" s="49">
        <v>148091.03</v>
      </c>
      <c r="H11" s="49">
        <v>61263.61</v>
      </c>
      <c r="I11" s="49">
        <v>7402.52</v>
      </c>
    </row>
    <row r="12" spans="1:9">
      <c r="A12" t="s">
        <v>445</v>
      </c>
      <c r="B12" t="s">
        <v>1419</v>
      </c>
      <c r="C12" s="49">
        <v>15831.239999999998</v>
      </c>
      <c r="D12" s="49"/>
      <c r="E12" s="49">
        <v>11820.47</v>
      </c>
      <c r="F12" s="49">
        <v>1604.03</v>
      </c>
      <c r="G12" s="49">
        <v>1800.85</v>
      </c>
      <c r="H12" s="49">
        <v>605.89</v>
      </c>
      <c r="I12" s="49">
        <v>0</v>
      </c>
    </row>
    <row r="13" spans="1:9">
      <c r="A13" t="s">
        <v>283</v>
      </c>
      <c r="B13" t="s">
        <v>1420</v>
      </c>
      <c r="C13" s="49">
        <v>143557.91</v>
      </c>
      <c r="D13" s="49"/>
      <c r="E13" s="49">
        <v>106351.94</v>
      </c>
      <c r="F13" s="49">
        <v>14667.42</v>
      </c>
      <c r="G13" s="49">
        <v>14102.369999999999</v>
      </c>
      <c r="H13" s="49">
        <v>7870.96</v>
      </c>
      <c r="I13" s="49">
        <v>565.22</v>
      </c>
    </row>
    <row r="14" spans="1:9">
      <c r="A14" t="s">
        <v>217</v>
      </c>
      <c r="B14" t="s">
        <v>1421</v>
      </c>
      <c r="C14" s="49">
        <v>85590.92</v>
      </c>
      <c r="D14" s="49"/>
      <c r="E14" s="49">
        <v>62943.840000000004</v>
      </c>
      <c r="F14" s="49">
        <v>9035.59</v>
      </c>
      <c r="G14" s="49">
        <v>9541.3499999999985</v>
      </c>
      <c r="H14" s="49">
        <v>3730.72</v>
      </c>
      <c r="I14" s="49">
        <v>339.42</v>
      </c>
    </row>
    <row r="15" spans="1:9">
      <c r="A15" t="s">
        <v>465</v>
      </c>
      <c r="B15" t="s">
        <v>1422</v>
      </c>
      <c r="C15" s="49">
        <v>244906.66000000003</v>
      </c>
      <c r="D15" s="49"/>
      <c r="E15" s="49">
        <v>180106.42</v>
      </c>
      <c r="F15" s="49">
        <v>24573.08</v>
      </c>
      <c r="G15" s="49">
        <v>26408.11</v>
      </c>
      <c r="H15" s="49">
        <v>12833.08</v>
      </c>
      <c r="I15" s="49">
        <v>985.97</v>
      </c>
    </row>
    <row r="16" spans="1:9">
      <c r="A16" t="s">
        <v>499</v>
      </c>
      <c r="B16" t="s">
        <v>1423</v>
      </c>
      <c r="C16" s="49">
        <v>1160441.54</v>
      </c>
      <c r="D16" s="49"/>
      <c r="E16" s="49">
        <v>942510.44000000006</v>
      </c>
      <c r="F16" s="49">
        <v>140059.54</v>
      </c>
      <c r="G16" s="49">
        <v>53783.840000000004</v>
      </c>
      <c r="H16" s="49">
        <v>18467.64</v>
      </c>
      <c r="I16" s="49">
        <v>5620.08</v>
      </c>
    </row>
    <row r="17" spans="1:9">
      <c r="A17" t="s">
        <v>327</v>
      </c>
      <c r="B17" t="s">
        <v>1424</v>
      </c>
      <c r="C17" s="49">
        <v>65845.69</v>
      </c>
      <c r="D17" s="49"/>
      <c r="E17" s="49">
        <v>48415.11</v>
      </c>
      <c r="F17" s="49">
        <v>6065.95</v>
      </c>
      <c r="G17" s="49">
        <v>6200.55</v>
      </c>
      <c r="H17" s="49">
        <v>4922.8500000000004</v>
      </c>
      <c r="I17" s="49">
        <v>241.23</v>
      </c>
    </row>
    <row r="18" spans="1:9">
      <c r="A18" t="s">
        <v>569</v>
      </c>
      <c r="B18" t="s">
        <v>1425</v>
      </c>
      <c r="C18" s="49">
        <v>3327.13</v>
      </c>
      <c r="D18" s="49"/>
      <c r="E18" s="49">
        <v>3327.13</v>
      </c>
      <c r="F18" s="49">
        <v>0</v>
      </c>
      <c r="G18" s="49">
        <v>0</v>
      </c>
      <c r="H18" s="49">
        <v>0</v>
      </c>
      <c r="I18" s="49">
        <v>0</v>
      </c>
    </row>
    <row r="19" spans="1:9">
      <c r="A19" t="s">
        <v>177</v>
      </c>
      <c r="B19" t="s">
        <v>1426</v>
      </c>
      <c r="C19" s="49">
        <v>40955.26</v>
      </c>
      <c r="D19" s="49"/>
      <c r="E19" s="49">
        <v>33364.58</v>
      </c>
      <c r="F19" s="49">
        <v>3140.42</v>
      </c>
      <c r="G19" s="49">
        <v>3130.21</v>
      </c>
      <c r="H19" s="49">
        <v>1190.23</v>
      </c>
      <c r="I19" s="49">
        <v>129.82</v>
      </c>
    </row>
    <row r="20" spans="1:9">
      <c r="A20" t="s">
        <v>295</v>
      </c>
      <c r="B20" t="s">
        <v>1427</v>
      </c>
      <c r="C20" s="49">
        <v>125866.18</v>
      </c>
      <c r="D20" s="49"/>
      <c r="E20" s="49">
        <v>95426.28</v>
      </c>
      <c r="F20" s="49">
        <v>9940.6200000000008</v>
      </c>
      <c r="G20" s="49">
        <v>12214.58</v>
      </c>
      <c r="H20" s="49">
        <v>7776.99</v>
      </c>
      <c r="I20" s="49">
        <v>507.71</v>
      </c>
    </row>
    <row r="21" spans="1:9">
      <c r="A21" t="s">
        <v>85</v>
      </c>
      <c r="B21" t="s">
        <v>1428</v>
      </c>
      <c r="C21" s="49">
        <v>148797.45000000001</v>
      </c>
      <c r="D21" s="49"/>
      <c r="E21" s="49">
        <v>121414.41</v>
      </c>
      <c r="F21" s="49">
        <v>16141.41</v>
      </c>
      <c r="G21" s="49">
        <v>6019.75</v>
      </c>
      <c r="H21" s="49">
        <v>4566.96</v>
      </c>
      <c r="I21" s="49">
        <v>654.91999999999996</v>
      </c>
    </row>
    <row r="22" spans="1:9">
      <c r="A22" t="s">
        <v>83</v>
      </c>
      <c r="B22" t="s">
        <v>1429</v>
      </c>
      <c r="C22" s="49">
        <v>107613.41</v>
      </c>
      <c r="D22" s="49"/>
      <c r="E22" s="49">
        <v>90291.64</v>
      </c>
      <c r="F22" s="49">
        <v>8755.15</v>
      </c>
      <c r="G22" s="49">
        <v>4743.34</v>
      </c>
      <c r="H22" s="49">
        <v>3325.38</v>
      </c>
      <c r="I22" s="49">
        <v>497.9</v>
      </c>
    </row>
    <row r="23" spans="1:9">
      <c r="A23" t="s">
        <v>653</v>
      </c>
      <c r="B23" t="s">
        <v>1430</v>
      </c>
      <c r="C23" s="49">
        <v>716568.86</v>
      </c>
      <c r="D23" s="49"/>
      <c r="E23" s="49">
        <v>528345.77</v>
      </c>
      <c r="F23" s="49">
        <v>82647.87</v>
      </c>
      <c r="G23" s="49">
        <v>64724.979999999996</v>
      </c>
      <c r="H23" s="49">
        <v>37790.04</v>
      </c>
      <c r="I23" s="49">
        <v>3060.2</v>
      </c>
    </row>
    <row r="24" spans="1:9">
      <c r="A24" t="s">
        <v>451</v>
      </c>
      <c r="B24" t="s">
        <v>1431</v>
      </c>
      <c r="C24" s="49">
        <v>9858.32</v>
      </c>
      <c r="D24" s="49"/>
      <c r="E24" s="49">
        <v>8060.36</v>
      </c>
      <c r="F24" s="49">
        <v>806.1</v>
      </c>
      <c r="G24" s="49">
        <v>595.12</v>
      </c>
      <c r="H24" s="49">
        <v>396.74</v>
      </c>
      <c r="I24" s="49">
        <v>0</v>
      </c>
    </row>
    <row r="25" spans="1:9">
      <c r="A25" t="s">
        <v>457</v>
      </c>
      <c r="B25" t="s">
        <v>1432</v>
      </c>
      <c r="C25" s="49">
        <v>311073.28000000003</v>
      </c>
      <c r="D25" s="49"/>
      <c r="E25" s="49">
        <v>245479.15</v>
      </c>
      <c r="F25" s="49">
        <v>39465.81</v>
      </c>
      <c r="G25" s="49">
        <v>23284.010000000002</v>
      </c>
      <c r="H25" s="49">
        <v>1379.85</v>
      </c>
      <c r="I25" s="49">
        <v>1464.46</v>
      </c>
    </row>
    <row r="26" spans="1:9">
      <c r="A26" t="s">
        <v>137</v>
      </c>
      <c r="B26" t="s">
        <v>1433</v>
      </c>
      <c r="C26" s="49">
        <v>29173.39</v>
      </c>
      <c r="D26" s="49"/>
      <c r="E26" s="49">
        <v>24248.23</v>
      </c>
      <c r="F26" s="49">
        <v>2484.7600000000002</v>
      </c>
      <c r="G26" s="49">
        <v>2315.5700000000002</v>
      </c>
      <c r="H26" s="49">
        <v>0</v>
      </c>
      <c r="I26" s="49">
        <v>124.83</v>
      </c>
    </row>
    <row r="27" spans="1:9">
      <c r="A27" t="s">
        <v>529</v>
      </c>
      <c r="B27" t="s">
        <v>1434</v>
      </c>
      <c r="C27" s="49">
        <v>226138.65999999997</v>
      </c>
      <c r="D27" s="49"/>
      <c r="E27" s="49">
        <v>183378.34999999998</v>
      </c>
      <c r="F27" s="49">
        <v>30725.68</v>
      </c>
      <c r="G27" s="49">
        <v>9776.3700000000008</v>
      </c>
      <c r="H27" s="49">
        <v>1178.93</v>
      </c>
      <c r="I27" s="49">
        <v>1079.33</v>
      </c>
    </row>
    <row r="28" spans="1:9">
      <c r="A28" t="s">
        <v>79</v>
      </c>
      <c r="B28" t="s">
        <v>1435</v>
      </c>
      <c r="C28" s="49">
        <v>64920.81</v>
      </c>
      <c r="D28" s="49"/>
      <c r="E28" s="49">
        <v>54488.03</v>
      </c>
      <c r="F28" s="49">
        <v>5321.98</v>
      </c>
      <c r="G28" s="49">
        <v>5110.8</v>
      </c>
      <c r="H28" s="49">
        <v>0</v>
      </c>
      <c r="I28" s="49">
        <v>0</v>
      </c>
    </row>
    <row r="29" spans="1:9">
      <c r="A29" t="s">
        <v>479</v>
      </c>
      <c r="B29" t="s">
        <v>1436</v>
      </c>
      <c r="C29" s="49">
        <v>132832.11000000002</v>
      </c>
      <c r="D29" s="49"/>
      <c r="E29" s="49">
        <v>68399.650000000009</v>
      </c>
      <c r="F29" s="49">
        <v>34473.18</v>
      </c>
      <c r="G29" s="49">
        <v>22629.7</v>
      </c>
      <c r="H29" s="49">
        <v>5913.03</v>
      </c>
      <c r="I29" s="49">
        <v>1416.55</v>
      </c>
    </row>
    <row r="30" spans="1:9">
      <c r="A30" t="s">
        <v>477</v>
      </c>
      <c r="B30" t="s">
        <v>1437</v>
      </c>
      <c r="C30" s="49">
        <v>21596.58</v>
      </c>
      <c r="D30" s="49"/>
      <c r="E30" s="49">
        <v>18716.670000000002</v>
      </c>
      <c r="F30" s="49">
        <v>1189.8800000000001</v>
      </c>
      <c r="G30" s="49">
        <v>1690.0300000000002</v>
      </c>
      <c r="H30" s="49">
        <v>0</v>
      </c>
      <c r="I30" s="49">
        <v>0</v>
      </c>
    </row>
    <row r="31" spans="1:9">
      <c r="A31" t="s">
        <v>627</v>
      </c>
      <c r="B31" t="s">
        <v>1438</v>
      </c>
      <c r="C31" s="49">
        <v>2092244.18</v>
      </c>
      <c r="D31" s="49"/>
      <c r="E31" s="49">
        <v>1613630.72</v>
      </c>
      <c r="F31" s="49">
        <v>251846.52</v>
      </c>
      <c r="G31" s="49">
        <v>147033.60000000001</v>
      </c>
      <c r="H31" s="49">
        <v>70578.399999999994</v>
      </c>
      <c r="I31" s="49">
        <v>9154.94</v>
      </c>
    </row>
    <row r="32" spans="1:9">
      <c r="A32" t="s">
        <v>251</v>
      </c>
      <c r="B32" t="s">
        <v>1439</v>
      </c>
      <c r="C32" s="49">
        <v>170951.08999999997</v>
      </c>
      <c r="D32" s="49"/>
      <c r="E32" s="49">
        <v>149459.84999999998</v>
      </c>
      <c r="F32" s="49">
        <v>15870.11</v>
      </c>
      <c r="G32" s="49">
        <v>3190.41</v>
      </c>
      <c r="H32" s="49">
        <v>1611.56</v>
      </c>
      <c r="I32" s="49">
        <v>819.16</v>
      </c>
    </row>
    <row r="33" spans="1:9">
      <c r="A33" t="s">
        <v>291</v>
      </c>
      <c r="B33" t="s">
        <v>1440</v>
      </c>
      <c r="C33" s="49">
        <v>154160.63</v>
      </c>
      <c r="D33" s="49"/>
      <c r="E33" s="49">
        <v>128986.83</v>
      </c>
      <c r="F33" s="49">
        <v>20145.88</v>
      </c>
      <c r="G33" s="49">
        <v>3232.12</v>
      </c>
      <c r="H33" s="49">
        <v>1053.72</v>
      </c>
      <c r="I33" s="49">
        <v>742.08</v>
      </c>
    </row>
    <row r="34" spans="1:9">
      <c r="A34" t="s">
        <v>241</v>
      </c>
      <c r="B34" t="s">
        <v>1441</v>
      </c>
      <c r="C34" s="49">
        <v>13793.82</v>
      </c>
      <c r="D34" s="49"/>
      <c r="E34" s="49">
        <v>13249.64</v>
      </c>
      <c r="F34" s="49">
        <v>0</v>
      </c>
      <c r="G34" s="49">
        <v>481.07</v>
      </c>
      <c r="H34" s="49">
        <v>0</v>
      </c>
      <c r="I34" s="49">
        <v>63.11</v>
      </c>
    </row>
    <row r="35" spans="1:9">
      <c r="A35" t="s">
        <v>645</v>
      </c>
      <c r="B35" t="s">
        <v>1442</v>
      </c>
      <c r="C35" s="49">
        <v>269641.17</v>
      </c>
      <c r="D35" s="49"/>
      <c r="E35" s="49">
        <v>221298.97</v>
      </c>
      <c r="F35" s="49">
        <v>35503.279999999999</v>
      </c>
      <c r="G35" s="49">
        <v>9627.7099999999991</v>
      </c>
      <c r="H35" s="49">
        <v>1974.3</v>
      </c>
      <c r="I35" s="49">
        <v>1236.9100000000001</v>
      </c>
    </row>
    <row r="36" spans="1:9">
      <c r="A36" t="s">
        <v>207</v>
      </c>
      <c r="B36" t="s">
        <v>1443</v>
      </c>
      <c r="C36" s="49">
        <v>2313360.0499999998</v>
      </c>
      <c r="D36" s="49"/>
      <c r="E36" s="49">
        <v>1795874.75</v>
      </c>
      <c r="F36" s="49">
        <v>261586.96</v>
      </c>
      <c r="G36" s="49">
        <v>166275.63999999998</v>
      </c>
      <c r="H36" s="49">
        <v>79769.009999999995</v>
      </c>
      <c r="I36" s="49">
        <v>9853.69</v>
      </c>
    </row>
    <row r="37" spans="1:9">
      <c r="A37" t="s">
        <v>77</v>
      </c>
      <c r="B37" t="s">
        <v>1444</v>
      </c>
      <c r="C37" s="49">
        <v>644508.97</v>
      </c>
      <c r="D37" s="49"/>
      <c r="E37" s="49">
        <v>558327.41</v>
      </c>
      <c r="F37" s="49">
        <v>67768.539999999994</v>
      </c>
      <c r="G37" s="49">
        <v>9495.7900000000009</v>
      </c>
      <c r="H37" s="49">
        <v>5791.57</v>
      </c>
      <c r="I37" s="49">
        <v>3125.66</v>
      </c>
    </row>
    <row r="38" spans="1:9">
      <c r="A38" t="s">
        <v>51</v>
      </c>
      <c r="B38" t="s">
        <v>1445</v>
      </c>
      <c r="C38" s="49">
        <v>993802.53</v>
      </c>
      <c r="D38" s="49"/>
      <c r="E38" s="49">
        <v>799054.92</v>
      </c>
      <c r="F38" s="49">
        <v>134748.4</v>
      </c>
      <c r="G38" s="49">
        <v>35483.949999999997</v>
      </c>
      <c r="H38" s="49">
        <v>19517.060000000001</v>
      </c>
      <c r="I38" s="49">
        <v>4998.2</v>
      </c>
    </row>
    <row r="39" spans="1:9">
      <c r="A39" t="s">
        <v>501</v>
      </c>
      <c r="B39" t="s">
        <v>1446</v>
      </c>
      <c r="C39" s="49">
        <v>332242.14</v>
      </c>
      <c r="D39" s="49"/>
      <c r="E39" s="49">
        <v>285561.95</v>
      </c>
      <c r="F39" s="49">
        <v>35388.910000000003</v>
      </c>
      <c r="G39" s="49">
        <v>6856.54</v>
      </c>
      <c r="H39" s="49">
        <v>2841.03</v>
      </c>
      <c r="I39" s="49">
        <v>1593.71</v>
      </c>
    </row>
    <row r="40" spans="1:9">
      <c r="A40" t="s">
        <v>151</v>
      </c>
      <c r="B40" t="s">
        <v>1447</v>
      </c>
      <c r="C40" s="49">
        <v>38147.25</v>
      </c>
      <c r="D40" s="49"/>
      <c r="E40" s="49">
        <v>34549.769999999997</v>
      </c>
      <c r="F40" s="49">
        <v>0</v>
      </c>
      <c r="G40" s="49">
        <v>3413.75</v>
      </c>
      <c r="H40" s="49">
        <v>42.08</v>
      </c>
      <c r="I40" s="49">
        <v>141.65</v>
      </c>
    </row>
    <row r="41" spans="1:9">
      <c r="A41" t="s">
        <v>567</v>
      </c>
      <c r="B41" t="s">
        <v>1448</v>
      </c>
      <c r="C41" s="49">
        <v>14781.189999999999</v>
      </c>
      <c r="D41" s="49"/>
      <c r="E41" s="49">
        <v>12158.48</v>
      </c>
      <c r="F41" s="49">
        <v>2349.21</v>
      </c>
      <c r="G41" s="49">
        <v>273.5</v>
      </c>
      <c r="H41" s="49">
        <v>0</v>
      </c>
      <c r="I41" s="49">
        <v>0</v>
      </c>
    </row>
    <row r="42" spans="1:9">
      <c r="A42" t="s">
        <v>309</v>
      </c>
      <c r="B42" t="s">
        <v>1449</v>
      </c>
      <c r="C42" s="49">
        <v>592234.70000000007</v>
      </c>
      <c r="D42" s="49"/>
      <c r="E42" s="49">
        <v>455144.05000000005</v>
      </c>
      <c r="F42" s="49">
        <v>73403.47</v>
      </c>
      <c r="G42" s="49">
        <v>52077.09</v>
      </c>
      <c r="H42" s="49">
        <v>9133.23</v>
      </c>
      <c r="I42" s="49">
        <v>2476.86</v>
      </c>
    </row>
    <row r="43" spans="1:9">
      <c r="A43" t="s">
        <v>613</v>
      </c>
      <c r="B43" t="s">
        <v>1450</v>
      </c>
      <c r="C43" s="49">
        <v>57592.33</v>
      </c>
      <c r="D43" s="49"/>
      <c r="E43" s="49">
        <v>54944.92</v>
      </c>
      <c r="F43" s="49">
        <v>0</v>
      </c>
      <c r="G43" s="49">
        <v>2358.6</v>
      </c>
      <c r="H43" s="49">
        <v>0</v>
      </c>
      <c r="I43" s="49">
        <v>288.81</v>
      </c>
    </row>
    <row r="44" spans="1:9">
      <c r="A44" t="s">
        <v>87</v>
      </c>
      <c r="B44" t="s">
        <v>1451</v>
      </c>
      <c r="C44" s="49">
        <v>127784.99</v>
      </c>
      <c r="D44" s="49"/>
      <c r="E44" s="49">
        <v>102156.99</v>
      </c>
      <c r="F44" s="49">
        <v>16015.12</v>
      </c>
      <c r="G44" s="49">
        <v>8517.51</v>
      </c>
      <c r="H44" s="49">
        <v>530.15</v>
      </c>
      <c r="I44" s="49">
        <v>565.22</v>
      </c>
    </row>
    <row r="45" spans="1:9">
      <c r="A45" t="s">
        <v>271</v>
      </c>
      <c r="B45" t="s">
        <v>1452</v>
      </c>
      <c r="C45" s="49">
        <v>78793.759999999995</v>
      </c>
      <c r="D45" s="49"/>
      <c r="E45" s="49">
        <v>75900.36</v>
      </c>
      <c r="F45" s="49">
        <v>0</v>
      </c>
      <c r="G45" s="49">
        <v>2893.4</v>
      </c>
      <c r="H45" s="49">
        <v>0</v>
      </c>
      <c r="I45" s="49">
        <v>0</v>
      </c>
    </row>
    <row r="46" spans="1:9">
      <c r="A46" t="s">
        <v>681</v>
      </c>
      <c r="B46" t="s">
        <v>1453</v>
      </c>
      <c r="C46" s="49">
        <v>205162.32</v>
      </c>
      <c r="D46" s="49"/>
      <c r="E46" s="49">
        <v>162288.76</v>
      </c>
      <c r="F46" s="49">
        <v>26473.85</v>
      </c>
      <c r="G46" s="49">
        <v>10967.74</v>
      </c>
      <c r="H46" s="49">
        <v>4489.4799999999996</v>
      </c>
      <c r="I46" s="49">
        <v>942.49</v>
      </c>
    </row>
    <row r="47" spans="1:9">
      <c r="A47" t="s">
        <v>275</v>
      </c>
      <c r="B47" t="s">
        <v>1454</v>
      </c>
      <c r="C47" s="49">
        <v>450674.72</v>
      </c>
      <c r="D47" s="49"/>
      <c r="E47" s="49">
        <v>344663.08</v>
      </c>
      <c r="F47" s="49">
        <v>53210.85</v>
      </c>
      <c r="G47" s="49">
        <v>44201.919999999998</v>
      </c>
      <c r="H47" s="49">
        <v>6652.17</v>
      </c>
      <c r="I47" s="49">
        <v>1946.7</v>
      </c>
    </row>
    <row r="48" spans="1:9">
      <c r="A48" t="s">
        <v>429</v>
      </c>
      <c r="B48" t="s">
        <v>1455</v>
      </c>
      <c r="C48" s="49">
        <v>14833.08</v>
      </c>
      <c r="D48" s="49"/>
      <c r="E48" s="49">
        <v>11603.08</v>
      </c>
      <c r="F48" s="49">
        <v>0</v>
      </c>
      <c r="G48" s="49">
        <v>1875.16</v>
      </c>
      <c r="H48" s="49">
        <v>1300.1400000000001</v>
      </c>
      <c r="I48" s="49">
        <v>54.7</v>
      </c>
    </row>
    <row r="49" spans="1:9">
      <c r="A49" t="s">
        <v>71</v>
      </c>
      <c r="B49" t="s">
        <v>1456</v>
      </c>
      <c r="C49" s="49">
        <v>79486.89</v>
      </c>
      <c r="D49" s="49"/>
      <c r="E49" s="49">
        <v>55997.15</v>
      </c>
      <c r="F49" s="49">
        <v>5925.94</v>
      </c>
      <c r="G49" s="49">
        <v>9385.68</v>
      </c>
      <c r="H49" s="49">
        <v>7880.78</v>
      </c>
      <c r="I49" s="49">
        <v>297.33999999999997</v>
      </c>
    </row>
    <row r="50" spans="1:9">
      <c r="A50" t="s">
        <v>437</v>
      </c>
      <c r="B50" t="s">
        <v>1457</v>
      </c>
      <c r="C50" s="49">
        <v>4656.6000000000004</v>
      </c>
      <c r="D50" s="49"/>
      <c r="E50" s="49">
        <v>3674.61</v>
      </c>
      <c r="F50" s="49">
        <v>443.43</v>
      </c>
      <c r="G50" s="49">
        <v>353.43</v>
      </c>
      <c r="H50" s="49">
        <v>185.13</v>
      </c>
      <c r="I50" s="49">
        <v>0</v>
      </c>
    </row>
    <row r="51" spans="1:9">
      <c r="A51" t="s">
        <v>163</v>
      </c>
      <c r="B51" t="s">
        <v>1458</v>
      </c>
      <c r="C51" s="49">
        <v>544146.74</v>
      </c>
      <c r="D51" s="49"/>
      <c r="E51" s="49">
        <v>410835.52999999997</v>
      </c>
      <c r="F51" s="49">
        <v>54047.6</v>
      </c>
      <c r="G51" s="49">
        <v>53029.41</v>
      </c>
      <c r="H51" s="49">
        <v>23896.19</v>
      </c>
      <c r="I51" s="49">
        <v>2338.0100000000002</v>
      </c>
    </row>
    <row r="52" spans="1:9">
      <c r="A52" t="s">
        <v>325</v>
      </c>
      <c r="B52" t="s">
        <v>1459</v>
      </c>
      <c r="C52" s="49">
        <v>19822.45</v>
      </c>
      <c r="D52" s="49"/>
      <c r="E52" s="49">
        <v>18137.43</v>
      </c>
      <c r="F52" s="49">
        <v>728.51</v>
      </c>
      <c r="G52" s="49">
        <v>834.49</v>
      </c>
      <c r="H52" s="49">
        <v>122.02</v>
      </c>
      <c r="I52" s="49">
        <v>0</v>
      </c>
    </row>
    <row r="53" spans="1:9">
      <c r="A53" t="s">
        <v>649</v>
      </c>
      <c r="B53" t="s">
        <v>1460</v>
      </c>
      <c r="C53" s="49">
        <v>29597.45</v>
      </c>
      <c r="D53" s="49"/>
      <c r="E53" s="49">
        <v>26949.48</v>
      </c>
      <c r="F53" s="49">
        <v>0</v>
      </c>
      <c r="G53" s="49">
        <v>2235.63</v>
      </c>
      <c r="H53" s="49">
        <v>308.56</v>
      </c>
      <c r="I53" s="49">
        <v>103.78</v>
      </c>
    </row>
    <row r="54" spans="1:9">
      <c r="A54" t="s">
        <v>273</v>
      </c>
      <c r="B54" t="s">
        <v>1461</v>
      </c>
      <c r="C54" s="49">
        <v>4037.26</v>
      </c>
      <c r="D54" s="49"/>
      <c r="E54" s="49">
        <v>3368.86</v>
      </c>
      <c r="F54" s="49">
        <v>233.61</v>
      </c>
      <c r="G54" s="49">
        <v>434.78999999999996</v>
      </c>
      <c r="H54" s="49">
        <v>0</v>
      </c>
      <c r="I54" s="49">
        <v>0</v>
      </c>
    </row>
    <row r="55" spans="1:9">
      <c r="A55" t="s">
        <v>141</v>
      </c>
      <c r="B55" t="s">
        <v>1462</v>
      </c>
      <c r="C55" s="49">
        <v>26694.11</v>
      </c>
      <c r="D55" s="49"/>
      <c r="E55" s="49">
        <v>21729.13</v>
      </c>
      <c r="F55" s="49">
        <v>2435.7199999999998</v>
      </c>
      <c r="G55" s="49">
        <v>2529.2600000000002</v>
      </c>
      <c r="H55" s="49">
        <v>0</v>
      </c>
      <c r="I55" s="49">
        <v>0</v>
      </c>
    </row>
    <row r="56" spans="1:9">
      <c r="A56" t="s">
        <v>427</v>
      </c>
      <c r="B56" t="s">
        <v>1463</v>
      </c>
      <c r="C56" s="49">
        <v>6131.15</v>
      </c>
      <c r="D56" s="49"/>
      <c r="E56" s="49">
        <v>5367.74</v>
      </c>
      <c r="F56" s="49">
        <v>324.37</v>
      </c>
      <c r="G56" s="49">
        <v>425.91999999999996</v>
      </c>
      <c r="H56" s="49">
        <v>0</v>
      </c>
      <c r="I56" s="49">
        <v>13.12</v>
      </c>
    </row>
    <row r="57" spans="1:9">
      <c r="A57" t="s">
        <v>263</v>
      </c>
      <c r="B57" t="s">
        <v>1464</v>
      </c>
      <c r="C57" s="49">
        <v>29681.25</v>
      </c>
      <c r="D57" s="49"/>
      <c r="E57" s="49">
        <v>24991.56</v>
      </c>
      <c r="F57" s="49">
        <v>2169.36</v>
      </c>
      <c r="G57" s="49">
        <v>2520.33</v>
      </c>
      <c r="H57" s="49">
        <v>0</v>
      </c>
      <c r="I57" s="49">
        <v>0</v>
      </c>
    </row>
    <row r="58" spans="1:9">
      <c r="A58" t="s">
        <v>497</v>
      </c>
      <c r="B58" t="s">
        <v>1465</v>
      </c>
      <c r="C58" s="49">
        <v>35892.94</v>
      </c>
      <c r="D58" s="49"/>
      <c r="E58" s="49">
        <v>28638.639999999999</v>
      </c>
      <c r="F58" s="49">
        <v>3801.73</v>
      </c>
      <c r="G58" s="49">
        <v>3300.87</v>
      </c>
      <c r="H58" s="49">
        <v>0</v>
      </c>
      <c r="I58" s="49">
        <v>151.69999999999999</v>
      </c>
    </row>
    <row r="59" spans="1:9">
      <c r="A59" t="s">
        <v>441</v>
      </c>
      <c r="B59" t="s">
        <v>1466</v>
      </c>
      <c r="C59" s="49">
        <v>1841766.78</v>
      </c>
      <c r="D59" s="49"/>
      <c r="E59" s="49">
        <v>1323579.44</v>
      </c>
      <c r="F59" s="49">
        <v>183797.74</v>
      </c>
      <c r="G59" s="49">
        <v>183015.27000000002</v>
      </c>
      <c r="H59" s="49">
        <v>144112.07</v>
      </c>
      <c r="I59" s="49">
        <v>7262.26</v>
      </c>
    </row>
    <row r="60" spans="1:9">
      <c r="A60" t="s">
        <v>387</v>
      </c>
      <c r="B60" t="s">
        <v>1467</v>
      </c>
      <c r="C60" s="49">
        <v>213710.44</v>
      </c>
      <c r="D60" s="49"/>
      <c r="E60" s="49">
        <v>151098.04</v>
      </c>
      <c r="F60" s="49">
        <v>23556.34</v>
      </c>
      <c r="G60" s="49">
        <v>21891.98</v>
      </c>
      <c r="H60" s="49">
        <v>16342.21</v>
      </c>
      <c r="I60" s="49">
        <v>821.87</v>
      </c>
    </row>
    <row r="61" spans="1:9">
      <c r="A61" t="s">
        <v>565</v>
      </c>
      <c r="B61" t="s">
        <v>1468</v>
      </c>
      <c r="C61" s="49">
        <v>2915.85</v>
      </c>
      <c r="D61" s="49"/>
      <c r="E61" s="49">
        <v>2915.85</v>
      </c>
      <c r="F61" s="49">
        <v>0</v>
      </c>
      <c r="G61" s="49">
        <v>0</v>
      </c>
      <c r="H61" s="49">
        <v>0</v>
      </c>
      <c r="I61" s="49">
        <v>0</v>
      </c>
    </row>
    <row r="62" spans="1:9">
      <c r="A62" t="s">
        <v>269</v>
      </c>
      <c r="B62" t="s">
        <v>1469</v>
      </c>
      <c r="C62" s="49">
        <v>18744.759999999998</v>
      </c>
      <c r="D62" s="49"/>
      <c r="E62" s="49">
        <v>18499.719999999998</v>
      </c>
      <c r="F62" s="49">
        <v>0</v>
      </c>
      <c r="G62" s="49">
        <v>245.04</v>
      </c>
      <c r="H62" s="49">
        <v>0</v>
      </c>
      <c r="I62" s="49">
        <v>0</v>
      </c>
    </row>
    <row r="63" spans="1:9">
      <c r="A63" t="s">
        <v>455</v>
      </c>
      <c r="B63" t="s">
        <v>1470</v>
      </c>
      <c r="C63" s="49">
        <v>43127.740000000005</v>
      </c>
      <c r="D63" s="49"/>
      <c r="E63" s="49">
        <v>36538.520000000004</v>
      </c>
      <c r="F63" s="49">
        <v>4213.13</v>
      </c>
      <c r="G63" s="49">
        <v>2148.5500000000002</v>
      </c>
      <c r="H63" s="49">
        <v>81.680000000000007</v>
      </c>
      <c r="I63" s="49">
        <v>145.86000000000001</v>
      </c>
    </row>
    <row r="64" spans="1:9">
      <c r="A64" t="s">
        <v>635</v>
      </c>
      <c r="B64" t="s">
        <v>1471</v>
      </c>
      <c r="C64" s="49">
        <v>263746.93</v>
      </c>
      <c r="D64" s="49"/>
      <c r="E64" s="49">
        <v>180473.88999999998</v>
      </c>
      <c r="F64" s="49">
        <v>23726.1</v>
      </c>
      <c r="G64" s="49">
        <v>30852.71</v>
      </c>
      <c r="H64" s="49">
        <v>27730.69</v>
      </c>
      <c r="I64" s="49">
        <v>963.54</v>
      </c>
    </row>
    <row r="65" spans="1:9">
      <c r="A65" t="s">
        <v>483</v>
      </c>
      <c r="B65" t="s">
        <v>1472</v>
      </c>
      <c r="C65" s="49">
        <v>330666.53000000003</v>
      </c>
      <c r="D65" s="49"/>
      <c r="E65" s="49">
        <v>233796.42</v>
      </c>
      <c r="F65" s="49">
        <v>33940.269999999997</v>
      </c>
      <c r="G65" s="49">
        <v>33844.300000000003</v>
      </c>
      <c r="H65" s="49">
        <v>27814.85</v>
      </c>
      <c r="I65" s="49">
        <v>1270.69</v>
      </c>
    </row>
    <row r="66" spans="1:9">
      <c r="A66" t="s">
        <v>643</v>
      </c>
      <c r="B66" t="s">
        <v>1473</v>
      </c>
      <c r="C66" s="49">
        <v>91067.650000000009</v>
      </c>
      <c r="D66" s="49"/>
      <c r="E66" s="49">
        <v>65382.840000000004</v>
      </c>
      <c r="F66" s="49">
        <v>9747.9500000000007</v>
      </c>
      <c r="G66" s="49">
        <v>10134.630000000001</v>
      </c>
      <c r="H66" s="49">
        <v>5445.99</v>
      </c>
      <c r="I66" s="49">
        <v>356.24</v>
      </c>
    </row>
    <row r="67" spans="1:9">
      <c r="A67" t="s">
        <v>133</v>
      </c>
      <c r="B67" t="s">
        <v>1474</v>
      </c>
      <c r="C67" s="49">
        <v>26333.85</v>
      </c>
      <c r="D67" s="49"/>
      <c r="E67" s="49">
        <v>23788.19</v>
      </c>
      <c r="F67" s="49">
        <v>1619.99</v>
      </c>
      <c r="G67" s="49">
        <v>840.11</v>
      </c>
      <c r="H67" s="49">
        <v>0</v>
      </c>
      <c r="I67" s="49">
        <v>85.56</v>
      </c>
    </row>
    <row r="68" spans="1:9">
      <c r="A68" t="s">
        <v>545</v>
      </c>
      <c r="B68" t="s">
        <v>1475</v>
      </c>
      <c r="C68" s="49">
        <v>57281.38</v>
      </c>
      <c r="D68" s="49"/>
      <c r="E68" s="49">
        <v>42384.24</v>
      </c>
      <c r="F68" s="49">
        <v>5862.08</v>
      </c>
      <c r="G68" s="49">
        <v>6551.1900000000005</v>
      </c>
      <c r="H68" s="49">
        <v>2260.87</v>
      </c>
      <c r="I68" s="49">
        <v>223</v>
      </c>
    </row>
    <row r="69" spans="1:9">
      <c r="A69" t="s">
        <v>515</v>
      </c>
      <c r="B69" t="s">
        <v>1476</v>
      </c>
      <c r="C69" s="49">
        <v>186093.03000000003</v>
      </c>
      <c r="D69" s="49"/>
      <c r="E69" s="49">
        <v>130501.99</v>
      </c>
      <c r="F69" s="49">
        <v>19049.7</v>
      </c>
      <c r="G69" s="49">
        <v>18573.61</v>
      </c>
      <c r="H69" s="49">
        <v>17260.86</v>
      </c>
      <c r="I69" s="49">
        <v>706.87</v>
      </c>
    </row>
    <row r="70" spans="1:9">
      <c r="A70" t="s">
        <v>355</v>
      </c>
      <c r="B70" t="s">
        <v>1477</v>
      </c>
      <c r="C70" s="49">
        <v>847676.63</v>
      </c>
      <c r="D70" s="49"/>
      <c r="E70" s="49">
        <v>635726.75</v>
      </c>
      <c r="F70" s="49">
        <v>99188.02</v>
      </c>
      <c r="G70" s="49">
        <v>80640.040000000008</v>
      </c>
      <c r="H70" s="49">
        <v>28625.5</v>
      </c>
      <c r="I70" s="49">
        <v>3496.32</v>
      </c>
    </row>
    <row r="71" spans="1:9">
      <c r="A71" t="s">
        <v>181</v>
      </c>
      <c r="B71" t="s">
        <v>1478</v>
      </c>
      <c r="C71" s="49">
        <v>255693.59999999998</v>
      </c>
      <c r="D71" s="49"/>
      <c r="E71" s="49">
        <v>199020.52</v>
      </c>
      <c r="F71" s="49">
        <v>27434.95</v>
      </c>
      <c r="G71" s="49">
        <v>20781.02</v>
      </c>
      <c r="H71" s="49">
        <v>8457.11</v>
      </c>
      <c r="I71" s="49">
        <v>0</v>
      </c>
    </row>
    <row r="72" spans="1:9">
      <c r="A72" t="s">
        <v>673</v>
      </c>
      <c r="B72" t="s">
        <v>1479</v>
      </c>
      <c r="C72" s="49">
        <v>22146.560000000001</v>
      </c>
      <c r="D72" s="49"/>
      <c r="E72" s="49">
        <v>19566</v>
      </c>
      <c r="F72" s="49">
        <v>1251.75</v>
      </c>
      <c r="G72" s="49">
        <v>1280.6799999999998</v>
      </c>
      <c r="H72" s="49">
        <v>0</v>
      </c>
      <c r="I72" s="49">
        <v>48.13</v>
      </c>
    </row>
    <row r="73" spans="1:9">
      <c r="A73" t="s">
        <v>229</v>
      </c>
      <c r="B73" t="s">
        <v>1480</v>
      </c>
      <c r="C73" s="49">
        <v>65719.570000000007</v>
      </c>
      <c r="D73" s="49"/>
      <c r="E73" s="49">
        <v>50291.68</v>
      </c>
      <c r="F73" s="49">
        <v>7499.43</v>
      </c>
      <c r="G73" s="49">
        <v>7638.1399999999994</v>
      </c>
      <c r="H73" s="49">
        <v>0</v>
      </c>
      <c r="I73" s="49">
        <v>290.32</v>
      </c>
    </row>
    <row r="74" spans="1:9">
      <c r="A74" t="s">
        <v>31</v>
      </c>
      <c r="B74" t="s">
        <v>1481</v>
      </c>
      <c r="C74" s="49">
        <v>305959.77</v>
      </c>
      <c r="D74" s="49"/>
      <c r="E74" s="49">
        <v>226287.31</v>
      </c>
      <c r="F74" s="49">
        <v>36372.370000000003</v>
      </c>
      <c r="G74" s="49">
        <v>32570.79</v>
      </c>
      <c r="H74" s="49">
        <v>9472.64</v>
      </c>
      <c r="I74" s="49">
        <v>1256.6600000000001</v>
      </c>
    </row>
    <row r="75" spans="1:9">
      <c r="A75" t="s">
        <v>255</v>
      </c>
      <c r="B75" t="s">
        <v>1482</v>
      </c>
      <c r="C75" s="49">
        <v>144378.49</v>
      </c>
      <c r="D75" s="49"/>
      <c r="E75" s="49">
        <v>108403.84</v>
      </c>
      <c r="F75" s="49">
        <v>17039.18</v>
      </c>
      <c r="G75" s="49">
        <v>16281.89</v>
      </c>
      <c r="H75" s="49">
        <v>2021.04</v>
      </c>
      <c r="I75" s="49">
        <v>632.54</v>
      </c>
    </row>
    <row r="76" spans="1:9">
      <c r="A76" t="s">
        <v>385</v>
      </c>
      <c r="B76" t="s">
        <v>1483</v>
      </c>
      <c r="C76" s="49">
        <v>74388.38</v>
      </c>
      <c r="D76" s="49"/>
      <c r="E76" s="49">
        <v>58138.799999999996</v>
      </c>
      <c r="F76" s="49">
        <v>7709.61</v>
      </c>
      <c r="G76" s="49">
        <v>7845.72</v>
      </c>
      <c r="H76" s="49">
        <v>406.74</v>
      </c>
      <c r="I76" s="49">
        <v>287.51</v>
      </c>
    </row>
    <row r="77" spans="1:9">
      <c r="A77" t="s">
        <v>335</v>
      </c>
      <c r="B77" t="s">
        <v>1484</v>
      </c>
      <c r="C77" s="49">
        <v>29185.3</v>
      </c>
      <c r="D77" s="49"/>
      <c r="E77" s="49">
        <v>22904.6</v>
      </c>
      <c r="F77" s="49">
        <v>3549.99</v>
      </c>
      <c r="G77" s="49">
        <v>2499.3000000000002</v>
      </c>
      <c r="H77" s="49">
        <v>115</v>
      </c>
      <c r="I77" s="49">
        <v>116.41</v>
      </c>
    </row>
    <row r="78" spans="1:9">
      <c r="A78" t="s">
        <v>351</v>
      </c>
      <c r="B78" t="s">
        <v>1485</v>
      </c>
      <c r="C78" s="49">
        <v>125254.57999999999</v>
      </c>
      <c r="D78" s="49"/>
      <c r="E78" s="49">
        <v>103115.95999999999</v>
      </c>
      <c r="F78" s="49">
        <v>16683.349999999999</v>
      </c>
      <c r="G78" s="49">
        <v>4288.3599999999997</v>
      </c>
      <c r="H78" s="49">
        <v>599.5</v>
      </c>
      <c r="I78" s="49">
        <v>567.41</v>
      </c>
    </row>
    <row r="79" spans="1:9">
      <c r="A79" t="s">
        <v>173</v>
      </c>
      <c r="B79" t="s">
        <v>1486</v>
      </c>
      <c r="C79" s="49">
        <v>154013.63</v>
      </c>
      <c r="D79" s="49"/>
      <c r="E79" s="49">
        <v>115841.01000000001</v>
      </c>
      <c r="F79" s="49">
        <v>18249.27</v>
      </c>
      <c r="G79" s="49">
        <v>16406.61</v>
      </c>
      <c r="H79" s="49">
        <v>2858.9</v>
      </c>
      <c r="I79" s="49">
        <v>657.84</v>
      </c>
    </row>
    <row r="80" spans="1:9">
      <c r="A80" t="s">
        <v>595</v>
      </c>
      <c r="B80" t="s">
        <v>1487</v>
      </c>
      <c r="C80" s="49">
        <v>24003.71</v>
      </c>
      <c r="D80" s="49"/>
      <c r="E80" s="49">
        <v>20460.009999999998</v>
      </c>
      <c r="F80" s="49">
        <v>1695.19</v>
      </c>
      <c r="G80" s="49">
        <v>1848.5100000000002</v>
      </c>
      <c r="H80" s="49">
        <v>0</v>
      </c>
      <c r="I80" s="49">
        <v>0</v>
      </c>
    </row>
    <row r="81" spans="1:9">
      <c r="A81" t="s">
        <v>481</v>
      </c>
      <c r="B81" t="s">
        <v>1488</v>
      </c>
      <c r="C81" s="49">
        <v>25675.96</v>
      </c>
      <c r="D81" s="49"/>
      <c r="E81" s="49">
        <v>22279.07</v>
      </c>
      <c r="F81" s="49">
        <v>0</v>
      </c>
      <c r="G81" s="49">
        <v>2354.8200000000002</v>
      </c>
      <c r="H81" s="49">
        <v>1042.07</v>
      </c>
      <c r="I81" s="49">
        <v>0</v>
      </c>
    </row>
    <row r="82" spans="1:9">
      <c r="A82" t="s">
        <v>131</v>
      </c>
      <c r="B82" t="s">
        <v>1489</v>
      </c>
      <c r="C82" s="49">
        <v>17653.89</v>
      </c>
      <c r="D82" s="49"/>
      <c r="E82" s="49">
        <v>14992.98</v>
      </c>
      <c r="F82" s="49">
        <v>1952.63</v>
      </c>
      <c r="G82" s="49">
        <v>596.07000000000005</v>
      </c>
      <c r="H82" s="49">
        <v>46.29</v>
      </c>
      <c r="I82" s="49">
        <v>65.92</v>
      </c>
    </row>
    <row r="83" spans="1:9">
      <c r="A83" t="s">
        <v>519</v>
      </c>
      <c r="B83" t="s">
        <v>1490</v>
      </c>
      <c r="C83" s="49">
        <v>6293.8799999999992</v>
      </c>
      <c r="D83" s="49"/>
      <c r="E83" s="49">
        <v>5241.2299999999996</v>
      </c>
      <c r="F83" s="49">
        <v>619.27</v>
      </c>
      <c r="G83" s="49">
        <v>433.38</v>
      </c>
      <c r="H83" s="49">
        <v>0</v>
      </c>
      <c r="I83" s="49">
        <v>0</v>
      </c>
    </row>
    <row r="84" spans="1:9">
      <c r="A84" t="s">
        <v>677</v>
      </c>
      <c r="B84" t="s">
        <v>1491</v>
      </c>
      <c r="C84" s="49">
        <v>24638.28</v>
      </c>
      <c r="D84" s="49"/>
      <c r="E84" s="49">
        <v>21628.309999999998</v>
      </c>
      <c r="F84" s="49">
        <v>1586.4</v>
      </c>
      <c r="G84" s="49">
        <v>1423.57</v>
      </c>
      <c r="H84" s="49">
        <v>0</v>
      </c>
      <c r="I84" s="49">
        <v>0</v>
      </c>
    </row>
    <row r="85" spans="1:9">
      <c r="A85" t="s">
        <v>409</v>
      </c>
      <c r="B85" t="s">
        <v>1492</v>
      </c>
      <c r="C85" s="49">
        <v>58845.07</v>
      </c>
      <c r="D85" s="49"/>
      <c r="E85" s="49">
        <v>45113.56</v>
      </c>
      <c r="F85" s="49">
        <v>5737.13</v>
      </c>
      <c r="G85" s="49">
        <v>6649.3600000000006</v>
      </c>
      <c r="H85" s="49">
        <v>1119.21</v>
      </c>
      <c r="I85" s="49">
        <v>225.81</v>
      </c>
    </row>
    <row r="86" spans="1:9">
      <c r="A86" t="s">
        <v>405</v>
      </c>
      <c r="B86" t="s">
        <v>1493</v>
      </c>
      <c r="C86" s="49">
        <v>36881.83</v>
      </c>
      <c r="D86" s="49"/>
      <c r="E86" s="49">
        <v>29870.95</v>
      </c>
      <c r="F86" s="49">
        <v>3834.17</v>
      </c>
      <c r="G86" s="49">
        <v>3046.2799999999997</v>
      </c>
      <c r="H86" s="49">
        <v>0</v>
      </c>
      <c r="I86" s="49">
        <v>130.43</v>
      </c>
    </row>
    <row r="87" spans="1:9">
      <c r="A87" t="s">
        <v>401</v>
      </c>
      <c r="B87" t="s">
        <v>1494</v>
      </c>
      <c r="C87" s="49">
        <v>554706.57999999996</v>
      </c>
      <c r="D87" s="49"/>
      <c r="E87" s="49">
        <v>444672.58999999997</v>
      </c>
      <c r="F87" s="49">
        <v>78378.7</v>
      </c>
      <c r="G87" s="49">
        <v>23736.76</v>
      </c>
      <c r="H87" s="49">
        <v>5444.48</v>
      </c>
      <c r="I87" s="49">
        <v>2474.0500000000002</v>
      </c>
    </row>
    <row r="88" spans="1:9">
      <c r="A88" t="s">
        <v>135</v>
      </c>
      <c r="B88" t="s">
        <v>1495</v>
      </c>
      <c r="C88" s="49">
        <v>96525.689999999973</v>
      </c>
      <c r="D88" s="49"/>
      <c r="E88" s="49">
        <v>79101.199999999983</v>
      </c>
      <c r="F88" s="49">
        <v>12719.42</v>
      </c>
      <c r="G88" s="49">
        <v>3338.46</v>
      </c>
      <c r="H88" s="49">
        <v>914.33</v>
      </c>
      <c r="I88" s="49">
        <v>452.28</v>
      </c>
    </row>
    <row r="89" spans="1:9">
      <c r="A89" t="s">
        <v>551</v>
      </c>
      <c r="B89" t="s">
        <v>1496</v>
      </c>
      <c r="C89" s="49">
        <v>122238.06</v>
      </c>
      <c r="D89" s="49"/>
      <c r="E89" s="49">
        <v>102088.6</v>
      </c>
      <c r="F89" s="49">
        <v>15850.33</v>
      </c>
      <c r="G89" s="49">
        <v>3533.91</v>
      </c>
      <c r="H89" s="49">
        <v>168.7</v>
      </c>
      <c r="I89" s="49">
        <v>596.52</v>
      </c>
    </row>
    <row r="90" spans="1:9">
      <c r="A90" t="s">
        <v>473</v>
      </c>
      <c r="B90" t="s">
        <v>1497</v>
      </c>
      <c r="C90" s="49">
        <v>5075.88</v>
      </c>
      <c r="D90" s="49"/>
      <c r="E90" s="49">
        <v>3987.37</v>
      </c>
      <c r="F90" s="49">
        <v>556.94000000000005</v>
      </c>
      <c r="G90" s="49">
        <v>531.57000000000005</v>
      </c>
      <c r="H90" s="49">
        <v>0</v>
      </c>
      <c r="I90" s="49">
        <v>0</v>
      </c>
    </row>
    <row r="91" spans="1:9">
      <c r="A91" t="s">
        <v>73</v>
      </c>
      <c r="B91" t="s">
        <v>1498</v>
      </c>
      <c r="C91" s="49">
        <v>8346.32</v>
      </c>
      <c r="D91" s="49"/>
      <c r="E91" s="49">
        <v>6806.44</v>
      </c>
      <c r="F91" s="49">
        <v>674.51</v>
      </c>
      <c r="G91" s="49">
        <v>837.31999999999994</v>
      </c>
      <c r="H91" s="49">
        <v>0</v>
      </c>
      <c r="I91" s="49">
        <v>28.05</v>
      </c>
    </row>
    <row r="92" spans="1:9">
      <c r="A92" t="s">
        <v>475</v>
      </c>
      <c r="B92" t="s">
        <v>1499</v>
      </c>
      <c r="C92" s="49">
        <v>30843.710000000003</v>
      </c>
      <c r="D92" s="49"/>
      <c r="E92" s="49">
        <v>24470.670000000002</v>
      </c>
      <c r="F92" s="49">
        <v>4263.45</v>
      </c>
      <c r="G92" s="49">
        <v>1833.06</v>
      </c>
      <c r="H92" s="49">
        <v>0</v>
      </c>
      <c r="I92" s="49">
        <v>276.52999999999997</v>
      </c>
    </row>
    <row r="93" spans="1:9">
      <c r="A93" t="s">
        <v>107</v>
      </c>
      <c r="B93" t="s">
        <v>1500</v>
      </c>
      <c r="C93" s="49">
        <v>68586.459999999992</v>
      </c>
      <c r="D93" s="49"/>
      <c r="E93" s="49">
        <v>53907.61</v>
      </c>
      <c r="F93" s="49">
        <v>8896.64</v>
      </c>
      <c r="G93" s="49">
        <v>5080.05</v>
      </c>
      <c r="H93" s="49">
        <v>397.42</v>
      </c>
      <c r="I93" s="49">
        <v>304.74</v>
      </c>
    </row>
    <row r="94" spans="1:9">
      <c r="A94" t="s">
        <v>459</v>
      </c>
      <c r="B94" t="s">
        <v>1501</v>
      </c>
      <c r="C94" s="49">
        <v>106156.07</v>
      </c>
      <c r="D94" s="49"/>
      <c r="E94" s="49">
        <v>83183.37000000001</v>
      </c>
      <c r="F94" s="49">
        <v>13279.44</v>
      </c>
      <c r="G94" s="49">
        <v>8344.880000000001</v>
      </c>
      <c r="H94" s="49">
        <v>831.55</v>
      </c>
      <c r="I94" s="49">
        <v>516.83000000000004</v>
      </c>
    </row>
    <row r="95" spans="1:9">
      <c r="A95" t="s">
        <v>521</v>
      </c>
      <c r="B95" t="s">
        <v>1502</v>
      </c>
      <c r="C95" s="49">
        <v>5619358.6300000008</v>
      </c>
      <c r="D95" s="49"/>
      <c r="E95" s="49">
        <v>4465425.4000000004</v>
      </c>
      <c r="F95" s="49">
        <v>661147.14</v>
      </c>
      <c r="G95" s="49">
        <v>297617.90999999997</v>
      </c>
      <c r="H95" s="49">
        <v>171091.57</v>
      </c>
      <c r="I95" s="49">
        <v>24076.61</v>
      </c>
    </row>
    <row r="96" spans="1:9">
      <c r="A96" t="s">
        <v>211</v>
      </c>
      <c r="B96" t="s">
        <v>1503</v>
      </c>
      <c r="C96" s="49">
        <v>2250711.8899999997</v>
      </c>
      <c r="D96" s="49"/>
      <c r="E96" s="49">
        <v>1638561.65</v>
      </c>
      <c r="F96" s="49">
        <v>253734.86</v>
      </c>
      <c r="G96" s="49">
        <v>222061.39</v>
      </c>
      <c r="H96" s="49">
        <v>127112.81</v>
      </c>
      <c r="I96" s="49">
        <v>9241.18</v>
      </c>
    </row>
    <row r="97" spans="1:9">
      <c r="A97" t="s">
        <v>179</v>
      </c>
      <c r="B97" t="s">
        <v>1504</v>
      </c>
      <c r="C97" s="49">
        <v>438004.43</v>
      </c>
      <c r="D97" s="49"/>
      <c r="E97" s="49">
        <v>359690.79</v>
      </c>
      <c r="F97" s="49">
        <v>56545.36</v>
      </c>
      <c r="G97" s="49">
        <v>12426.47</v>
      </c>
      <c r="H97" s="49">
        <v>7426.92</v>
      </c>
      <c r="I97" s="49">
        <v>1914.89</v>
      </c>
    </row>
    <row r="98" spans="1:9">
      <c r="A98" t="s">
        <v>341</v>
      </c>
      <c r="B98" t="s">
        <v>1505</v>
      </c>
      <c r="C98" s="49">
        <v>394850.47000000003</v>
      </c>
      <c r="D98" s="49"/>
      <c r="E98" s="49">
        <v>349872.17000000004</v>
      </c>
      <c r="F98" s="49">
        <v>37482.910000000003</v>
      </c>
      <c r="G98" s="49">
        <v>1410.04</v>
      </c>
      <c r="H98" s="49">
        <v>4180.47</v>
      </c>
      <c r="I98" s="49">
        <v>1904.88</v>
      </c>
    </row>
    <row r="99" spans="1:9">
      <c r="A99" t="s">
        <v>249</v>
      </c>
      <c r="B99" t="s">
        <v>1506</v>
      </c>
      <c r="C99" s="49">
        <v>2133703.48</v>
      </c>
      <c r="D99" s="49"/>
      <c r="E99" s="49">
        <v>1529313.36</v>
      </c>
      <c r="F99" s="49">
        <v>235139.82</v>
      </c>
      <c r="G99" s="49">
        <v>213366.31</v>
      </c>
      <c r="H99" s="49">
        <v>147410.5</v>
      </c>
      <c r="I99" s="49">
        <v>8473.49</v>
      </c>
    </row>
    <row r="100" spans="1:9">
      <c r="A100" t="s">
        <v>629</v>
      </c>
      <c r="B100" t="s">
        <v>1507</v>
      </c>
      <c r="C100" s="49">
        <v>129954</v>
      </c>
      <c r="D100" s="49"/>
      <c r="E100" s="49">
        <v>109514.86</v>
      </c>
      <c r="F100" s="49">
        <v>14493.56</v>
      </c>
      <c r="G100" s="49">
        <v>3473.1</v>
      </c>
      <c r="H100" s="49">
        <v>1803.3</v>
      </c>
      <c r="I100" s="49">
        <v>669.18</v>
      </c>
    </row>
    <row r="101" spans="1:9">
      <c r="A101" t="s">
        <v>495</v>
      </c>
      <c r="B101" t="s">
        <v>1508</v>
      </c>
      <c r="C101" s="49">
        <v>1663089.19</v>
      </c>
      <c r="D101" s="49"/>
      <c r="E101" s="49">
        <v>1254977.68</v>
      </c>
      <c r="F101" s="49">
        <v>197384.88</v>
      </c>
      <c r="G101" s="49">
        <v>121524.99</v>
      </c>
      <c r="H101" s="49">
        <v>82273.899999999994</v>
      </c>
      <c r="I101" s="49">
        <v>6927.74</v>
      </c>
    </row>
    <row r="102" spans="1:9">
      <c r="A102" t="s">
        <v>539</v>
      </c>
      <c r="B102" t="s">
        <v>1509</v>
      </c>
      <c r="C102" s="49">
        <v>21567.53</v>
      </c>
      <c r="D102" s="49"/>
      <c r="E102" s="49">
        <v>20538.27</v>
      </c>
      <c r="F102" s="49">
        <v>448.36</v>
      </c>
      <c r="G102" s="49">
        <v>580.9</v>
      </c>
      <c r="H102" s="49">
        <v>0</v>
      </c>
      <c r="I102" s="49">
        <v>0</v>
      </c>
    </row>
    <row r="103" spans="1:9">
      <c r="A103" t="s">
        <v>53</v>
      </c>
      <c r="B103" t="s">
        <v>1510</v>
      </c>
      <c r="C103" s="49">
        <v>1891310.53</v>
      </c>
      <c r="D103" s="49"/>
      <c r="E103" s="49">
        <v>1605195.73</v>
      </c>
      <c r="F103" s="49">
        <v>157880.53</v>
      </c>
      <c r="G103" s="49">
        <v>35118.630000000005</v>
      </c>
      <c r="H103" s="49">
        <v>84086.09</v>
      </c>
      <c r="I103" s="49">
        <v>9029.5499999999993</v>
      </c>
    </row>
    <row r="104" spans="1:9">
      <c r="A104" t="s">
        <v>617</v>
      </c>
      <c r="B104" t="s">
        <v>1511</v>
      </c>
      <c r="C104" s="49">
        <v>312496.59999999998</v>
      </c>
      <c r="D104" s="49"/>
      <c r="E104" s="49">
        <v>219632.07</v>
      </c>
      <c r="F104" s="49">
        <v>32924.57</v>
      </c>
      <c r="G104" s="49">
        <v>33102.85</v>
      </c>
      <c r="H104" s="49">
        <v>25642.22</v>
      </c>
      <c r="I104" s="49">
        <v>1194.8900000000001</v>
      </c>
    </row>
    <row r="105" spans="1:9">
      <c r="A105" t="s">
        <v>507</v>
      </c>
      <c r="B105" t="s">
        <v>1512</v>
      </c>
      <c r="C105" s="49">
        <v>292542</v>
      </c>
      <c r="D105" s="49"/>
      <c r="E105" s="49">
        <v>251235.51</v>
      </c>
      <c r="F105" s="49">
        <v>30540.86</v>
      </c>
      <c r="G105" s="49">
        <v>4137.4399999999996</v>
      </c>
      <c r="H105" s="49">
        <v>5183.3900000000003</v>
      </c>
      <c r="I105" s="49">
        <v>1444.8</v>
      </c>
    </row>
    <row r="106" spans="1:9">
      <c r="A106" t="s">
        <v>47</v>
      </c>
      <c r="B106" t="s">
        <v>1513</v>
      </c>
      <c r="C106" s="49">
        <v>1872584.93</v>
      </c>
      <c r="D106" s="49"/>
      <c r="E106" s="49">
        <v>1440119.97</v>
      </c>
      <c r="F106" s="49">
        <v>174802.02</v>
      </c>
      <c r="G106" s="49">
        <v>145901.19</v>
      </c>
      <c r="H106" s="49">
        <v>103889.05</v>
      </c>
      <c r="I106" s="49">
        <v>7872.7</v>
      </c>
    </row>
    <row r="107" spans="1:9">
      <c r="A107" t="s">
        <v>597</v>
      </c>
      <c r="B107" t="s">
        <v>1514</v>
      </c>
      <c r="C107" s="49">
        <v>930868.19000000006</v>
      </c>
      <c r="D107" s="49"/>
      <c r="E107" s="49">
        <v>796722.60000000009</v>
      </c>
      <c r="F107" s="49">
        <v>107593.08</v>
      </c>
      <c r="G107" s="49">
        <v>12010.06</v>
      </c>
      <c r="H107" s="49">
        <v>10271.6</v>
      </c>
      <c r="I107" s="49">
        <v>4270.8500000000004</v>
      </c>
    </row>
    <row r="108" spans="1:9">
      <c r="A108" t="s">
        <v>543</v>
      </c>
      <c r="B108" t="s">
        <v>1515</v>
      </c>
      <c r="C108" s="49">
        <v>685908.19000000006</v>
      </c>
      <c r="D108" s="49"/>
      <c r="E108" s="49">
        <v>601625.69000000006</v>
      </c>
      <c r="F108" s="49">
        <v>67002.880000000005</v>
      </c>
      <c r="G108" s="49">
        <v>6514</v>
      </c>
      <c r="H108" s="49">
        <v>7406.02</v>
      </c>
      <c r="I108" s="49">
        <v>3359.6</v>
      </c>
    </row>
    <row r="109" spans="1:9">
      <c r="A109" t="s">
        <v>267</v>
      </c>
      <c r="B109" t="s">
        <v>1516</v>
      </c>
      <c r="C109" s="49">
        <v>1895792.86</v>
      </c>
      <c r="D109" s="49"/>
      <c r="E109" s="49">
        <v>1674906.7000000002</v>
      </c>
      <c r="F109" s="49">
        <v>157760.35999999999</v>
      </c>
      <c r="G109" s="49">
        <v>18032.63</v>
      </c>
      <c r="H109" s="49">
        <v>35941.14</v>
      </c>
      <c r="I109" s="49">
        <v>9152.0300000000007</v>
      </c>
    </row>
    <row r="110" spans="1:9">
      <c r="A110" t="s">
        <v>535</v>
      </c>
      <c r="B110" t="s">
        <v>1517</v>
      </c>
      <c r="C110" s="49">
        <v>957176.64</v>
      </c>
      <c r="D110" s="49"/>
      <c r="E110" s="49">
        <v>800791.41</v>
      </c>
      <c r="F110" s="49">
        <v>103309.26</v>
      </c>
      <c r="G110" s="49">
        <v>24918.91</v>
      </c>
      <c r="H110" s="49">
        <v>23760.99</v>
      </c>
      <c r="I110" s="49">
        <v>4396.07</v>
      </c>
    </row>
    <row r="111" spans="1:9">
      <c r="A111" t="s">
        <v>299</v>
      </c>
      <c r="B111" t="s">
        <v>1518</v>
      </c>
      <c r="C111" s="49">
        <v>3150381.17</v>
      </c>
      <c r="D111" s="49"/>
      <c r="E111" s="49">
        <v>2732654.07</v>
      </c>
      <c r="F111" s="49">
        <v>273936.03999999998</v>
      </c>
      <c r="G111" s="49">
        <v>31302.240000000002</v>
      </c>
      <c r="H111" s="49">
        <v>97906.81</v>
      </c>
      <c r="I111" s="49">
        <v>14582.01</v>
      </c>
    </row>
    <row r="112" spans="1:9">
      <c r="A112" t="s">
        <v>279</v>
      </c>
      <c r="B112" t="s">
        <v>1519</v>
      </c>
      <c r="C112" s="49">
        <v>2790990.9</v>
      </c>
      <c r="D112" s="49"/>
      <c r="E112" s="49">
        <v>2159725.71</v>
      </c>
      <c r="F112" s="49">
        <v>272050.68</v>
      </c>
      <c r="G112" s="49">
        <v>194085.83</v>
      </c>
      <c r="H112" s="49">
        <v>153363.45000000001</v>
      </c>
      <c r="I112" s="49">
        <v>11765.23</v>
      </c>
    </row>
    <row r="113" spans="1:9">
      <c r="A113" t="s">
        <v>399</v>
      </c>
      <c r="B113" t="s">
        <v>1520</v>
      </c>
      <c r="C113" s="49">
        <v>2304827.0099999998</v>
      </c>
      <c r="D113" s="49"/>
      <c r="E113" s="49">
        <v>1951352.4799999997</v>
      </c>
      <c r="F113" s="49">
        <v>259784.6</v>
      </c>
      <c r="G113" s="49">
        <v>26782.5</v>
      </c>
      <c r="H113" s="49">
        <v>56234.48</v>
      </c>
      <c r="I113" s="49">
        <v>10672.95</v>
      </c>
    </row>
    <row r="114" spans="1:9">
      <c r="A114" t="s">
        <v>585</v>
      </c>
      <c r="B114" t="s">
        <v>1521</v>
      </c>
      <c r="C114" s="49">
        <v>30143.579999999998</v>
      </c>
      <c r="D114" s="49"/>
      <c r="E114" s="49">
        <v>24045.17</v>
      </c>
      <c r="F114" s="49">
        <v>3301.5</v>
      </c>
      <c r="G114" s="49">
        <v>1300.81</v>
      </c>
      <c r="H114" s="49">
        <v>1352.12</v>
      </c>
      <c r="I114" s="49">
        <v>143.97999999999999</v>
      </c>
    </row>
    <row r="115" spans="1:9">
      <c r="A115" t="s">
        <v>367</v>
      </c>
      <c r="B115" t="s">
        <v>1522</v>
      </c>
      <c r="C115" s="49">
        <v>61604.89</v>
      </c>
      <c r="D115" s="49"/>
      <c r="E115" s="49">
        <v>54519.93</v>
      </c>
      <c r="F115" s="49">
        <v>0</v>
      </c>
      <c r="G115" s="49">
        <v>7084.96</v>
      </c>
      <c r="H115" s="49">
        <v>0</v>
      </c>
      <c r="I115" s="49">
        <v>0</v>
      </c>
    </row>
    <row r="116" spans="1:9">
      <c r="A116" t="s">
        <v>581</v>
      </c>
      <c r="B116" t="s">
        <v>1523</v>
      </c>
      <c r="C116" s="49">
        <v>48478.1</v>
      </c>
      <c r="D116" s="49"/>
      <c r="E116" s="49">
        <v>37212.17</v>
      </c>
      <c r="F116" s="49">
        <v>4766.82</v>
      </c>
      <c r="G116" s="49">
        <v>4437</v>
      </c>
      <c r="H116" s="49">
        <v>1848.62</v>
      </c>
      <c r="I116" s="49">
        <v>213.49</v>
      </c>
    </row>
    <row r="117" spans="1:9">
      <c r="A117" t="s">
        <v>487</v>
      </c>
      <c r="B117" t="s">
        <v>1524</v>
      </c>
      <c r="C117" s="49">
        <v>33836.74</v>
      </c>
      <c r="D117" s="49"/>
      <c r="E117" s="49">
        <v>25043.119999999999</v>
      </c>
      <c r="F117" s="49">
        <v>1859.25</v>
      </c>
      <c r="G117" s="49">
        <v>4137.45</v>
      </c>
      <c r="H117" s="49">
        <v>2796.92</v>
      </c>
      <c r="I117" s="49">
        <v>0</v>
      </c>
    </row>
    <row r="118" spans="1:9">
      <c r="A118" t="s">
        <v>489</v>
      </c>
      <c r="B118" t="s">
        <v>1525</v>
      </c>
      <c r="C118" s="49">
        <v>26763.329999999998</v>
      </c>
      <c r="D118" s="49"/>
      <c r="E118" s="49">
        <v>24372.85</v>
      </c>
      <c r="F118" s="49">
        <v>1649.05</v>
      </c>
      <c r="G118" s="49">
        <v>0</v>
      </c>
      <c r="H118" s="49">
        <v>741.43</v>
      </c>
      <c r="I118" s="49">
        <v>0</v>
      </c>
    </row>
    <row r="119" spans="1:9">
      <c r="A119" t="s">
        <v>259</v>
      </c>
      <c r="B119" t="s">
        <v>1526</v>
      </c>
      <c r="C119" s="49">
        <v>76852.579999999987</v>
      </c>
      <c r="D119" s="49"/>
      <c r="E119" s="49">
        <v>65684.399999999994</v>
      </c>
      <c r="F119" s="49">
        <v>2568.91</v>
      </c>
      <c r="G119" s="49">
        <v>4708.41</v>
      </c>
      <c r="H119" s="49">
        <v>3612.82</v>
      </c>
      <c r="I119" s="49">
        <v>278.04000000000002</v>
      </c>
    </row>
    <row r="120" spans="1:9">
      <c r="A120" t="s">
        <v>261</v>
      </c>
      <c r="B120" t="s">
        <v>1527</v>
      </c>
      <c r="C120" s="49">
        <v>35401.279999999999</v>
      </c>
      <c r="D120" s="49"/>
      <c r="E120" s="49">
        <v>32639.47</v>
      </c>
      <c r="F120" s="49">
        <v>1062.1500000000001</v>
      </c>
      <c r="G120" s="49">
        <v>534.55999999999995</v>
      </c>
      <c r="H120" s="49">
        <v>1032.7</v>
      </c>
      <c r="I120" s="49">
        <v>132.4</v>
      </c>
    </row>
    <row r="121" spans="1:9">
      <c r="A121" t="s">
        <v>667</v>
      </c>
      <c r="B121" t="s">
        <v>1528</v>
      </c>
      <c r="C121" s="49">
        <v>18195.05</v>
      </c>
      <c r="D121" s="49"/>
      <c r="E121" s="49">
        <v>16215.47</v>
      </c>
      <c r="F121" s="49">
        <v>1080.94</v>
      </c>
      <c r="G121" s="49">
        <v>748.04</v>
      </c>
      <c r="H121" s="49">
        <v>150.6</v>
      </c>
      <c r="I121" s="49">
        <v>0</v>
      </c>
    </row>
    <row r="122" spans="1:9">
      <c r="A122" t="s">
        <v>67</v>
      </c>
      <c r="B122" t="s">
        <v>1529</v>
      </c>
      <c r="C122" s="49">
        <v>516389.1</v>
      </c>
      <c r="D122" s="49"/>
      <c r="E122" s="49">
        <v>391218.46</v>
      </c>
      <c r="F122" s="49">
        <v>61804.86</v>
      </c>
      <c r="G122" s="49">
        <v>49541.759999999995</v>
      </c>
      <c r="H122" s="49">
        <v>11654.35</v>
      </c>
      <c r="I122" s="49">
        <v>2169.67</v>
      </c>
    </row>
    <row r="123" spans="1:9">
      <c r="A123" t="s">
        <v>49</v>
      </c>
      <c r="B123" t="s">
        <v>1530</v>
      </c>
      <c r="C123" s="49">
        <v>353654.44999999995</v>
      </c>
      <c r="D123" s="49"/>
      <c r="E123" s="49">
        <v>307337.58999999997</v>
      </c>
      <c r="F123" s="49">
        <v>40779.31</v>
      </c>
      <c r="G123" s="49">
        <v>2720.78</v>
      </c>
      <c r="H123" s="49">
        <v>1113.8</v>
      </c>
      <c r="I123" s="49">
        <v>1702.97</v>
      </c>
    </row>
    <row r="124" spans="1:9">
      <c r="A124" t="s">
        <v>389</v>
      </c>
      <c r="B124" t="s">
        <v>1531</v>
      </c>
      <c r="C124" s="49">
        <v>554195.63</v>
      </c>
      <c r="D124" s="49"/>
      <c r="E124" s="49">
        <v>455327.34</v>
      </c>
      <c r="F124" s="49">
        <v>70846.210000000006</v>
      </c>
      <c r="G124" s="49">
        <v>19088.509999999998</v>
      </c>
      <c r="H124" s="49">
        <v>6363.39</v>
      </c>
      <c r="I124" s="49">
        <v>2570.1799999999998</v>
      </c>
    </row>
    <row r="125" spans="1:9">
      <c r="A125" t="s">
        <v>93</v>
      </c>
      <c r="B125" t="s">
        <v>1532</v>
      </c>
      <c r="C125" s="49">
        <v>1134960.98</v>
      </c>
      <c r="D125" s="49"/>
      <c r="E125" s="49">
        <v>925417.04999999993</v>
      </c>
      <c r="F125" s="49">
        <v>150204.70000000001</v>
      </c>
      <c r="G125" s="49">
        <v>42933.43</v>
      </c>
      <c r="H125" s="49">
        <v>11119.8</v>
      </c>
      <c r="I125" s="49">
        <v>5286</v>
      </c>
    </row>
    <row r="126" spans="1:9">
      <c r="A126" t="s">
        <v>549</v>
      </c>
      <c r="B126" t="s">
        <v>1533</v>
      </c>
      <c r="C126" s="49">
        <v>921973.61</v>
      </c>
      <c r="D126" s="49"/>
      <c r="E126" s="49">
        <v>746196.22</v>
      </c>
      <c r="F126" s="49">
        <v>130477.35</v>
      </c>
      <c r="G126" s="49">
        <v>34714.800000000003</v>
      </c>
      <c r="H126" s="49">
        <v>6005.92</v>
      </c>
      <c r="I126" s="49">
        <v>4579.32</v>
      </c>
    </row>
    <row r="127" spans="1:9">
      <c r="A127" t="s">
        <v>89</v>
      </c>
      <c r="B127" t="s">
        <v>1534</v>
      </c>
      <c r="C127" s="49">
        <v>34659</v>
      </c>
      <c r="D127" s="49"/>
      <c r="E127" s="49">
        <v>30817.34</v>
      </c>
      <c r="F127" s="49">
        <v>3073.75</v>
      </c>
      <c r="G127" s="49">
        <v>625.58000000000004</v>
      </c>
      <c r="H127" s="49">
        <v>0</v>
      </c>
      <c r="I127" s="49">
        <v>142.33000000000001</v>
      </c>
    </row>
    <row r="128" spans="1:9">
      <c r="A128" t="s">
        <v>591</v>
      </c>
      <c r="B128" t="s">
        <v>1535</v>
      </c>
      <c r="C128" s="49">
        <v>23534.030000000002</v>
      </c>
      <c r="D128" s="49"/>
      <c r="E128" s="49">
        <v>21691.79</v>
      </c>
      <c r="F128" s="49">
        <v>895.6</v>
      </c>
      <c r="G128" s="49">
        <v>946.64</v>
      </c>
      <c r="H128" s="49">
        <v>0</v>
      </c>
      <c r="I128" s="49">
        <v>0</v>
      </c>
    </row>
    <row r="129" spans="1:9">
      <c r="A129" t="s">
        <v>145</v>
      </c>
      <c r="B129" t="s">
        <v>1536</v>
      </c>
      <c r="C129" s="49">
        <v>4308.3599999999997</v>
      </c>
      <c r="D129" s="49"/>
      <c r="E129" s="49">
        <v>3838.71</v>
      </c>
      <c r="F129" s="49">
        <v>469.65</v>
      </c>
      <c r="G129" s="49">
        <v>0</v>
      </c>
      <c r="H129" s="49">
        <v>0</v>
      </c>
      <c r="I129" s="49">
        <v>0</v>
      </c>
    </row>
    <row r="130" spans="1:9">
      <c r="A130" t="s">
        <v>165</v>
      </c>
      <c r="B130" t="s">
        <v>1537</v>
      </c>
      <c r="C130" s="49">
        <v>19771.849999999999</v>
      </c>
      <c r="D130" s="49"/>
      <c r="E130" s="49">
        <v>17784</v>
      </c>
      <c r="F130" s="49">
        <v>954.19</v>
      </c>
      <c r="G130" s="49">
        <v>769.99</v>
      </c>
      <c r="H130" s="49">
        <v>228.61</v>
      </c>
      <c r="I130" s="49">
        <v>35.06</v>
      </c>
    </row>
    <row r="131" spans="1:9">
      <c r="A131" t="s">
        <v>603</v>
      </c>
      <c r="B131" t="s">
        <v>1538</v>
      </c>
      <c r="C131" s="49">
        <v>30584.06</v>
      </c>
      <c r="D131" s="49"/>
      <c r="E131" s="49">
        <v>27072.9</v>
      </c>
      <c r="F131" s="49">
        <v>2620.58</v>
      </c>
      <c r="G131" s="49">
        <v>715.28</v>
      </c>
      <c r="H131" s="49">
        <v>86.95</v>
      </c>
      <c r="I131" s="49">
        <v>88.35</v>
      </c>
    </row>
    <row r="132" spans="1:9">
      <c r="A132" t="s">
        <v>171</v>
      </c>
      <c r="B132" t="s">
        <v>1539</v>
      </c>
      <c r="C132" s="49">
        <v>288375.72000000003</v>
      </c>
      <c r="D132" s="49"/>
      <c r="E132" s="49">
        <v>235106.38</v>
      </c>
      <c r="F132" s="49">
        <v>32486.74</v>
      </c>
      <c r="G132" s="49">
        <v>14371.67</v>
      </c>
      <c r="H132" s="49">
        <v>5106.59</v>
      </c>
      <c r="I132" s="49">
        <v>1304.3399999999999</v>
      </c>
    </row>
    <row r="133" spans="1:9">
      <c r="A133" t="s">
        <v>285</v>
      </c>
      <c r="B133" t="s">
        <v>1540</v>
      </c>
      <c r="C133" s="49">
        <v>55938.32</v>
      </c>
      <c r="D133" s="49"/>
      <c r="E133" s="49">
        <v>46532.92</v>
      </c>
      <c r="F133" s="49">
        <v>6103.87</v>
      </c>
      <c r="G133" s="49">
        <v>2518.9299999999998</v>
      </c>
      <c r="H133" s="49">
        <v>782.6</v>
      </c>
      <c r="I133" s="49">
        <v>0</v>
      </c>
    </row>
    <row r="134" spans="1:9">
      <c r="A134" t="s">
        <v>111</v>
      </c>
      <c r="B134" t="s">
        <v>1541</v>
      </c>
      <c r="C134" s="49">
        <v>78316.400000000009</v>
      </c>
      <c r="D134" s="49"/>
      <c r="E134" s="49">
        <v>64660.520000000004</v>
      </c>
      <c r="F134" s="49">
        <v>9989.68</v>
      </c>
      <c r="G134" s="49">
        <v>2998.6000000000004</v>
      </c>
      <c r="H134" s="49">
        <v>312.77</v>
      </c>
      <c r="I134" s="49">
        <v>354.83</v>
      </c>
    </row>
    <row r="135" spans="1:9">
      <c r="A135" t="s">
        <v>679</v>
      </c>
      <c r="B135" t="s">
        <v>1542</v>
      </c>
      <c r="C135" s="49">
        <v>18586.23</v>
      </c>
      <c r="D135" s="49"/>
      <c r="E135" s="49">
        <v>17806.43</v>
      </c>
      <c r="F135" s="49">
        <v>0</v>
      </c>
      <c r="G135" s="49">
        <v>779.8</v>
      </c>
      <c r="H135" s="49">
        <v>0</v>
      </c>
      <c r="I135" s="49">
        <v>0</v>
      </c>
    </row>
    <row r="136" spans="1:9">
      <c r="A136" t="s">
        <v>61</v>
      </c>
      <c r="B136" t="s">
        <v>1543</v>
      </c>
      <c r="C136" s="49">
        <v>18821.87</v>
      </c>
      <c r="D136" s="49"/>
      <c r="E136" s="49">
        <v>18776.98</v>
      </c>
      <c r="F136" s="49">
        <v>0</v>
      </c>
      <c r="G136" s="49">
        <v>0</v>
      </c>
      <c r="H136" s="49">
        <v>0</v>
      </c>
      <c r="I136" s="49">
        <v>44.89</v>
      </c>
    </row>
    <row r="137" spans="1:9">
      <c r="A137" t="s">
        <v>91</v>
      </c>
      <c r="B137" t="s">
        <v>1544</v>
      </c>
      <c r="C137" s="49">
        <v>8289.3599999999988</v>
      </c>
      <c r="D137" s="49"/>
      <c r="E137" s="49">
        <v>8090.98</v>
      </c>
      <c r="F137" s="49">
        <v>0</v>
      </c>
      <c r="G137" s="49">
        <v>198.38</v>
      </c>
      <c r="H137" s="49">
        <v>0</v>
      </c>
      <c r="I137" s="49">
        <v>0</v>
      </c>
    </row>
    <row r="138" spans="1:9">
      <c r="A138" t="s">
        <v>615</v>
      </c>
      <c r="B138" t="s">
        <v>1545</v>
      </c>
      <c r="C138" s="49">
        <v>22530.12</v>
      </c>
      <c r="D138" s="49"/>
      <c r="E138" s="49">
        <v>22178.1</v>
      </c>
      <c r="F138" s="49">
        <v>0</v>
      </c>
      <c r="G138" s="49">
        <v>0</v>
      </c>
      <c r="H138" s="49">
        <v>276.29000000000002</v>
      </c>
      <c r="I138" s="49">
        <v>75.73</v>
      </c>
    </row>
    <row r="139" spans="1:9">
      <c r="A139" t="s">
        <v>225</v>
      </c>
      <c r="B139" t="s">
        <v>1546</v>
      </c>
      <c r="C139" s="49">
        <v>18881.89</v>
      </c>
      <c r="D139" s="49"/>
      <c r="E139" s="49">
        <v>18498.27</v>
      </c>
      <c r="F139" s="49">
        <v>0</v>
      </c>
      <c r="G139" s="49">
        <v>383.62</v>
      </c>
      <c r="H139" s="49">
        <v>0</v>
      </c>
      <c r="I139" s="49">
        <v>0</v>
      </c>
    </row>
    <row r="140" spans="1:9">
      <c r="A140" t="s">
        <v>287</v>
      </c>
      <c r="B140" t="s">
        <v>1547</v>
      </c>
      <c r="C140" s="49">
        <v>19736.64</v>
      </c>
      <c r="D140" s="49"/>
      <c r="E140" s="49">
        <v>18959.189999999999</v>
      </c>
      <c r="F140" s="49">
        <v>0</v>
      </c>
      <c r="G140" s="49">
        <v>738.06999999999994</v>
      </c>
      <c r="H140" s="49">
        <v>0</v>
      </c>
      <c r="I140" s="49">
        <v>39.380000000000003</v>
      </c>
    </row>
    <row r="141" spans="1:9">
      <c r="A141" t="s">
        <v>511</v>
      </c>
      <c r="B141" t="s">
        <v>1548</v>
      </c>
      <c r="C141" s="49">
        <v>4210.38</v>
      </c>
      <c r="D141" s="49"/>
      <c r="E141" s="49">
        <v>3870.96</v>
      </c>
      <c r="F141" s="49">
        <v>0</v>
      </c>
      <c r="G141" s="49">
        <v>0</v>
      </c>
      <c r="H141" s="49">
        <v>339.42</v>
      </c>
      <c r="I141" s="49">
        <v>0</v>
      </c>
    </row>
    <row r="142" spans="1:9">
      <c r="A142" t="s">
        <v>227</v>
      </c>
      <c r="B142" t="s">
        <v>1549</v>
      </c>
      <c r="C142" s="49">
        <v>76228.539999999994</v>
      </c>
      <c r="D142" s="49"/>
      <c r="E142" s="49">
        <v>64183.67</v>
      </c>
      <c r="F142" s="49">
        <v>0</v>
      </c>
      <c r="G142" s="49">
        <v>10248.24</v>
      </c>
      <c r="H142" s="49">
        <v>1796.63</v>
      </c>
      <c r="I142" s="49">
        <v>0</v>
      </c>
    </row>
    <row r="143" spans="1:9">
      <c r="A143" t="s">
        <v>665</v>
      </c>
      <c r="B143" t="s">
        <v>1550</v>
      </c>
      <c r="C143" s="49">
        <v>89872.310000000012</v>
      </c>
      <c r="D143" s="49"/>
      <c r="E143" s="49">
        <v>81239.760000000009</v>
      </c>
      <c r="F143" s="49">
        <v>0</v>
      </c>
      <c r="G143" s="49">
        <v>4173.92</v>
      </c>
      <c r="H143" s="49">
        <v>4012.62</v>
      </c>
      <c r="I143" s="49">
        <v>446.01</v>
      </c>
    </row>
    <row r="144" spans="1:9">
      <c r="A144" t="s">
        <v>319</v>
      </c>
      <c r="B144" t="s">
        <v>1551</v>
      </c>
      <c r="C144" s="49">
        <v>26165.480000000003</v>
      </c>
      <c r="D144" s="49"/>
      <c r="E144" s="49">
        <v>23983.15</v>
      </c>
      <c r="F144" s="49">
        <v>0</v>
      </c>
      <c r="G144" s="49">
        <v>2019.6399999999999</v>
      </c>
      <c r="H144" s="49">
        <v>162.69</v>
      </c>
      <c r="I144" s="49">
        <v>0</v>
      </c>
    </row>
    <row r="145" spans="1:9">
      <c r="A145" t="s">
        <v>373</v>
      </c>
      <c r="B145" t="s">
        <v>1552</v>
      </c>
      <c r="C145" s="49">
        <v>70153.91</v>
      </c>
      <c r="D145" s="49"/>
      <c r="E145" s="49">
        <v>60032.2</v>
      </c>
      <c r="F145" s="49">
        <v>6531.25</v>
      </c>
      <c r="G145" s="49">
        <v>2886.39</v>
      </c>
      <c r="H145" s="49">
        <v>392.71</v>
      </c>
      <c r="I145" s="49">
        <v>311.36</v>
      </c>
    </row>
    <row r="146" spans="1:9">
      <c r="A146" t="s">
        <v>1553</v>
      </c>
      <c r="B146" t="s">
        <v>1554</v>
      </c>
      <c r="C146" s="49">
        <v>0</v>
      </c>
      <c r="D146" s="49"/>
      <c r="E146" s="49">
        <v>0</v>
      </c>
      <c r="F146" s="49">
        <v>0</v>
      </c>
      <c r="G146" s="49">
        <v>0</v>
      </c>
      <c r="H146" s="49">
        <v>0</v>
      </c>
      <c r="I146" s="49">
        <v>0</v>
      </c>
    </row>
    <row r="147" spans="1:9">
      <c r="A147" t="s">
        <v>203</v>
      </c>
      <c r="B147" t="s">
        <v>1555</v>
      </c>
      <c r="C147" s="49">
        <v>4964.25</v>
      </c>
      <c r="D147" s="49"/>
      <c r="E147" s="49">
        <v>3872.37</v>
      </c>
      <c r="F147" s="49">
        <v>522.44000000000005</v>
      </c>
      <c r="G147" s="49">
        <v>495.1</v>
      </c>
      <c r="H147" s="49">
        <v>56.1</v>
      </c>
      <c r="I147" s="49">
        <v>18.239999999999998</v>
      </c>
    </row>
    <row r="148" spans="1:9">
      <c r="A148" t="s">
        <v>357</v>
      </c>
      <c r="B148" t="s">
        <v>1556</v>
      </c>
      <c r="C148" s="49">
        <v>58443.850000000006</v>
      </c>
      <c r="D148" s="49"/>
      <c r="E148" s="49">
        <v>45931.22</v>
      </c>
      <c r="F148" s="49">
        <v>5964.26</v>
      </c>
      <c r="G148" s="49">
        <v>5023.83</v>
      </c>
      <c r="H148" s="49">
        <v>1291.72</v>
      </c>
      <c r="I148" s="49">
        <v>232.82</v>
      </c>
    </row>
    <row r="149" spans="1:9">
      <c r="A149" t="s">
        <v>353</v>
      </c>
      <c r="B149" t="s">
        <v>1557</v>
      </c>
      <c r="C149" s="49">
        <v>42933.340000000004</v>
      </c>
      <c r="D149" s="49"/>
      <c r="E149" s="49">
        <v>36293.090000000004</v>
      </c>
      <c r="F149" s="49">
        <v>3623.43</v>
      </c>
      <c r="G149" s="49">
        <v>2858.34</v>
      </c>
      <c r="H149" s="49">
        <v>0</v>
      </c>
      <c r="I149" s="49">
        <v>158.47999999999999</v>
      </c>
    </row>
    <row r="150" spans="1:9">
      <c r="A150" t="s">
        <v>35</v>
      </c>
      <c r="B150" t="s">
        <v>1558</v>
      </c>
      <c r="C150" s="49">
        <v>58486.439999999995</v>
      </c>
      <c r="D150" s="49"/>
      <c r="E150" s="49">
        <v>50437.77</v>
      </c>
      <c r="F150" s="49">
        <v>6251.64</v>
      </c>
      <c r="G150" s="49">
        <v>1538.85</v>
      </c>
      <c r="H150" s="49">
        <v>0</v>
      </c>
      <c r="I150" s="49">
        <v>258.18</v>
      </c>
    </row>
    <row r="151" spans="1:9">
      <c r="A151" t="s">
        <v>675</v>
      </c>
      <c r="B151" t="s">
        <v>1559</v>
      </c>
      <c r="C151" s="49">
        <v>80103.51999999999</v>
      </c>
      <c r="D151" s="49"/>
      <c r="E151" s="49">
        <v>62045.5</v>
      </c>
      <c r="F151" s="49">
        <v>8778.24</v>
      </c>
      <c r="G151" s="49">
        <v>7967.01</v>
      </c>
      <c r="H151" s="49">
        <v>1003.54</v>
      </c>
      <c r="I151" s="49">
        <v>309.23</v>
      </c>
    </row>
    <row r="152" spans="1:9">
      <c r="A152" t="s">
        <v>65</v>
      </c>
      <c r="B152" t="s">
        <v>1560</v>
      </c>
      <c r="C152" s="49">
        <v>8844.4</v>
      </c>
      <c r="D152" s="49"/>
      <c r="E152" s="49">
        <v>7050.48</v>
      </c>
      <c r="F152" s="49">
        <v>1067.4100000000001</v>
      </c>
      <c r="G152" s="49">
        <v>726.51</v>
      </c>
      <c r="H152" s="49">
        <v>0</v>
      </c>
      <c r="I152" s="49">
        <v>0</v>
      </c>
    </row>
    <row r="153" spans="1:9">
      <c r="A153" t="s">
        <v>605</v>
      </c>
      <c r="B153" t="s">
        <v>1561</v>
      </c>
      <c r="C153" s="49">
        <v>75588.100000000006</v>
      </c>
      <c r="D153" s="49"/>
      <c r="E153" s="49">
        <v>59943.62</v>
      </c>
      <c r="F153" s="49">
        <v>9114.2199999999993</v>
      </c>
      <c r="G153" s="49">
        <v>5986.1900000000005</v>
      </c>
      <c r="H153" s="49">
        <v>210.05</v>
      </c>
      <c r="I153" s="49">
        <v>334.02</v>
      </c>
    </row>
    <row r="154" spans="1:9">
      <c r="A154" t="s">
        <v>419</v>
      </c>
      <c r="B154" t="s">
        <v>1562</v>
      </c>
      <c r="C154" s="49">
        <v>74077.399999999994</v>
      </c>
      <c r="D154" s="49"/>
      <c r="E154" s="49">
        <v>57863.9</v>
      </c>
      <c r="F154" s="49">
        <v>8482.7999999999993</v>
      </c>
      <c r="G154" s="49">
        <v>7410.93</v>
      </c>
      <c r="H154" s="49">
        <v>0</v>
      </c>
      <c r="I154" s="49">
        <v>319.77</v>
      </c>
    </row>
    <row r="155" spans="1:9">
      <c r="A155" t="s">
        <v>447</v>
      </c>
      <c r="B155" t="s">
        <v>1563</v>
      </c>
      <c r="C155" s="49">
        <v>33922.300000000003</v>
      </c>
      <c r="D155" s="49"/>
      <c r="E155" s="49">
        <v>28241.87</v>
      </c>
      <c r="F155" s="49">
        <v>3189.11</v>
      </c>
      <c r="G155" s="49">
        <v>2387.7600000000002</v>
      </c>
      <c r="H155" s="49">
        <v>0</v>
      </c>
      <c r="I155" s="49">
        <v>103.56</v>
      </c>
    </row>
    <row r="156" spans="1:9">
      <c r="A156" t="s">
        <v>99</v>
      </c>
      <c r="B156" t="s">
        <v>1564</v>
      </c>
      <c r="C156" s="49">
        <v>271014.65999999997</v>
      </c>
      <c r="D156" s="49"/>
      <c r="E156" s="49">
        <v>217228.52</v>
      </c>
      <c r="F156" s="49">
        <v>32248.09</v>
      </c>
      <c r="G156" s="49">
        <v>17681.440000000002</v>
      </c>
      <c r="H156" s="49">
        <v>2664.91</v>
      </c>
      <c r="I156" s="49">
        <v>1191.7</v>
      </c>
    </row>
    <row r="157" spans="1:9">
      <c r="A157" t="s">
        <v>661</v>
      </c>
      <c r="B157" t="s">
        <v>1565</v>
      </c>
      <c r="C157" s="49">
        <v>36947.75</v>
      </c>
      <c r="D157" s="49"/>
      <c r="E157" s="49">
        <v>29868.13</v>
      </c>
      <c r="F157" s="49">
        <v>3378.36</v>
      </c>
      <c r="G157" s="49">
        <v>3572.23</v>
      </c>
      <c r="H157" s="49">
        <v>0</v>
      </c>
      <c r="I157" s="49">
        <v>129.03</v>
      </c>
    </row>
    <row r="158" spans="1:9">
      <c r="A158" t="s">
        <v>97</v>
      </c>
      <c r="B158" t="s">
        <v>1566</v>
      </c>
      <c r="C158" s="49">
        <v>338708.95</v>
      </c>
      <c r="D158" s="49"/>
      <c r="E158" s="49">
        <v>252482.24</v>
      </c>
      <c r="F158" s="49">
        <v>37675.58</v>
      </c>
      <c r="G158" s="49">
        <v>36660.550000000003</v>
      </c>
      <c r="H158" s="49">
        <v>10534.35</v>
      </c>
      <c r="I158" s="49">
        <v>1356.23</v>
      </c>
    </row>
    <row r="159" spans="1:9">
      <c r="A159" t="s">
        <v>559</v>
      </c>
      <c r="B159" t="s">
        <v>1567</v>
      </c>
      <c r="C159" s="49">
        <v>17930.599999999999</v>
      </c>
      <c r="D159" s="49"/>
      <c r="E159" s="49">
        <v>16594.66</v>
      </c>
      <c r="F159" s="49">
        <v>797.37</v>
      </c>
      <c r="G159" s="49">
        <v>509.11</v>
      </c>
      <c r="H159" s="49">
        <v>0</v>
      </c>
      <c r="I159" s="49">
        <v>29.46</v>
      </c>
    </row>
    <row r="160" spans="1:9">
      <c r="A160" t="s">
        <v>493</v>
      </c>
      <c r="B160" t="s">
        <v>1568</v>
      </c>
      <c r="C160" s="49">
        <v>62017.55</v>
      </c>
      <c r="D160" s="49"/>
      <c r="E160" s="49">
        <v>53577.79</v>
      </c>
      <c r="F160" s="49">
        <v>5920.83</v>
      </c>
      <c r="G160" s="49">
        <v>2361.85</v>
      </c>
      <c r="H160" s="49">
        <v>157.08000000000001</v>
      </c>
      <c r="I160" s="49">
        <v>0</v>
      </c>
    </row>
    <row r="161" spans="1:9">
      <c r="A161" t="s">
        <v>37</v>
      </c>
      <c r="B161" t="s">
        <v>1569</v>
      </c>
      <c r="C161" s="49">
        <v>21333.45</v>
      </c>
      <c r="D161" s="49"/>
      <c r="E161" s="49">
        <v>20129.02</v>
      </c>
      <c r="F161" s="49">
        <v>909.79</v>
      </c>
      <c r="G161" s="49">
        <v>294.64</v>
      </c>
      <c r="H161" s="49">
        <v>0</v>
      </c>
      <c r="I161" s="49">
        <v>0</v>
      </c>
    </row>
    <row r="162" spans="1:9">
      <c r="A162" t="s">
        <v>139</v>
      </c>
      <c r="B162" t="s">
        <v>1570</v>
      </c>
      <c r="C162" s="49">
        <v>19877.34</v>
      </c>
      <c r="D162" s="49"/>
      <c r="E162" s="49">
        <v>18582.87</v>
      </c>
      <c r="F162" s="49">
        <v>934.19</v>
      </c>
      <c r="G162" s="49">
        <v>323.82</v>
      </c>
      <c r="H162" s="49">
        <v>0</v>
      </c>
      <c r="I162" s="49">
        <v>36.46</v>
      </c>
    </row>
    <row r="163" spans="1:9">
      <c r="A163" t="s">
        <v>411</v>
      </c>
      <c r="B163" t="s">
        <v>1571</v>
      </c>
      <c r="C163" s="49">
        <v>30066.55</v>
      </c>
      <c r="D163" s="49"/>
      <c r="E163" s="49">
        <v>26324.41</v>
      </c>
      <c r="F163" s="49">
        <v>2392.54</v>
      </c>
      <c r="G163" s="49">
        <v>1254.18</v>
      </c>
      <c r="H163" s="49">
        <v>0</v>
      </c>
      <c r="I163" s="49">
        <v>95.42</v>
      </c>
    </row>
    <row r="164" spans="1:9">
      <c r="A164" t="s">
        <v>669</v>
      </c>
      <c r="B164" t="s">
        <v>1572</v>
      </c>
      <c r="C164" s="49">
        <v>26874.14</v>
      </c>
      <c r="D164" s="49"/>
      <c r="E164" s="49">
        <v>23521.73</v>
      </c>
      <c r="F164" s="49">
        <v>2380.46</v>
      </c>
      <c r="G164" s="49">
        <v>882.19</v>
      </c>
      <c r="H164" s="49">
        <v>0</v>
      </c>
      <c r="I164" s="49">
        <v>89.76</v>
      </c>
    </row>
    <row r="165" spans="1:9">
      <c r="A165" t="s">
        <v>245</v>
      </c>
      <c r="B165" t="s">
        <v>1573</v>
      </c>
      <c r="C165" s="49">
        <v>23621.97</v>
      </c>
      <c r="D165" s="49"/>
      <c r="E165" s="49">
        <v>21169.010000000002</v>
      </c>
      <c r="F165" s="49">
        <v>1360.46</v>
      </c>
      <c r="G165" s="49">
        <v>1092.5</v>
      </c>
      <c r="H165" s="49">
        <v>0</v>
      </c>
      <c r="I165" s="49">
        <v>0</v>
      </c>
    </row>
    <row r="166" spans="1:9">
      <c r="A166" t="s">
        <v>149</v>
      </c>
      <c r="B166" t="s">
        <v>1574</v>
      </c>
      <c r="C166" s="49">
        <v>56741.56</v>
      </c>
      <c r="D166" s="49"/>
      <c r="E166" s="49">
        <v>47570.78</v>
      </c>
      <c r="F166" s="49">
        <v>6179.19</v>
      </c>
      <c r="G166" s="49">
        <v>2991.59</v>
      </c>
      <c r="H166" s="49">
        <v>0</v>
      </c>
      <c r="I166" s="49">
        <v>0</v>
      </c>
    </row>
    <row r="167" spans="1:9">
      <c r="A167" t="s">
        <v>553</v>
      </c>
      <c r="B167" t="s">
        <v>1575</v>
      </c>
      <c r="C167" s="49">
        <v>19572.96</v>
      </c>
      <c r="D167" s="49"/>
      <c r="E167" s="49">
        <v>16618.5</v>
      </c>
      <c r="F167" s="49">
        <v>2240.5700000000002</v>
      </c>
      <c r="G167" s="49">
        <v>633.95000000000005</v>
      </c>
      <c r="H167" s="49">
        <v>0</v>
      </c>
      <c r="I167" s="49">
        <v>79.94</v>
      </c>
    </row>
    <row r="168" spans="1:9">
      <c r="A168" t="s">
        <v>237</v>
      </c>
      <c r="B168" t="s">
        <v>1576</v>
      </c>
      <c r="C168" s="49">
        <v>20504.309999999998</v>
      </c>
      <c r="D168" s="49"/>
      <c r="E168" s="49">
        <v>17440.37</v>
      </c>
      <c r="F168" s="49">
        <v>2289.75</v>
      </c>
      <c r="G168" s="49">
        <v>687.24</v>
      </c>
      <c r="H168" s="49">
        <v>0</v>
      </c>
      <c r="I168" s="49">
        <v>86.95</v>
      </c>
    </row>
    <row r="169" spans="1:9">
      <c r="A169" t="s">
        <v>533</v>
      </c>
      <c r="B169" t="s">
        <v>1577</v>
      </c>
      <c r="C169" s="49">
        <v>422905.93999999994</v>
      </c>
      <c r="D169" s="49"/>
      <c r="E169" s="49">
        <v>311019.34999999998</v>
      </c>
      <c r="F169" s="49">
        <v>48060.56</v>
      </c>
      <c r="G169" s="49">
        <v>42950.880000000005</v>
      </c>
      <c r="H169" s="49">
        <v>19162.669999999998</v>
      </c>
      <c r="I169" s="49">
        <v>1712.48</v>
      </c>
    </row>
    <row r="170" spans="1:9">
      <c r="A170" t="s">
        <v>329</v>
      </c>
      <c r="B170" t="s">
        <v>1578</v>
      </c>
      <c r="C170" s="49">
        <v>41207.339999999997</v>
      </c>
      <c r="D170" s="49"/>
      <c r="E170" s="49">
        <v>23192.14</v>
      </c>
      <c r="F170" s="49">
        <v>13305.53</v>
      </c>
      <c r="G170" s="49">
        <v>4141.6499999999996</v>
      </c>
      <c r="H170" s="49">
        <v>0</v>
      </c>
      <c r="I170" s="49">
        <v>568.02</v>
      </c>
    </row>
    <row r="171" spans="1:9">
      <c r="A171" t="s">
        <v>453</v>
      </c>
      <c r="B171" t="s">
        <v>1579</v>
      </c>
      <c r="C171" s="49">
        <v>64762.319999999992</v>
      </c>
      <c r="D171" s="49"/>
      <c r="E171" s="49">
        <v>49356.2</v>
      </c>
      <c r="F171" s="49">
        <v>8132.64</v>
      </c>
      <c r="G171" s="49">
        <v>6232.8099999999995</v>
      </c>
      <c r="H171" s="49">
        <v>760.17</v>
      </c>
      <c r="I171" s="49">
        <v>280.5</v>
      </c>
    </row>
    <row r="172" spans="1:9">
      <c r="A172" t="s">
        <v>391</v>
      </c>
      <c r="B172" t="s">
        <v>1580</v>
      </c>
      <c r="C172" s="49">
        <v>219197.66</v>
      </c>
      <c r="D172" s="49"/>
      <c r="E172" s="49">
        <v>166327.66</v>
      </c>
      <c r="F172" s="49">
        <v>27217.43</v>
      </c>
      <c r="G172" s="49">
        <v>17661.68</v>
      </c>
      <c r="H172" s="49">
        <v>7031.98</v>
      </c>
      <c r="I172" s="49">
        <v>958.91</v>
      </c>
    </row>
    <row r="173" spans="1:9">
      <c r="A173" t="s">
        <v>253</v>
      </c>
      <c r="B173" t="s">
        <v>1581</v>
      </c>
      <c r="C173" s="49">
        <v>31164.29</v>
      </c>
      <c r="D173" s="49"/>
      <c r="E173" s="49">
        <v>24736.3</v>
      </c>
      <c r="F173" s="49">
        <v>3168.52</v>
      </c>
      <c r="G173" s="49">
        <v>3134.6400000000003</v>
      </c>
      <c r="H173" s="49">
        <v>0</v>
      </c>
      <c r="I173" s="49">
        <v>124.83</v>
      </c>
    </row>
    <row r="174" spans="1:9">
      <c r="A174" t="s">
        <v>377</v>
      </c>
      <c r="B174" t="s">
        <v>1582</v>
      </c>
      <c r="C174" s="49">
        <v>14635.68</v>
      </c>
      <c r="D174" s="49"/>
      <c r="E174" s="49">
        <v>11301.53</v>
      </c>
      <c r="F174" s="49">
        <v>1609.06</v>
      </c>
      <c r="G174" s="49">
        <v>1725.09</v>
      </c>
      <c r="H174" s="49">
        <v>0</v>
      </c>
      <c r="I174" s="49">
        <v>0</v>
      </c>
    </row>
    <row r="175" spans="1:9">
      <c r="A175" t="s">
        <v>417</v>
      </c>
      <c r="B175" t="s">
        <v>1583</v>
      </c>
      <c r="C175" s="49">
        <v>237573.68</v>
      </c>
      <c r="D175" s="49"/>
      <c r="E175" s="49">
        <v>123802.13</v>
      </c>
      <c r="F175" s="49">
        <v>64385.91</v>
      </c>
      <c r="G175" s="49">
        <v>40270.65</v>
      </c>
      <c r="H175" s="49">
        <v>6513.31</v>
      </c>
      <c r="I175" s="49">
        <v>2601.6799999999998</v>
      </c>
    </row>
    <row r="176" spans="1:9">
      <c r="A176" t="s">
        <v>413</v>
      </c>
      <c r="B176" t="s">
        <v>1584</v>
      </c>
      <c r="C176" s="49">
        <v>97380.81</v>
      </c>
      <c r="D176" s="49"/>
      <c r="E176" s="49">
        <v>73667.819999999992</v>
      </c>
      <c r="F176" s="49">
        <v>11850</v>
      </c>
      <c r="G176" s="49">
        <v>9500.02</v>
      </c>
      <c r="H176" s="49">
        <v>1925.39</v>
      </c>
      <c r="I176" s="49">
        <v>437.58</v>
      </c>
    </row>
    <row r="177" spans="1:9">
      <c r="A177" t="s">
        <v>69</v>
      </c>
      <c r="B177" t="s">
        <v>1585</v>
      </c>
      <c r="C177" s="49">
        <v>100266.53</v>
      </c>
      <c r="D177" s="49"/>
      <c r="E177" s="49">
        <v>71879.319999999992</v>
      </c>
      <c r="F177" s="49">
        <v>8441.94</v>
      </c>
      <c r="G177" s="49">
        <v>11757.34</v>
      </c>
      <c r="H177" s="49">
        <v>7799.43</v>
      </c>
      <c r="I177" s="49">
        <v>388.5</v>
      </c>
    </row>
    <row r="178" spans="1:9">
      <c r="A178" t="s">
        <v>443</v>
      </c>
      <c r="B178" t="s">
        <v>1586</v>
      </c>
      <c r="C178" s="49">
        <v>37269.490000000005</v>
      </c>
      <c r="D178" s="49"/>
      <c r="E178" s="49">
        <v>29758.850000000002</v>
      </c>
      <c r="F178" s="49">
        <v>3306.89</v>
      </c>
      <c r="G178" s="49">
        <v>3261.48</v>
      </c>
      <c r="H178" s="49">
        <v>818.28</v>
      </c>
      <c r="I178" s="49">
        <v>123.99</v>
      </c>
    </row>
    <row r="179" spans="1:9">
      <c r="A179" t="s">
        <v>345</v>
      </c>
      <c r="B179" t="s">
        <v>1587</v>
      </c>
      <c r="C179" s="49">
        <v>58423.51</v>
      </c>
      <c r="D179" s="49"/>
      <c r="E179" s="49">
        <v>55452.959999999999</v>
      </c>
      <c r="F179" s="49">
        <v>0</v>
      </c>
      <c r="G179" s="49">
        <v>2100.98</v>
      </c>
      <c r="H179" s="49">
        <v>579.25</v>
      </c>
      <c r="I179" s="49">
        <v>290.32</v>
      </c>
    </row>
    <row r="180" spans="1:9">
      <c r="A180" t="s">
        <v>607</v>
      </c>
      <c r="B180" t="s">
        <v>1588</v>
      </c>
      <c r="C180" s="49">
        <v>98995.51999999999</v>
      </c>
      <c r="D180" s="49"/>
      <c r="E180" s="49">
        <v>73887.72</v>
      </c>
      <c r="F180" s="49">
        <v>9961.9599999999991</v>
      </c>
      <c r="G180" s="49">
        <v>11746.119999999999</v>
      </c>
      <c r="H180" s="49">
        <v>2945.3</v>
      </c>
      <c r="I180" s="49">
        <v>454.42</v>
      </c>
    </row>
    <row r="181" spans="1:9">
      <c r="A181" t="s">
        <v>431</v>
      </c>
      <c r="B181" t="s">
        <v>1589</v>
      </c>
      <c r="C181" s="49">
        <v>52879.260000000009</v>
      </c>
      <c r="D181" s="49"/>
      <c r="E181" s="49">
        <v>40596.030000000006</v>
      </c>
      <c r="F181" s="49">
        <v>5137.38</v>
      </c>
      <c r="G181" s="49">
        <v>5748.9400000000005</v>
      </c>
      <c r="H181" s="49">
        <v>1396.91</v>
      </c>
      <c r="I181" s="49">
        <v>0</v>
      </c>
    </row>
    <row r="182" spans="1:9">
      <c r="A182" t="s">
        <v>407</v>
      </c>
      <c r="B182" t="s">
        <v>1590</v>
      </c>
      <c r="C182" s="49">
        <v>80880.72</v>
      </c>
      <c r="D182" s="49"/>
      <c r="E182" s="49">
        <v>69481</v>
      </c>
      <c r="F182" s="49">
        <v>0</v>
      </c>
      <c r="G182" s="49">
        <v>9969.14</v>
      </c>
      <c r="H182" s="49">
        <v>1019.64</v>
      </c>
      <c r="I182" s="49">
        <v>410.94</v>
      </c>
    </row>
    <row r="183" spans="1:9">
      <c r="A183" t="s">
        <v>491</v>
      </c>
      <c r="B183" t="s">
        <v>1591</v>
      </c>
      <c r="C183" s="49">
        <v>49280.46</v>
      </c>
      <c r="D183" s="49"/>
      <c r="E183" s="49">
        <v>42583.42</v>
      </c>
      <c r="F183" s="49">
        <v>0</v>
      </c>
      <c r="G183" s="49">
        <v>5116.41</v>
      </c>
      <c r="H183" s="49">
        <v>1371.66</v>
      </c>
      <c r="I183" s="49">
        <v>208.97</v>
      </c>
    </row>
    <row r="184" spans="1:9">
      <c r="A184" t="s">
        <v>547</v>
      </c>
      <c r="B184" t="s">
        <v>1592</v>
      </c>
      <c r="C184" s="49">
        <v>58518.17</v>
      </c>
      <c r="D184" s="49"/>
      <c r="E184" s="49">
        <v>44412.31</v>
      </c>
      <c r="F184" s="49">
        <v>6180.2</v>
      </c>
      <c r="G184" s="49">
        <v>5697.05</v>
      </c>
      <c r="H184" s="49">
        <v>2005.61</v>
      </c>
      <c r="I184" s="49">
        <v>223</v>
      </c>
    </row>
    <row r="185" spans="1:9">
      <c r="A185" t="s">
        <v>375</v>
      </c>
      <c r="B185" t="s">
        <v>1593</v>
      </c>
      <c r="C185" s="49">
        <v>33984.5</v>
      </c>
      <c r="D185" s="49"/>
      <c r="E185" s="49">
        <v>30779.9</v>
      </c>
      <c r="F185" s="49">
        <v>0</v>
      </c>
      <c r="G185" s="49">
        <v>2794.73</v>
      </c>
      <c r="H185" s="49">
        <v>280.05</v>
      </c>
      <c r="I185" s="49">
        <v>129.82</v>
      </c>
    </row>
    <row r="186" spans="1:9">
      <c r="A186" t="s">
        <v>671</v>
      </c>
      <c r="B186" t="s">
        <v>1594</v>
      </c>
      <c r="C186" s="49">
        <v>38312.789999999994</v>
      </c>
      <c r="D186" s="49"/>
      <c r="E186" s="49">
        <v>33089.729999999996</v>
      </c>
      <c r="F186" s="49">
        <v>3627</v>
      </c>
      <c r="G186" s="49">
        <v>1280.5</v>
      </c>
      <c r="H186" s="49">
        <v>169.7</v>
      </c>
      <c r="I186" s="49">
        <v>145.86000000000001</v>
      </c>
    </row>
    <row r="187" spans="1:9">
      <c r="A187" t="s">
        <v>393</v>
      </c>
      <c r="B187" t="s">
        <v>1595</v>
      </c>
      <c r="C187" s="49">
        <v>19094.489999999998</v>
      </c>
      <c r="D187" s="49"/>
      <c r="E187" s="49">
        <v>17789.599999999999</v>
      </c>
      <c r="F187" s="49">
        <v>633.07000000000005</v>
      </c>
      <c r="G187" s="49">
        <v>671.82</v>
      </c>
      <c r="H187" s="49">
        <v>0</v>
      </c>
      <c r="I187" s="49">
        <v>0</v>
      </c>
    </row>
    <row r="188" spans="1:9">
      <c r="A188" t="s">
        <v>379</v>
      </c>
      <c r="B188" t="s">
        <v>1596</v>
      </c>
      <c r="C188" s="49">
        <v>88870.31</v>
      </c>
      <c r="D188" s="49"/>
      <c r="E188" s="49">
        <v>68401.039999999994</v>
      </c>
      <c r="F188" s="49">
        <v>10892.86</v>
      </c>
      <c r="G188" s="49">
        <v>9166.880000000001</v>
      </c>
      <c r="H188" s="49">
        <v>0</v>
      </c>
      <c r="I188" s="49">
        <v>409.53</v>
      </c>
    </row>
    <row r="189" spans="1:9">
      <c r="A189" t="s">
        <v>143</v>
      </c>
      <c r="B189" t="s">
        <v>1597</v>
      </c>
      <c r="C189" s="49">
        <v>30735.190000000002</v>
      </c>
      <c r="D189" s="49"/>
      <c r="E189" s="49">
        <v>24461.4</v>
      </c>
      <c r="F189" s="49">
        <v>3494</v>
      </c>
      <c r="G189" s="49">
        <v>2647.95</v>
      </c>
      <c r="H189" s="49">
        <v>0</v>
      </c>
      <c r="I189" s="49">
        <v>131.84</v>
      </c>
    </row>
    <row r="190" spans="1:9">
      <c r="A190" t="s">
        <v>527</v>
      </c>
      <c r="B190" t="s">
        <v>1598</v>
      </c>
      <c r="C190" s="49">
        <v>31580.34</v>
      </c>
      <c r="D190" s="49"/>
      <c r="E190" s="49">
        <v>26810.63</v>
      </c>
      <c r="F190" s="49">
        <v>2995.5</v>
      </c>
      <c r="G190" s="49">
        <v>1774.21</v>
      </c>
      <c r="H190" s="49">
        <v>0</v>
      </c>
      <c r="I190" s="49">
        <v>0</v>
      </c>
    </row>
    <row r="191" spans="1:9">
      <c r="A191" t="s">
        <v>571</v>
      </c>
      <c r="B191" t="s">
        <v>1599</v>
      </c>
      <c r="C191" s="49">
        <v>281002.34000000003</v>
      </c>
      <c r="D191" s="49"/>
      <c r="E191" s="49">
        <v>235437.98</v>
      </c>
      <c r="F191" s="49">
        <v>34804.080000000002</v>
      </c>
      <c r="G191" s="49">
        <v>6870.13</v>
      </c>
      <c r="H191" s="49">
        <v>2581.77</v>
      </c>
      <c r="I191" s="49">
        <v>1308.3800000000001</v>
      </c>
    </row>
    <row r="192" spans="1:9">
      <c r="A192" t="s">
        <v>471</v>
      </c>
      <c r="B192" t="s">
        <v>1600</v>
      </c>
      <c r="C192" s="49">
        <v>2077041.7899999998</v>
      </c>
      <c r="D192" s="49"/>
      <c r="E192" s="49">
        <v>1721484.5099999998</v>
      </c>
      <c r="F192" s="49">
        <v>226056.02</v>
      </c>
      <c r="G192" s="49">
        <v>84237.96</v>
      </c>
      <c r="H192" s="49">
        <v>35659.379999999997</v>
      </c>
      <c r="I192" s="49">
        <v>9603.92</v>
      </c>
    </row>
    <row r="193" spans="1:9">
      <c r="A193" t="s">
        <v>593</v>
      </c>
      <c r="B193" t="s">
        <v>1601</v>
      </c>
      <c r="C193" s="49">
        <v>2834142.37</v>
      </c>
      <c r="D193" s="49"/>
      <c r="E193" s="49">
        <v>2164017.1</v>
      </c>
      <c r="F193" s="49">
        <v>346624.64</v>
      </c>
      <c r="G193" s="49">
        <v>234717.55</v>
      </c>
      <c r="H193" s="49">
        <v>76527.5</v>
      </c>
      <c r="I193" s="49">
        <v>12255.58</v>
      </c>
    </row>
    <row r="194" spans="1:9">
      <c r="A194" t="s">
        <v>81</v>
      </c>
      <c r="B194" t="s">
        <v>1602</v>
      </c>
      <c r="C194" s="49">
        <v>19107.190000000002</v>
      </c>
      <c r="D194" s="49"/>
      <c r="E194" s="49">
        <v>16222.29</v>
      </c>
      <c r="F194" s="49">
        <v>2414.34</v>
      </c>
      <c r="G194" s="49">
        <v>391.87</v>
      </c>
      <c r="H194" s="49">
        <v>0</v>
      </c>
      <c r="I194" s="49">
        <v>78.69</v>
      </c>
    </row>
    <row r="195" spans="1:9">
      <c r="A195" t="s">
        <v>623</v>
      </c>
      <c r="B195" t="s">
        <v>1603</v>
      </c>
      <c r="C195" s="49">
        <v>522394.88999999996</v>
      </c>
      <c r="D195" s="49"/>
      <c r="E195" s="49">
        <v>443802.52999999997</v>
      </c>
      <c r="F195" s="49">
        <v>49194.76</v>
      </c>
      <c r="G195" s="49">
        <v>19235.330000000002</v>
      </c>
      <c r="H195" s="49">
        <v>7704.62</v>
      </c>
      <c r="I195" s="49">
        <v>2457.65</v>
      </c>
    </row>
    <row r="196" spans="1:9">
      <c r="A196" t="s">
        <v>587</v>
      </c>
      <c r="B196" t="s">
        <v>1604</v>
      </c>
      <c r="C196" s="49">
        <v>975914.63000000012</v>
      </c>
      <c r="D196" s="49"/>
      <c r="E196" s="49">
        <v>820334.07000000007</v>
      </c>
      <c r="F196" s="49">
        <v>110818.3</v>
      </c>
      <c r="G196" s="49">
        <v>29055.57</v>
      </c>
      <c r="H196" s="49">
        <v>11240.83</v>
      </c>
      <c r="I196" s="49">
        <v>4465.8599999999997</v>
      </c>
    </row>
    <row r="197" spans="1:9">
      <c r="A197" t="s">
        <v>155</v>
      </c>
      <c r="B197" t="s">
        <v>1605</v>
      </c>
      <c r="C197" s="49">
        <v>146618.51999999999</v>
      </c>
      <c r="D197" s="49"/>
      <c r="E197" s="49">
        <v>125668.72</v>
      </c>
      <c r="F197" s="49">
        <v>16534.32</v>
      </c>
      <c r="G197" s="49">
        <v>1989.73</v>
      </c>
      <c r="H197" s="49">
        <v>1784.74</v>
      </c>
      <c r="I197" s="49">
        <v>641.01</v>
      </c>
    </row>
    <row r="198" spans="1:9">
      <c r="A198" t="s">
        <v>433</v>
      </c>
      <c r="B198" t="s">
        <v>1606</v>
      </c>
      <c r="C198" s="49">
        <v>237205.75</v>
      </c>
      <c r="D198" s="49"/>
      <c r="E198" s="49">
        <v>196739.1</v>
      </c>
      <c r="F198" s="49">
        <v>30471.73</v>
      </c>
      <c r="G198" s="49">
        <v>7051.3</v>
      </c>
      <c r="H198" s="49">
        <v>1836.04</v>
      </c>
      <c r="I198" s="49">
        <v>1107.58</v>
      </c>
    </row>
    <row r="199" spans="1:9">
      <c r="A199" t="s">
        <v>113</v>
      </c>
      <c r="B199" t="s">
        <v>1607</v>
      </c>
      <c r="C199" s="49">
        <v>1212526.2400000002</v>
      </c>
      <c r="D199" s="49"/>
      <c r="E199" s="49">
        <v>901680.08000000007</v>
      </c>
      <c r="F199" s="49">
        <v>148082.04</v>
      </c>
      <c r="G199" s="49">
        <v>118041.97</v>
      </c>
      <c r="H199" s="49">
        <v>39618.39</v>
      </c>
      <c r="I199" s="49">
        <v>5103.76</v>
      </c>
    </row>
    <row r="200" spans="1:9">
      <c r="A200" t="s">
        <v>449</v>
      </c>
      <c r="B200" t="s">
        <v>1608</v>
      </c>
      <c r="C200" s="49">
        <v>853308.49</v>
      </c>
      <c r="D200" s="49"/>
      <c r="E200" s="49">
        <v>718571.36</v>
      </c>
      <c r="F200" s="49">
        <v>108185.68</v>
      </c>
      <c r="G200" s="49">
        <v>17357.68</v>
      </c>
      <c r="H200" s="49">
        <v>5175.26</v>
      </c>
      <c r="I200" s="49">
        <v>4018.51</v>
      </c>
    </row>
    <row r="201" spans="1:9">
      <c r="A201" t="s">
        <v>219</v>
      </c>
      <c r="B201" t="s">
        <v>1609</v>
      </c>
      <c r="C201" s="49">
        <v>765178</v>
      </c>
      <c r="D201" s="49"/>
      <c r="E201" s="49">
        <v>572166.06999999995</v>
      </c>
      <c r="F201" s="49">
        <v>84318.18</v>
      </c>
      <c r="G201" s="49">
        <v>83206.209999999992</v>
      </c>
      <c r="H201" s="49">
        <v>22384.85</v>
      </c>
      <c r="I201" s="49">
        <v>3102.69</v>
      </c>
    </row>
    <row r="202" spans="1:9">
      <c r="A202" t="s">
        <v>59</v>
      </c>
      <c r="B202" t="s">
        <v>1610</v>
      </c>
      <c r="C202" s="49">
        <v>1818329.8399999999</v>
      </c>
      <c r="D202" s="49"/>
      <c r="E202" s="49">
        <v>1439186.63</v>
      </c>
      <c r="F202" s="49">
        <v>214113.93</v>
      </c>
      <c r="G202" s="49">
        <v>127854.01000000001</v>
      </c>
      <c r="H202" s="49">
        <v>29033.63</v>
      </c>
      <c r="I202" s="49">
        <v>8141.64</v>
      </c>
    </row>
    <row r="203" spans="1:9">
      <c r="A203" t="s">
        <v>167</v>
      </c>
      <c r="B203" t="s">
        <v>1611</v>
      </c>
      <c r="C203" s="49">
        <v>158043.58000000002</v>
      </c>
      <c r="D203" s="49"/>
      <c r="E203" s="49">
        <v>131987.26</v>
      </c>
      <c r="F203" s="49">
        <v>17665.04</v>
      </c>
      <c r="G203" s="49">
        <v>7234.21</v>
      </c>
      <c r="H203" s="49">
        <v>394.1</v>
      </c>
      <c r="I203" s="49">
        <v>762.97</v>
      </c>
    </row>
    <row r="204" spans="1:9">
      <c r="A204" t="s">
        <v>663</v>
      </c>
      <c r="B204" t="s">
        <v>1612</v>
      </c>
      <c r="C204" s="49">
        <v>382461.42</v>
      </c>
      <c r="D204" s="49"/>
      <c r="E204" s="49">
        <v>318359.49</v>
      </c>
      <c r="F204" s="49">
        <v>49260.45</v>
      </c>
      <c r="G204" s="49">
        <v>9959.24</v>
      </c>
      <c r="H204" s="49">
        <v>3116.07</v>
      </c>
      <c r="I204" s="49">
        <v>1766.17</v>
      </c>
    </row>
    <row r="205" spans="1:9">
      <c r="A205" t="s">
        <v>215</v>
      </c>
      <c r="B205" t="s">
        <v>1613</v>
      </c>
      <c r="C205" s="49">
        <v>382313.36999999994</v>
      </c>
      <c r="D205" s="49"/>
      <c r="E205" s="49">
        <v>311180.62999999995</v>
      </c>
      <c r="F205" s="49">
        <v>37129.06</v>
      </c>
      <c r="G205" s="49">
        <v>19003.849999999999</v>
      </c>
      <c r="H205" s="49">
        <v>13315.9</v>
      </c>
      <c r="I205" s="49">
        <v>1683.93</v>
      </c>
    </row>
    <row r="206" spans="1:9">
      <c r="A206" t="s">
        <v>105</v>
      </c>
      <c r="B206" t="s">
        <v>1614</v>
      </c>
      <c r="C206" s="49">
        <v>54922.07</v>
      </c>
      <c r="D206" s="49"/>
      <c r="E206" s="49">
        <v>46266.81</v>
      </c>
      <c r="F206" s="49">
        <v>5687.86</v>
      </c>
      <c r="G206" s="49">
        <v>2967.4</v>
      </c>
      <c r="H206" s="49">
        <v>0</v>
      </c>
      <c r="I206" s="49">
        <v>0</v>
      </c>
    </row>
    <row r="207" spans="1:9">
      <c r="A207" t="s">
        <v>257</v>
      </c>
      <c r="B207" t="s">
        <v>1615</v>
      </c>
      <c r="C207" s="49">
        <v>32456.47</v>
      </c>
      <c r="D207" s="49"/>
      <c r="E207" s="49">
        <v>29064.99</v>
      </c>
      <c r="F207" s="49">
        <v>1277.1400000000001</v>
      </c>
      <c r="G207" s="49">
        <v>1456.16</v>
      </c>
      <c r="H207" s="49">
        <v>540.37</v>
      </c>
      <c r="I207" s="49">
        <v>117.81</v>
      </c>
    </row>
    <row r="208" spans="1:9">
      <c r="A208" t="s">
        <v>583</v>
      </c>
      <c r="B208" t="s">
        <v>1616</v>
      </c>
      <c r="C208" s="49">
        <v>22077.360000000001</v>
      </c>
      <c r="D208" s="49"/>
      <c r="E208" s="49">
        <v>17799.03</v>
      </c>
      <c r="F208" s="49">
        <v>1819.99</v>
      </c>
      <c r="G208" s="49">
        <v>2037.3600000000001</v>
      </c>
      <c r="H208" s="49">
        <v>340.87</v>
      </c>
      <c r="I208" s="49">
        <v>80.11</v>
      </c>
    </row>
    <row r="209" spans="1:9">
      <c r="A209" t="s">
        <v>531</v>
      </c>
      <c r="B209" t="s">
        <v>1617</v>
      </c>
      <c r="C209" s="49">
        <v>3328.58</v>
      </c>
      <c r="D209" s="49"/>
      <c r="E209" s="49">
        <v>3328.58</v>
      </c>
      <c r="F209" s="49">
        <v>0</v>
      </c>
      <c r="G209" s="49">
        <v>0</v>
      </c>
      <c r="H209" s="49">
        <v>0</v>
      </c>
      <c r="I209" s="49">
        <v>0</v>
      </c>
    </row>
    <row r="210" spans="1:9">
      <c r="A210" t="s">
        <v>423</v>
      </c>
      <c r="B210" t="s">
        <v>1618</v>
      </c>
      <c r="C210" s="49">
        <v>50647.380000000005</v>
      </c>
      <c r="D210" s="49"/>
      <c r="E210" s="49">
        <v>40037.22</v>
      </c>
      <c r="F210" s="49">
        <v>7287.87</v>
      </c>
      <c r="G210" s="49">
        <v>2164.59</v>
      </c>
      <c r="H210" s="49">
        <v>830.97</v>
      </c>
      <c r="I210" s="49">
        <v>326.73</v>
      </c>
    </row>
    <row r="211" spans="1:9">
      <c r="A211" t="s">
        <v>313</v>
      </c>
      <c r="B211" t="s">
        <v>1619</v>
      </c>
      <c r="C211" s="49">
        <v>34824.949999999997</v>
      </c>
      <c r="D211" s="49"/>
      <c r="E211" s="49">
        <v>30389.21</v>
      </c>
      <c r="F211" s="49">
        <v>2857.05</v>
      </c>
      <c r="G211" s="49">
        <v>1016.33</v>
      </c>
      <c r="H211" s="49">
        <v>452.4</v>
      </c>
      <c r="I211" s="49">
        <v>109.96</v>
      </c>
    </row>
    <row r="212" spans="1:9">
      <c r="A212" t="s">
        <v>517</v>
      </c>
      <c r="B212" t="s">
        <v>1620</v>
      </c>
      <c r="C212" s="49">
        <v>75736.63</v>
      </c>
      <c r="D212" s="49"/>
      <c r="E212" s="49">
        <v>62130.880000000005</v>
      </c>
      <c r="F212" s="49">
        <v>9405.35</v>
      </c>
      <c r="G212" s="49">
        <v>2554.17</v>
      </c>
      <c r="H212" s="49">
        <v>1294.3599999999999</v>
      </c>
      <c r="I212" s="49">
        <v>351.87</v>
      </c>
    </row>
    <row r="213" spans="1:9">
      <c r="A213" t="s">
        <v>127</v>
      </c>
      <c r="B213" t="s">
        <v>1621</v>
      </c>
      <c r="C213" s="49">
        <v>61316.3</v>
      </c>
      <c r="D213" s="49"/>
      <c r="E213" s="49">
        <v>49157.43</v>
      </c>
      <c r="F213" s="49">
        <v>5930.54</v>
      </c>
      <c r="G213" s="49">
        <v>6008.41</v>
      </c>
      <c r="H213" s="49">
        <v>0</v>
      </c>
      <c r="I213" s="49">
        <v>219.92</v>
      </c>
    </row>
    <row r="214" spans="1:9">
      <c r="A214" t="s">
        <v>75</v>
      </c>
      <c r="B214" t="s">
        <v>1622</v>
      </c>
      <c r="C214" s="49">
        <v>367753.95</v>
      </c>
      <c r="D214" s="49"/>
      <c r="E214" s="49">
        <v>281206.19</v>
      </c>
      <c r="F214" s="49">
        <v>41901.620000000003</v>
      </c>
      <c r="G214" s="49">
        <v>24154.989999999998</v>
      </c>
      <c r="H214" s="49">
        <v>18965.09</v>
      </c>
      <c r="I214" s="49">
        <v>1526.06</v>
      </c>
    </row>
    <row r="215" spans="1:9">
      <c r="A215" t="s">
        <v>523</v>
      </c>
      <c r="B215" t="s">
        <v>1623</v>
      </c>
      <c r="C215" s="49">
        <v>436777.56</v>
      </c>
      <c r="D215" s="49"/>
      <c r="E215" s="49">
        <v>340679.18</v>
      </c>
      <c r="F215" s="49">
        <v>54289.27</v>
      </c>
      <c r="G215" s="49">
        <v>31209.18</v>
      </c>
      <c r="H215" s="49">
        <v>8658.39</v>
      </c>
      <c r="I215" s="49">
        <v>1941.54</v>
      </c>
    </row>
    <row r="216" spans="1:9">
      <c r="A216" t="s">
        <v>41</v>
      </c>
      <c r="B216" t="s">
        <v>1624</v>
      </c>
      <c r="C216" s="49">
        <v>237721.8</v>
      </c>
      <c r="D216" s="49"/>
      <c r="E216" s="49">
        <v>201001.33</v>
      </c>
      <c r="F216" s="49">
        <v>27380.34</v>
      </c>
      <c r="G216" s="49">
        <v>6877.0700000000006</v>
      </c>
      <c r="H216" s="49">
        <v>1333.63</v>
      </c>
      <c r="I216" s="49">
        <v>1129.43</v>
      </c>
    </row>
    <row r="217" spans="1:9">
      <c r="A217" t="s">
        <v>289</v>
      </c>
      <c r="B217" t="s">
        <v>1625</v>
      </c>
      <c r="C217" s="49">
        <v>64529.5</v>
      </c>
      <c r="D217" s="49"/>
      <c r="E217" s="49">
        <v>51549.17</v>
      </c>
      <c r="F217" s="49">
        <v>7055.07</v>
      </c>
      <c r="G217" s="49">
        <v>5285.8899999999994</v>
      </c>
      <c r="H217" s="49">
        <v>374.19</v>
      </c>
      <c r="I217" s="49">
        <v>265.18</v>
      </c>
    </row>
    <row r="218" spans="1:9">
      <c r="A218" t="s">
        <v>129</v>
      </c>
      <c r="B218" t="s">
        <v>1626</v>
      </c>
      <c r="C218" s="49">
        <v>47335.899999999994</v>
      </c>
      <c r="D218" s="49"/>
      <c r="E218" s="49">
        <v>41366.129999999997</v>
      </c>
      <c r="F218" s="49">
        <v>4225.3999999999996</v>
      </c>
      <c r="G218" s="49">
        <v>831.42</v>
      </c>
      <c r="H218" s="49">
        <v>705.1</v>
      </c>
      <c r="I218" s="49">
        <v>207.85</v>
      </c>
    </row>
    <row r="219" spans="1:9">
      <c r="A219" t="s">
        <v>365</v>
      </c>
      <c r="B219" t="s">
        <v>1627</v>
      </c>
      <c r="C219" s="49">
        <v>718316.92999999993</v>
      </c>
      <c r="D219" s="49"/>
      <c r="E219" s="49">
        <v>524740.73</v>
      </c>
      <c r="F219" s="49">
        <v>81950.16</v>
      </c>
      <c r="G219" s="49">
        <v>69479.209999999992</v>
      </c>
      <c r="H219" s="49">
        <v>39174.83</v>
      </c>
      <c r="I219" s="49">
        <v>2972</v>
      </c>
    </row>
    <row r="220" spans="1:9">
      <c r="A220" t="s">
        <v>537</v>
      </c>
      <c r="B220" t="s">
        <v>1628</v>
      </c>
      <c r="C220" s="49">
        <v>6674.61</v>
      </c>
      <c r="D220" s="49"/>
      <c r="E220" s="49">
        <v>6220.19</v>
      </c>
      <c r="F220" s="49">
        <v>0</v>
      </c>
      <c r="G220" s="49">
        <v>454.42</v>
      </c>
      <c r="H220" s="49">
        <v>0</v>
      </c>
      <c r="I220" s="49">
        <v>0</v>
      </c>
    </row>
    <row r="221" spans="1:9">
      <c r="A221" t="s">
        <v>363</v>
      </c>
      <c r="B221" t="s">
        <v>1629</v>
      </c>
      <c r="C221" s="49">
        <v>5821.81</v>
      </c>
      <c r="D221" s="49"/>
      <c r="E221" s="49">
        <v>5685.04</v>
      </c>
      <c r="F221" s="49">
        <v>0</v>
      </c>
      <c r="G221" s="49">
        <v>111.5</v>
      </c>
      <c r="H221" s="49">
        <v>0</v>
      </c>
      <c r="I221" s="49">
        <v>25.27</v>
      </c>
    </row>
    <row r="222" spans="1:9">
      <c r="A222" t="s">
        <v>347</v>
      </c>
      <c r="B222" t="s">
        <v>1630</v>
      </c>
      <c r="C222" s="49">
        <v>18110.79</v>
      </c>
      <c r="D222" s="49"/>
      <c r="E222" s="49">
        <v>17784</v>
      </c>
      <c r="F222" s="49">
        <v>0</v>
      </c>
      <c r="G222" s="49">
        <v>326.78999999999996</v>
      </c>
      <c r="H222" s="49">
        <v>0</v>
      </c>
      <c r="I222" s="49">
        <v>0</v>
      </c>
    </row>
    <row r="223" spans="1:9">
      <c r="A223" t="s">
        <v>575</v>
      </c>
      <c r="B223" t="s">
        <v>1631</v>
      </c>
      <c r="C223" s="49">
        <v>67283.25</v>
      </c>
      <c r="D223" s="49"/>
      <c r="E223" s="49">
        <v>60603.03</v>
      </c>
      <c r="F223" s="49">
        <v>0</v>
      </c>
      <c r="G223" s="49">
        <v>5962.13</v>
      </c>
      <c r="H223" s="49">
        <v>402.53</v>
      </c>
      <c r="I223" s="49">
        <v>315.56</v>
      </c>
    </row>
    <row r="224" spans="1:9">
      <c r="A224" t="s">
        <v>205</v>
      </c>
      <c r="B224" t="s">
        <v>1632</v>
      </c>
      <c r="C224" s="49">
        <v>2242836.91</v>
      </c>
      <c r="D224" s="49"/>
      <c r="E224" s="49">
        <v>1785184.35</v>
      </c>
      <c r="F224" s="49">
        <v>249842.38</v>
      </c>
      <c r="G224" s="49">
        <v>111243.07999999999</v>
      </c>
      <c r="H224" s="49">
        <v>87000.77</v>
      </c>
      <c r="I224" s="49">
        <v>9566.33</v>
      </c>
    </row>
    <row r="225" spans="1:9">
      <c r="A225" t="s">
        <v>297</v>
      </c>
      <c r="B225" t="s">
        <v>1633</v>
      </c>
      <c r="C225" s="49">
        <v>1008288.3400000001</v>
      </c>
      <c r="D225" s="49"/>
      <c r="E225" s="49">
        <v>836227.56</v>
      </c>
      <c r="F225" s="49">
        <v>128978.63</v>
      </c>
      <c r="G225" s="49">
        <v>22000.54</v>
      </c>
      <c r="H225" s="49">
        <v>16594.66</v>
      </c>
      <c r="I225" s="49">
        <v>4486.95</v>
      </c>
    </row>
    <row r="226" spans="1:9">
      <c r="A226" t="s">
        <v>369</v>
      </c>
      <c r="B226" t="s">
        <v>1634</v>
      </c>
      <c r="C226" s="49">
        <v>1788368.2399999998</v>
      </c>
      <c r="D226" s="49"/>
      <c r="E226" s="49">
        <v>1373495.5299999998</v>
      </c>
      <c r="F226" s="49">
        <v>199631.95</v>
      </c>
      <c r="G226" s="49">
        <v>120896.95</v>
      </c>
      <c r="H226" s="49">
        <v>87046.2</v>
      </c>
      <c r="I226" s="49">
        <v>7297.61</v>
      </c>
    </row>
    <row r="227" spans="1:9">
      <c r="A227" t="s">
        <v>169</v>
      </c>
      <c r="B227" t="s">
        <v>1635</v>
      </c>
      <c r="C227" s="49">
        <v>2149894.5299999998</v>
      </c>
      <c r="D227" s="49"/>
      <c r="E227" s="49">
        <v>1697316.74</v>
      </c>
      <c r="F227" s="49">
        <v>271776.46999999997</v>
      </c>
      <c r="G227" s="49">
        <v>83655.789999999994</v>
      </c>
      <c r="H227" s="49">
        <v>87599.62</v>
      </c>
      <c r="I227" s="49">
        <v>9545.91</v>
      </c>
    </row>
    <row r="228" spans="1:9">
      <c r="A228" t="s">
        <v>43</v>
      </c>
      <c r="B228" t="s">
        <v>1636</v>
      </c>
      <c r="C228" s="49">
        <v>542520.91</v>
      </c>
      <c r="D228" s="49"/>
      <c r="E228" s="49">
        <v>444622.87</v>
      </c>
      <c r="F228" s="49">
        <v>68875.289999999994</v>
      </c>
      <c r="G228" s="49">
        <v>18943.93</v>
      </c>
      <c r="H228" s="49">
        <v>7583.11</v>
      </c>
      <c r="I228" s="49">
        <v>2495.71</v>
      </c>
    </row>
    <row r="229" spans="1:9">
      <c r="A229" t="s">
        <v>333</v>
      </c>
      <c r="B229" t="s">
        <v>1637</v>
      </c>
      <c r="C229" s="49">
        <v>1074763.9900000002</v>
      </c>
      <c r="D229" s="49"/>
      <c r="E229" s="49">
        <v>835609.2300000001</v>
      </c>
      <c r="F229" s="49">
        <v>132965.24</v>
      </c>
      <c r="G229" s="49">
        <v>73719.320000000007</v>
      </c>
      <c r="H229" s="49">
        <v>27861.119999999999</v>
      </c>
      <c r="I229" s="49">
        <v>4609.08</v>
      </c>
    </row>
    <row r="230" spans="1:9">
      <c r="A230" t="s">
        <v>265</v>
      </c>
      <c r="B230" t="s">
        <v>1638</v>
      </c>
      <c r="C230" s="49">
        <v>6118.5700000000006</v>
      </c>
      <c r="D230" s="49"/>
      <c r="E230" s="49">
        <v>5728.81</v>
      </c>
      <c r="F230" s="49">
        <v>303.36</v>
      </c>
      <c r="G230" s="49">
        <v>86.4</v>
      </c>
      <c r="H230" s="49">
        <v>0</v>
      </c>
      <c r="I230" s="49">
        <v>0</v>
      </c>
    </row>
    <row r="231" spans="1:9">
      <c r="A231" t="s">
        <v>349</v>
      </c>
      <c r="B231" t="s">
        <v>1639</v>
      </c>
      <c r="C231" s="49">
        <v>546604.54</v>
      </c>
      <c r="D231" s="49"/>
      <c r="E231" s="49">
        <v>438390.28</v>
      </c>
      <c r="F231" s="49">
        <v>67589.509999999995</v>
      </c>
      <c r="G231" s="49">
        <v>19844.84</v>
      </c>
      <c r="H231" s="49">
        <v>18026.02</v>
      </c>
      <c r="I231" s="49">
        <v>2753.89</v>
      </c>
    </row>
    <row r="232" spans="1:9">
      <c r="A232" t="s">
        <v>541</v>
      </c>
      <c r="B232" t="s">
        <v>1640</v>
      </c>
      <c r="C232" s="49">
        <v>956466.37999999989</v>
      </c>
      <c r="D232" s="49"/>
      <c r="E232" s="49">
        <v>810048.05999999994</v>
      </c>
      <c r="F232" s="49">
        <v>112384.12</v>
      </c>
      <c r="G232" s="49">
        <v>17614.57</v>
      </c>
      <c r="H232" s="49">
        <v>11954.55</v>
      </c>
      <c r="I232" s="49">
        <v>4465.08</v>
      </c>
    </row>
    <row r="233" spans="1:9">
      <c r="A233" t="s">
        <v>301</v>
      </c>
      <c r="B233" t="s">
        <v>1641</v>
      </c>
      <c r="C233" s="49">
        <v>265030.19</v>
      </c>
      <c r="D233" s="49"/>
      <c r="E233" s="49">
        <v>215078.13</v>
      </c>
      <c r="F233" s="49">
        <v>33456.639999999999</v>
      </c>
      <c r="G233" s="49">
        <v>9934.02</v>
      </c>
      <c r="H233" s="49">
        <v>5381.87</v>
      </c>
      <c r="I233" s="49">
        <v>1179.53</v>
      </c>
    </row>
    <row r="234" spans="1:9">
      <c r="A234" t="s">
        <v>577</v>
      </c>
      <c r="B234" t="s">
        <v>1642</v>
      </c>
      <c r="C234" s="49">
        <v>216398.22999999998</v>
      </c>
      <c r="D234" s="49"/>
      <c r="E234" s="49">
        <v>167650.87999999998</v>
      </c>
      <c r="F234" s="49">
        <v>25923.55</v>
      </c>
      <c r="G234" s="49">
        <v>15922.55</v>
      </c>
      <c r="H234" s="49">
        <v>5979.43</v>
      </c>
      <c r="I234" s="49">
        <v>921.82</v>
      </c>
    </row>
    <row r="235" spans="1:9">
      <c r="A235" t="s">
        <v>147</v>
      </c>
      <c r="B235" t="s">
        <v>1643</v>
      </c>
      <c r="C235" s="49">
        <v>51622.81</v>
      </c>
      <c r="D235" s="49"/>
      <c r="E235" s="49">
        <v>42789.31</v>
      </c>
      <c r="F235" s="49">
        <v>5156.1899999999996</v>
      </c>
      <c r="G235" s="49">
        <v>3424.41</v>
      </c>
      <c r="H235" s="49">
        <v>67.540000000000006</v>
      </c>
      <c r="I235" s="49">
        <v>185.36</v>
      </c>
    </row>
    <row r="236" spans="1:9">
      <c r="A236" t="s">
        <v>235</v>
      </c>
      <c r="B236" t="s">
        <v>1644</v>
      </c>
      <c r="C236" s="49">
        <v>214574.25</v>
      </c>
      <c r="D236" s="49"/>
      <c r="E236" s="49">
        <v>172168.81</v>
      </c>
      <c r="F236" s="49">
        <v>29732.02</v>
      </c>
      <c r="G236" s="49">
        <v>9718.6999999999989</v>
      </c>
      <c r="H236" s="49">
        <v>1966.67</v>
      </c>
      <c r="I236" s="49">
        <v>988.05</v>
      </c>
    </row>
    <row r="237" spans="1:9">
      <c r="A237" t="s">
        <v>563</v>
      </c>
      <c r="B237" t="s">
        <v>1645</v>
      </c>
      <c r="C237" s="49">
        <v>480010.82</v>
      </c>
      <c r="D237" s="49"/>
      <c r="E237" s="49">
        <v>396294.18</v>
      </c>
      <c r="F237" s="49">
        <v>64164.9</v>
      </c>
      <c r="G237" s="49">
        <v>13815.98</v>
      </c>
      <c r="H237" s="49">
        <v>3517.53</v>
      </c>
      <c r="I237" s="49">
        <v>2218.23</v>
      </c>
    </row>
    <row r="238" spans="1:9">
      <c r="A238" t="s">
        <v>555</v>
      </c>
      <c r="B238" t="s">
        <v>1646</v>
      </c>
      <c r="C238" s="49">
        <v>2765232.42</v>
      </c>
      <c r="D238" s="49"/>
      <c r="E238" s="49">
        <v>2148670.13</v>
      </c>
      <c r="F238" s="49">
        <v>329547.36</v>
      </c>
      <c r="G238" s="49">
        <v>233057.52000000002</v>
      </c>
      <c r="H238" s="49">
        <v>42050.67</v>
      </c>
      <c r="I238" s="49">
        <v>11906.74</v>
      </c>
    </row>
    <row r="239" spans="1:9">
      <c r="A239" t="s">
        <v>425</v>
      </c>
      <c r="B239" t="s">
        <v>1647</v>
      </c>
      <c r="C239" s="49">
        <v>6608.32</v>
      </c>
      <c r="D239" s="49"/>
      <c r="E239" s="49">
        <v>6246.83</v>
      </c>
      <c r="F239" s="49">
        <v>308.19</v>
      </c>
      <c r="G239" s="49">
        <v>53.3</v>
      </c>
      <c r="H239" s="49">
        <v>0</v>
      </c>
      <c r="I239" s="49">
        <v>0</v>
      </c>
    </row>
    <row r="240" spans="1:9">
      <c r="A240" t="s">
        <v>239</v>
      </c>
      <c r="B240" t="s">
        <v>1648</v>
      </c>
      <c r="C240" s="49">
        <v>4211.3999999999996</v>
      </c>
      <c r="D240" s="49"/>
      <c r="E240" s="49">
        <v>3872.37</v>
      </c>
      <c r="F240" s="49">
        <v>306.77</v>
      </c>
      <c r="G240" s="49">
        <v>32.26</v>
      </c>
      <c r="H240" s="49">
        <v>0</v>
      </c>
      <c r="I240" s="49">
        <v>0</v>
      </c>
    </row>
    <row r="241" spans="1:9">
      <c r="A241" t="s">
        <v>381</v>
      </c>
      <c r="B241" t="s">
        <v>1649</v>
      </c>
      <c r="C241" s="49">
        <v>114731.11</v>
      </c>
      <c r="D241" s="49"/>
      <c r="E241" s="49">
        <v>96332.31</v>
      </c>
      <c r="F241" s="49">
        <v>14693.34</v>
      </c>
      <c r="G241" s="49">
        <v>3148.66</v>
      </c>
      <c r="H241" s="49">
        <v>0</v>
      </c>
      <c r="I241" s="49">
        <v>556.79999999999995</v>
      </c>
    </row>
    <row r="242" spans="1:9">
      <c r="A242" t="s">
        <v>339</v>
      </c>
      <c r="B242" t="s">
        <v>1650</v>
      </c>
      <c r="C242" s="49">
        <v>155611.13</v>
      </c>
      <c r="D242" s="49"/>
      <c r="E242" s="49">
        <v>128727.79999999999</v>
      </c>
      <c r="F242" s="49">
        <v>20191.900000000001</v>
      </c>
      <c r="G242" s="49">
        <v>5496.49</v>
      </c>
      <c r="H242" s="49">
        <v>488.07</v>
      </c>
      <c r="I242" s="49">
        <v>706.87</v>
      </c>
    </row>
    <row r="243" spans="1:9">
      <c r="A243" t="s">
        <v>337</v>
      </c>
      <c r="B243" t="s">
        <v>1651</v>
      </c>
      <c r="C243" s="49">
        <v>886620.65999999992</v>
      </c>
      <c r="D243" s="49"/>
      <c r="E243" s="49">
        <v>737244.09</v>
      </c>
      <c r="F243" s="49">
        <v>114804.25</v>
      </c>
      <c r="G243" s="49">
        <v>22769.13</v>
      </c>
      <c r="H243" s="49">
        <v>7520.67</v>
      </c>
      <c r="I243" s="49">
        <v>4282.5200000000004</v>
      </c>
    </row>
    <row r="244" spans="1:9">
      <c r="A244" t="s">
        <v>95</v>
      </c>
      <c r="B244" t="s">
        <v>1652</v>
      </c>
      <c r="C244" s="49">
        <v>1266040.7</v>
      </c>
      <c r="D244" s="49"/>
      <c r="E244" s="49">
        <v>1036415.6099999999</v>
      </c>
      <c r="F244" s="49">
        <v>161881.79999999999</v>
      </c>
      <c r="G244" s="49">
        <v>50751.72</v>
      </c>
      <c r="H244" s="49">
        <v>11325.37</v>
      </c>
      <c r="I244" s="49">
        <v>5666.2</v>
      </c>
    </row>
    <row r="245" spans="1:9">
      <c r="A245" t="s">
        <v>221</v>
      </c>
      <c r="B245" t="s">
        <v>1653</v>
      </c>
      <c r="C245" s="49">
        <v>77116.27</v>
      </c>
      <c r="D245" s="49"/>
      <c r="E245" s="49">
        <v>66349.91</v>
      </c>
      <c r="F245" s="49">
        <v>9163.34</v>
      </c>
      <c r="G245" s="49">
        <v>1603.02</v>
      </c>
      <c r="H245" s="49">
        <v>0</v>
      </c>
      <c r="I245" s="49">
        <v>0</v>
      </c>
    </row>
    <row r="246" spans="1:9">
      <c r="A246" t="s">
        <v>101</v>
      </c>
      <c r="B246" t="s">
        <v>1654</v>
      </c>
      <c r="C246" s="49">
        <v>463817.02999999997</v>
      </c>
      <c r="D246" s="49"/>
      <c r="E246" s="49">
        <v>368709.35</v>
      </c>
      <c r="F246" s="49">
        <v>60522.86</v>
      </c>
      <c r="G246" s="49">
        <v>26537.14</v>
      </c>
      <c r="H246" s="49">
        <v>5964.93</v>
      </c>
      <c r="I246" s="49">
        <v>2082.75</v>
      </c>
    </row>
    <row r="247" spans="1:9">
      <c r="A247" t="s">
        <v>159</v>
      </c>
      <c r="B247" t="s">
        <v>1655</v>
      </c>
      <c r="C247" s="49">
        <v>324479.31</v>
      </c>
      <c r="D247" s="49"/>
      <c r="E247" s="49">
        <v>250848.34</v>
      </c>
      <c r="F247" s="49">
        <v>43605.18</v>
      </c>
      <c r="G247" s="49">
        <v>26061.25</v>
      </c>
      <c r="H247" s="49">
        <v>2500.08</v>
      </c>
      <c r="I247" s="49">
        <v>1464.46</v>
      </c>
    </row>
    <row r="248" spans="1:9">
      <c r="A248" t="s">
        <v>305</v>
      </c>
      <c r="B248" t="s">
        <v>1656</v>
      </c>
      <c r="C248" s="49">
        <v>54229.790000000008</v>
      </c>
      <c r="D248" s="49"/>
      <c r="E248" s="49">
        <v>47392.66</v>
      </c>
      <c r="F248" s="49">
        <v>5121.8500000000004</v>
      </c>
      <c r="G248" s="49">
        <v>1461.43</v>
      </c>
      <c r="H248" s="49">
        <v>25.24</v>
      </c>
      <c r="I248" s="49">
        <v>228.61</v>
      </c>
    </row>
    <row r="249" spans="1:9">
      <c r="A249" t="s">
        <v>655</v>
      </c>
      <c r="B249" t="s">
        <v>1657</v>
      </c>
      <c r="C249" s="49">
        <v>260355.60000000003</v>
      </c>
      <c r="D249" s="49"/>
      <c r="E249" s="49">
        <v>200248.06000000003</v>
      </c>
      <c r="F249" s="49">
        <v>33287.1</v>
      </c>
      <c r="G249" s="49">
        <v>23208.95</v>
      </c>
      <c r="H249" s="49">
        <v>2239.83</v>
      </c>
      <c r="I249" s="49">
        <v>1371.66</v>
      </c>
    </row>
    <row r="250" spans="1:9">
      <c r="A250" t="s">
        <v>153</v>
      </c>
      <c r="B250" t="s">
        <v>1658</v>
      </c>
      <c r="C250" s="49">
        <v>182098.92</v>
      </c>
      <c r="D250" s="49"/>
      <c r="E250" s="49">
        <v>141981.64000000001</v>
      </c>
      <c r="F250" s="49">
        <v>23030.34</v>
      </c>
      <c r="G250" s="49">
        <v>15523.13</v>
      </c>
      <c r="H250" s="49">
        <v>558.20000000000005</v>
      </c>
      <c r="I250" s="49">
        <v>1005.61</v>
      </c>
    </row>
    <row r="251" spans="1:9">
      <c r="A251" t="s">
        <v>505</v>
      </c>
      <c r="B251" t="s">
        <v>1659</v>
      </c>
      <c r="C251" s="49">
        <v>121861.47</v>
      </c>
      <c r="D251" s="49"/>
      <c r="E251" s="49">
        <v>97905.94</v>
      </c>
      <c r="F251" s="49">
        <v>16077.56</v>
      </c>
      <c r="G251" s="49">
        <v>6934.07</v>
      </c>
      <c r="H251" s="49">
        <v>366.06</v>
      </c>
      <c r="I251" s="49">
        <v>577.84</v>
      </c>
    </row>
    <row r="252" spans="1:9">
      <c r="A252" t="s">
        <v>557</v>
      </c>
      <c r="B252" t="s">
        <v>1660</v>
      </c>
      <c r="C252" s="49">
        <v>80523.959999999992</v>
      </c>
      <c r="D252" s="49"/>
      <c r="E252" s="49">
        <v>70170.039999999994</v>
      </c>
      <c r="F252" s="49">
        <v>6978.67</v>
      </c>
      <c r="G252" s="49">
        <v>2597.81</v>
      </c>
      <c r="H252" s="49">
        <v>494.47</v>
      </c>
      <c r="I252" s="49">
        <v>282.97000000000003</v>
      </c>
    </row>
    <row r="253" spans="1:9">
      <c r="A253" t="s">
        <v>315</v>
      </c>
      <c r="B253" t="s">
        <v>1661</v>
      </c>
      <c r="C253" s="49">
        <v>13945.5</v>
      </c>
      <c r="D253" s="49"/>
      <c r="E253" s="49">
        <v>13127.62</v>
      </c>
      <c r="F253" s="49">
        <v>349.66</v>
      </c>
      <c r="G253" s="49">
        <v>468.22</v>
      </c>
      <c r="H253" s="49">
        <v>0</v>
      </c>
      <c r="I253" s="49">
        <v>0</v>
      </c>
    </row>
    <row r="254" spans="1:9">
      <c r="A254" t="s">
        <v>463</v>
      </c>
      <c r="B254" t="s">
        <v>1662</v>
      </c>
      <c r="C254" s="49">
        <v>53993.960000000006</v>
      </c>
      <c r="D254" s="49"/>
      <c r="E254" s="49">
        <v>41258.65</v>
      </c>
      <c r="F254" s="49">
        <v>5773.29</v>
      </c>
      <c r="G254" s="49">
        <v>6962.02</v>
      </c>
      <c r="H254" s="49">
        <v>0</v>
      </c>
      <c r="I254" s="49">
        <v>0</v>
      </c>
    </row>
    <row r="255" spans="1:9">
      <c r="A255" t="s">
        <v>421</v>
      </c>
      <c r="B255" t="s">
        <v>1663</v>
      </c>
      <c r="C255" s="49">
        <v>6188.5</v>
      </c>
      <c r="D255" s="49"/>
      <c r="E255" s="49">
        <v>5366.28</v>
      </c>
      <c r="F255" s="49">
        <v>336.51</v>
      </c>
      <c r="G255" s="49">
        <v>465.29</v>
      </c>
      <c r="H255" s="49">
        <v>0</v>
      </c>
      <c r="I255" s="49">
        <v>20.420000000000002</v>
      </c>
    </row>
    <row r="256" spans="1:9">
      <c r="A256" t="s">
        <v>103</v>
      </c>
      <c r="B256" t="s">
        <v>1664</v>
      </c>
      <c r="C256" s="49">
        <v>60902</v>
      </c>
      <c r="D256" s="49"/>
      <c r="E256" s="49">
        <v>47848.47</v>
      </c>
      <c r="F256" s="49">
        <v>8249.89</v>
      </c>
      <c r="G256" s="49">
        <v>4468.4400000000005</v>
      </c>
      <c r="H256" s="49">
        <v>25.24</v>
      </c>
      <c r="I256" s="49">
        <v>309.95999999999998</v>
      </c>
    </row>
    <row r="257" spans="1:9">
      <c r="A257" t="s">
        <v>651</v>
      </c>
      <c r="B257" t="s">
        <v>1665</v>
      </c>
      <c r="C257" s="49">
        <v>43682.71</v>
      </c>
      <c r="D257" s="49"/>
      <c r="E257" s="49">
        <v>34189.32</v>
      </c>
      <c r="F257" s="49">
        <v>4428.88</v>
      </c>
      <c r="G257" s="49">
        <v>4907.43</v>
      </c>
      <c r="H257" s="49">
        <v>0</v>
      </c>
      <c r="I257" s="49">
        <v>157.08000000000001</v>
      </c>
    </row>
    <row r="258" spans="1:9">
      <c r="A258" t="s">
        <v>625</v>
      </c>
      <c r="B258" t="s">
        <v>1666</v>
      </c>
      <c r="C258" s="49">
        <v>39785.179999999993</v>
      </c>
      <c r="D258" s="49"/>
      <c r="E258" s="49">
        <v>28012.6</v>
      </c>
      <c r="F258" s="49">
        <v>8055.9</v>
      </c>
      <c r="G258" s="49">
        <v>3277.6899999999996</v>
      </c>
      <c r="H258" s="49">
        <v>0</v>
      </c>
      <c r="I258" s="49">
        <v>438.99</v>
      </c>
    </row>
    <row r="259" spans="1:9">
      <c r="A259" t="s">
        <v>125</v>
      </c>
      <c r="B259" t="s">
        <v>1667</v>
      </c>
      <c r="C259" s="49">
        <v>152899.47</v>
      </c>
      <c r="D259" s="49"/>
      <c r="E259" s="49">
        <v>121550.08</v>
      </c>
      <c r="F259" s="49">
        <v>19003.61</v>
      </c>
      <c r="G259" s="49">
        <v>11361.21</v>
      </c>
      <c r="H259" s="49">
        <v>303.39</v>
      </c>
      <c r="I259" s="49">
        <v>681.18</v>
      </c>
    </row>
    <row r="260" spans="1:9">
      <c r="A260" t="s">
        <v>311</v>
      </c>
      <c r="B260" t="s">
        <v>1668</v>
      </c>
      <c r="C260" s="49">
        <v>11958.84</v>
      </c>
      <c r="D260" s="49"/>
      <c r="E260" s="49">
        <v>8840.1</v>
      </c>
      <c r="F260" s="49">
        <v>1371.2</v>
      </c>
      <c r="G260" s="49">
        <v>1653.5700000000002</v>
      </c>
      <c r="H260" s="49">
        <v>0</v>
      </c>
      <c r="I260" s="49">
        <v>93.97</v>
      </c>
    </row>
    <row r="261" spans="1:9">
      <c r="A261" t="s">
        <v>579</v>
      </c>
      <c r="B261" t="s">
        <v>1669</v>
      </c>
      <c r="C261" s="49">
        <v>8184.16</v>
      </c>
      <c r="D261" s="49"/>
      <c r="E261" s="49">
        <v>6685.82</v>
      </c>
      <c r="F261" s="49">
        <v>743.79</v>
      </c>
      <c r="G261" s="49">
        <v>726.5</v>
      </c>
      <c r="H261" s="49">
        <v>0</v>
      </c>
      <c r="I261" s="49">
        <v>28.05</v>
      </c>
    </row>
    <row r="262" spans="1:9">
      <c r="A262" t="s">
        <v>209</v>
      </c>
      <c r="B262" t="s">
        <v>1670</v>
      </c>
      <c r="C262" s="49">
        <v>4354.3599999999997</v>
      </c>
      <c r="D262" s="49"/>
      <c r="E262" s="49">
        <v>3870.96</v>
      </c>
      <c r="F262" s="49">
        <v>120.15</v>
      </c>
      <c r="G262" s="49">
        <v>352.03</v>
      </c>
      <c r="H262" s="49">
        <v>0</v>
      </c>
      <c r="I262" s="49">
        <v>11.22</v>
      </c>
    </row>
    <row r="263" spans="1:9">
      <c r="A263" t="s">
        <v>121</v>
      </c>
      <c r="B263" t="s">
        <v>1671</v>
      </c>
      <c r="C263" s="49">
        <v>20660.95</v>
      </c>
      <c r="D263" s="49"/>
      <c r="E263" s="49">
        <v>18267.86</v>
      </c>
      <c r="F263" s="49">
        <v>1264.05</v>
      </c>
      <c r="G263" s="49">
        <v>1084.1500000000001</v>
      </c>
      <c r="H263" s="49">
        <v>0</v>
      </c>
      <c r="I263" s="49">
        <v>44.89</v>
      </c>
    </row>
    <row r="264" spans="1:9">
      <c r="A264" t="s">
        <v>331</v>
      </c>
      <c r="B264" t="s">
        <v>1672</v>
      </c>
      <c r="C264" s="49">
        <v>42155.519999999997</v>
      </c>
      <c r="D264" s="49"/>
      <c r="E264" s="49">
        <v>32729.279999999999</v>
      </c>
      <c r="F264" s="49">
        <v>4553.87</v>
      </c>
      <c r="G264" s="49">
        <v>4685.83</v>
      </c>
      <c r="H264" s="49">
        <v>0</v>
      </c>
      <c r="I264" s="49">
        <v>186.54</v>
      </c>
    </row>
    <row r="265" spans="1:9">
      <c r="A265" t="s">
        <v>397</v>
      </c>
      <c r="B265" t="s">
        <v>1673</v>
      </c>
      <c r="C265" s="49">
        <v>24210.14</v>
      </c>
      <c r="D265" s="49"/>
      <c r="E265" s="49">
        <v>20431.969999999998</v>
      </c>
      <c r="F265" s="49">
        <v>1663.17</v>
      </c>
      <c r="G265" s="49">
        <v>2115</v>
      </c>
      <c r="H265" s="49">
        <v>0</v>
      </c>
      <c r="I265" s="49">
        <v>0</v>
      </c>
    </row>
    <row r="266" spans="1:9">
      <c r="A266" t="s">
        <v>281</v>
      </c>
      <c r="B266" t="s">
        <v>1674</v>
      </c>
      <c r="C266" s="49">
        <v>76701.320000000007</v>
      </c>
      <c r="D266" s="49"/>
      <c r="E266" s="49">
        <v>57440.62</v>
      </c>
      <c r="F266" s="49">
        <v>11702.1</v>
      </c>
      <c r="G266" s="49">
        <v>7122.47</v>
      </c>
      <c r="H266" s="49">
        <v>0</v>
      </c>
      <c r="I266" s="49">
        <v>436.13</v>
      </c>
    </row>
    <row r="267" spans="1:9">
      <c r="A267" t="s">
        <v>687</v>
      </c>
      <c r="B267" t="s">
        <v>1675</v>
      </c>
      <c r="C267" s="49">
        <v>488495.55000000005</v>
      </c>
      <c r="D267" s="49"/>
      <c r="E267" s="49">
        <v>397249.28000000003</v>
      </c>
      <c r="F267" s="49">
        <v>60975.63</v>
      </c>
      <c r="G267" s="49">
        <v>24138.809999999998</v>
      </c>
      <c r="H267" s="49">
        <v>3971.95</v>
      </c>
      <c r="I267" s="49">
        <v>2159.88</v>
      </c>
    </row>
    <row r="268" spans="1:9">
      <c r="A268" t="s">
        <v>395</v>
      </c>
      <c r="B268" t="s">
        <v>1676</v>
      </c>
      <c r="C268" s="49">
        <v>1382115.5499999998</v>
      </c>
      <c r="D268" s="49"/>
      <c r="E268" s="49">
        <v>1106519.5999999999</v>
      </c>
      <c r="F268" s="49">
        <v>181594.92</v>
      </c>
      <c r="G268" s="49">
        <v>67017.95</v>
      </c>
      <c r="H268" s="49">
        <v>20781.009999999998</v>
      </c>
      <c r="I268" s="49">
        <v>6202.07</v>
      </c>
    </row>
    <row r="269" spans="1:9">
      <c r="A269" t="s">
        <v>619</v>
      </c>
      <c r="B269" t="s">
        <v>1677</v>
      </c>
      <c r="C269" s="49">
        <v>567349.7300000001</v>
      </c>
      <c r="D269" s="49"/>
      <c r="E269" s="49">
        <v>474783.57000000007</v>
      </c>
      <c r="F269" s="49">
        <v>68504.47</v>
      </c>
      <c r="G269" s="49">
        <v>18084.13</v>
      </c>
      <c r="H269" s="49">
        <v>3274.89</v>
      </c>
      <c r="I269" s="49">
        <v>2702.67</v>
      </c>
    </row>
    <row r="270" spans="1:9">
      <c r="A270" t="s">
        <v>415</v>
      </c>
      <c r="B270" t="s">
        <v>1678</v>
      </c>
      <c r="C270" s="49">
        <v>818725.57000000007</v>
      </c>
      <c r="D270" s="49"/>
      <c r="E270" s="49">
        <v>666904.87</v>
      </c>
      <c r="F270" s="49">
        <v>112025.05</v>
      </c>
      <c r="G270" s="49">
        <v>28530.690000000002</v>
      </c>
      <c r="H270" s="49">
        <v>7242.07</v>
      </c>
      <c r="I270" s="49">
        <v>4022.89</v>
      </c>
    </row>
    <row r="271" spans="1:9">
      <c r="A271" t="s">
        <v>485</v>
      </c>
      <c r="B271" t="s">
        <v>1679</v>
      </c>
      <c r="C271" s="49">
        <v>82075.28</v>
      </c>
      <c r="D271" s="49"/>
      <c r="E271" s="49">
        <v>68670.34</v>
      </c>
      <c r="F271" s="49">
        <v>9898.6299999999992</v>
      </c>
      <c r="G271" s="49">
        <v>3152.87</v>
      </c>
      <c r="H271" s="49">
        <v>0</v>
      </c>
      <c r="I271" s="49">
        <v>353.44</v>
      </c>
    </row>
    <row r="272" spans="1:9">
      <c r="A272" t="s">
        <v>243</v>
      </c>
      <c r="B272" t="s">
        <v>1680</v>
      </c>
      <c r="C272" s="49">
        <v>55114.020000000004</v>
      </c>
      <c r="D272" s="49"/>
      <c r="E272" s="49">
        <v>46925.62</v>
      </c>
      <c r="F272" s="49">
        <v>7001.87</v>
      </c>
      <c r="G272" s="49">
        <v>880.78</v>
      </c>
      <c r="H272" s="49">
        <v>63.11</v>
      </c>
      <c r="I272" s="49">
        <v>242.64</v>
      </c>
    </row>
    <row r="273" spans="1:9">
      <c r="A273" t="s">
        <v>509</v>
      </c>
      <c r="B273" t="s">
        <v>1681</v>
      </c>
      <c r="C273" s="49">
        <v>197274.45</v>
      </c>
      <c r="D273" s="49"/>
      <c r="E273" s="49">
        <v>153583.31</v>
      </c>
      <c r="F273" s="49">
        <v>22912.76</v>
      </c>
      <c r="G273" s="49">
        <v>15607.28</v>
      </c>
      <c r="H273" s="49">
        <v>4342.21</v>
      </c>
      <c r="I273" s="49">
        <v>828.89</v>
      </c>
    </row>
    <row r="274" spans="1:9">
      <c r="A274" t="s">
        <v>601</v>
      </c>
      <c r="B274" t="s">
        <v>1682</v>
      </c>
      <c r="C274" s="49">
        <v>114186.56999999999</v>
      </c>
      <c r="D274" s="49"/>
      <c r="E274" s="49">
        <v>91984.48</v>
      </c>
      <c r="F274" s="49">
        <v>13782.74</v>
      </c>
      <c r="G274" s="49">
        <v>7681.6200000000008</v>
      </c>
      <c r="H274" s="49">
        <v>245.45</v>
      </c>
      <c r="I274" s="49">
        <v>492.28</v>
      </c>
    </row>
    <row r="275" spans="1:9">
      <c r="A275" t="s">
        <v>631</v>
      </c>
      <c r="B275" t="s">
        <v>1683</v>
      </c>
      <c r="C275" s="49">
        <v>14225.240000000002</v>
      </c>
      <c r="D275" s="49"/>
      <c r="E275" s="49">
        <v>11221.2</v>
      </c>
      <c r="F275" s="49">
        <v>1125.33</v>
      </c>
      <c r="G275" s="49">
        <v>1878.71</v>
      </c>
      <c r="H275" s="49">
        <v>0</v>
      </c>
      <c r="I275" s="49">
        <v>0</v>
      </c>
    </row>
    <row r="276" spans="1:9">
      <c r="A276" t="s">
        <v>633</v>
      </c>
      <c r="B276" t="s">
        <v>1684</v>
      </c>
      <c r="C276" s="49">
        <v>42925.84</v>
      </c>
      <c r="D276" s="49"/>
      <c r="E276" s="49">
        <v>38243.659999999996</v>
      </c>
      <c r="F276" s="49">
        <v>0</v>
      </c>
      <c r="G276" s="49">
        <v>4494.0199999999995</v>
      </c>
      <c r="H276" s="49">
        <v>0</v>
      </c>
      <c r="I276" s="49">
        <v>188.16</v>
      </c>
    </row>
    <row r="277" spans="1:9">
      <c r="A277" t="s">
        <v>157</v>
      </c>
      <c r="B277" t="s">
        <v>1685</v>
      </c>
      <c r="C277" s="49">
        <v>3704.07</v>
      </c>
      <c r="D277" s="49"/>
      <c r="E277" s="49">
        <v>3332.4</v>
      </c>
      <c r="F277" s="49">
        <v>0</v>
      </c>
      <c r="G277" s="49">
        <v>371.66999999999996</v>
      </c>
      <c r="H277" s="49">
        <v>0</v>
      </c>
      <c r="I277" s="49">
        <v>0</v>
      </c>
    </row>
    <row r="278" spans="1:9">
      <c r="A278" t="s">
        <v>639</v>
      </c>
      <c r="B278" t="s">
        <v>1686</v>
      </c>
      <c r="C278" s="49">
        <v>505428.94999999995</v>
      </c>
      <c r="D278" s="49"/>
      <c r="E278" s="49">
        <v>386232.01999999996</v>
      </c>
      <c r="F278" s="49">
        <v>59763.81</v>
      </c>
      <c r="G278" s="49">
        <v>38879.64</v>
      </c>
      <c r="H278" s="49">
        <v>18247.39</v>
      </c>
      <c r="I278" s="49">
        <v>2306.09</v>
      </c>
    </row>
    <row r="279" spans="1:9">
      <c r="A279" t="s">
        <v>117</v>
      </c>
      <c r="B279" t="s">
        <v>1687</v>
      </c>
      <c r="C279" s="49">
        <v>152422.78999999998</v>
      </c>
      <c r="D279" s="49"/>
      <c r="E279" s="49">
        <v>113127.53</v>
      </c>
      <c r="F279" s="49">
        <v>18246.189999999999</v>
      </c>
      <c r="G279" s="49">
        <v>13835.89</v>
      </c>
      <c r="H279" s="49">
        <v>6600.28</v>
      </c>
      <c r="I279" s="49">
        <v>612.9</v>
      </c>
    </row>
    <row r="280" spans="1:9">
      <c r="A280" t="s">
        <v>611</v>
      </c>
      <c r="B280" t="s">
        <v>1688</v>
      </c>
      <c r="C280" s="49">
        <v>27617.620000000003</v>
      </c>
      <c r="D280" s="49"/>
      <c r="E280" s="49">
        <v>23067.300000000003</v>
      </c>
      <c r="F280" s="49">
        <v>1837.85</v>
      </c>
      <c r="G280" s="49">
        <v>1847.12</v>
      </c>
      <c r="H280" s="49">
        <v>865.35</v>
      </c>
      <c r="I280" s="49">
        <v>0</v>
      </c>
    </row>
    <row r="281" spans="1:9">
      <c r="A281" t="s">
        <v>123</v>
      </c>
      <c r="B281" t="s">
        <v>1689</v>
      </c>
      <c r="C281" s="49">
        <v>78946.359999999986</v>
      </c>
      <c r="D281" s="49"/>
      <c r="E281" s="49">
        <v>60226.59</v>
      </c>
      <c r="F281" s="49">
        <v>8758.81</v>
      </c>
      <c r="G281" s="49">
        <v>6524.4400000000005</v>
      </c>
      <c r="H281" s="49">
        <v>3136.04</v>
      </c>
      <c r="I281" s="49">
        <v>300.48</v>
      </c>
    </row>
    <row r="282" spans="1:9">
      <c r="A282" t="s">
        <v>637</v>
      </c>
      <c r="B282" t="s">
        <v>1690</v>
      </c>
      <c r="C282" s="49">
        <v>31687.370000000003</v>
      </c>
      <c r="D282" s="49"/>
      <c r="E282" s="49">
        <v>27474.02</v>
      </c>
      <c r="F282" s="49">
        <v>1997.37</v>
      </c>
      <c r="G282" s="49">
        <v>2215.98</v>
      </c>
      <c r="H282" s="49">
        <v>0</v>
      </c>
      <c r="I282" s="49">
        <v>0</v>
      </c>
    </row>
    <row r="283" spans="1:9">
      <c r="A283" t="s">
        <v>461</v>
      </c>
      <c r="B283" t="s">
        <v>1691</v>
      </c>
      <c r="C283" s="49">
        <v>32807.31</v>
      </c>
      <c r="D283" s="49"/>
      <c r="E283" s="49">
        <v>27349.21</v>
      </c>
      <c r="F283" s="49">
        <v>2625.01</v>
      </c>
      <c r="G283" s="49">
        <v>2833.09</v>
      </c>
      <c r="H283" s="49">
        <v>0</v>
      </c>
      <c r="I283" s="49">
        <v>0</v>
      </c>
    </row>
    <row r="284" spans="1:9">
      <c r="A284" t="s">
        <v>55</v>
      </c>
      <c r="B284" t="s">
        <v>1692</v>
      </c>
      <c r="C284" s="49">
        <v>1097833.1199999999</v>
      </c>
      <c r="D284" s="49"/>
      <c r="E284" s="49">
        <v>884588.96</v>
      </c>
      <c r="F284" s="49">
        <v>138465.85</v>
      </c>
      <c r="G284" s="49">
        <v>50090.82</v>
      </c>
      <c r="H284" s="49">
        <v>19687.36</v>
      </c>
      <c r="I284" s="49">
        <v>5000.13</v>
      </c>
    </row>
    <row r="285" spans="1:9">
      <c r="A285" t="s">
        <v>213</v>
      </c>
      <c r="B285" t="s">
        <v>1693</v>
      </c>
      <c r="C285" s="49">
        <v>443905.46</v>
      </c>
      <c r="D285" s="49"/>
      <c r="E285" s="49">
        <v>353269.39</v>
      </c>
      <c r="F285" s="49">
        <v>54859.11</v>
      </c>
      <c r="G285" s="49">
        <v>25068.55</v>
      </c>
      <c r="H285" s="49">
        <v>8767.59</v>
      </c>
      <c r="I285" s="49">
        <v>1940.82</v>
      </c>
    </row>
    <row r="286" spans="1:9">
      <c r="A286" t="s">
        <v>63</v>
      </c>
      <c r="B286" t="s">
        <v>1694</v>
      </c>
      <c r="C286" s="49">
        <v>221575.74</v>
      </c>
      <c r="D286" s="49"/>
      <c r="E286" s="49">
        <v>178132.24</v>
      </c>
      <c r="F286" s="49">
        <v>28174.78</v>
      </c>
      <c r="G286" s="49">
        <v>11996.960000000001</v>
      </c>
      <c r="H286" s="49">
        <v>2290.7199999999998</v>
      </c>
      <c r="I286" s="49">
        <v>981.04</v>
      </c>
    </row>
    <row r="287" spans="1:9">
      <c r="A287" t="s">
        <v>321</v>
      </c>
      <c r="B287" t="s">
        <v>1695</v>
      </c>
      <c r="C287" s="49">
        <v>290188.18000000005</v>
      </c>
      <c r="D287" s="49"/>
      <c r="E287" s="49">
        <v>229933.57000000004</v>
      </c>
      <c r="F287" s="49">
        <v>41247.47</v>
      </c>
      <c r="G287" s="49">
        <v>9016.68</v>
      </c>
      <c r="H287" s="49">
        <v>8575.14</v>
      </c>
      <c r="I287" s="49">
        <v>1415.32</v>
      </c>
    </row>
    <row r="288" spans="1:9">
      <c r="A288" t="s">
        <v>343</v>
      </c>
      <c r="B288" t="s">
        <v>1696</v>
      </c>
      <c r="C288" s="49">
        <v>145837.89000000001</v>
      </c>
      <c r="D288" s="49"/>
      <c r="E288" s="49">
        <v>118699.08</v>
      </c>
      <c r="F288" s="49">
        <v>16659.240000000002</v>
      </c>
      <c r="G288" s="49">
        <v>5439.74</v>
      </c>
      <c r="H288" s="49">
        <v>4299.46</v>
      </c>
      <c r="I288" s="49">
        <v>740.37</v>
      </c>
    </row>
    <row r="289" spans="1:9">
      <c r="A289" t="s">
        <v>383</v>
      </c>
      <c r="B289" t="s">
        <v>1697</v>
      </c>
      <c r="C289" s="49">
        <v>189818.66999999998</v>
      </c>
      <c r="D289" s="49"/>
      <c r="E289" s="49">
        <v>145114.31</v>
      </c>
      <c r="F289" s="49">
        <v>22636.17</v>
      </c>
      <c r="G289" s="49">
        <v>15566.960000000001</v>
      </c>
      <c r="H289" s="49">
        <v>5731.13</v>
      </c>
      <c r="I289" s="49">
        <v>770.1</v>
      </c>
    </row>
    <row r="290" spans="1:9">
      <c r="A290" t="s">
        <v>361</v>
      </c>
      <c r="B290" t="s">
        <v>1698</v>
      </c>
      <c r="C290" s="49">
        <v>165342.56</v>
      </c>
      <c r="D290" s="49"/>
      <c r="E290" s="49">
        <v>128540.70999999999</v>
      </c>
      <c r="F290" s="49">
        <v>21184.71</v>
      </c>
      <c r="G290" s="49">
        <v>12598.01</v>
      </c>
      <c r="H290" s="49">
        <v>2280.84</v>
      </c>
      <c r="I290" s="49">
        <v>738.29</v>
      </c>
    </row>
    <row r="291" spans="1:9">
      <c r="A291" t="s">
        <v>659</v>
      </c>
      <c r="B291" t="s">
        <v>1699</v>
      </c>
      <c r="C291" s="49">
        <v>14594.77</v>
      </c>
      <c r="D291" s="49"/>
      <c r="E291" s="49">
        <v>13883.44</v>
      </c>
      <c r="F291" s="49">
        <v>504.61</v>
      </c>
      <c r="G291" s="49">
        <v>185.13</v>
      </c>
      <c r="H291" s="49">
        <v>0</v>
      </c>
      <c r="I291" s="49">
        <v>21.59</v>
      </c>
    </row>
    <row r="292" spans="1:9">
      <c r="A292" t="s">
        <v>317</v>
      </c>
      <c r="B292" t="s">
        <v>1700</v>
      </c>
      <c r="C292" s="49">
        <v>51056.790000000008</v>
      </c>
      <c r="D292" s="49"/>
      <c r="E292" s="49">
        <v>39525.910000000003</v>
      </c>
      <c r="F292" s="49">
        <v>6098.76</v>
      </c>
      <c r="G292" s="49">
        <v>5432.12</v>
      </c>
      <c r="H292" s="49">
        <v>0</v>
      </c>
      <c r="I292" s="49">
        <v>0</v>
      </c>
    </row>
    <row r="293" spans="1:9">
      <c r="A293" t="s">
        <v>293</v>
      </c>
      <c r="B293" t="s">
        <v>1701</v>
      </c>
      <c r="C293" s="49">
        <v>19923.179999999997</v>
      </c>
      <c r="D293" s="49"/>
      <c r="E293" s="49">
        <v>18540.579999999998</v>
      </c>
      <c r="F293" s="49">
        <v>1060.25</v>
      </c>
      <c r="G293" s="49">
        <v>288.81</v>
      </c>
      <c r="H293" s="49">
        <v>0</v>
      </c>
      <c r="I293" s="49">
        <v>33.54</v>
      </c>
    </row>
    <row r="294" spans="1:9">
      <c r="A294" t="s">
        <v>303</v>
      </c>
      <c r="B294" t="s">
        <v>1702</v>
      </c>
      <c r="C294" s="49">
        <v>5845.29</v>
      </c>
      <c r="D294" s="49"/>
      <c r="E294" s="49">
        <v>5162.68</v>
      </c>
      <c r="F294" s="49">
        <v>308.13</v>
      </c>
      <c r="G294" s="49">
        <v>360.45</v>
      </c>
      <c r="H294" s="49">
        <v>0</v>
      </c>
      <c r="I294" s="49">
        <v>14.03</v>
      </c>
    </row>
    <row r="295" spans="1:9">
      <c r="A295" t="s">
        <v>599</v>
      </c>
      <c r="B295" t="s">
        <v>1703</v>
      </c>
      <c r="C295" s="49">
        <v>27128.94</v>
      </c>
      <c r="D295" s="49"/>
      <c r="E295" s="49">
        <v>23117.739999999998</v>
      </c>
      <c r="F295" s="49">
        <v>2187.9299999999998</v>
      </c>
      <c r="G295" s="49">
        <v>1743.05</v>
      </c>
      <c r="H295" s="49">
        <v>0</v>
      </c>
      <c r="I295" s="49">
        <v>80.22</v>
      </c>
    </row>
    <row r="296" spans="1:9">
      <c r="A296" t="s">
        <v>467</v>
      </c>
      <c r="B296" t="s">
        <v>1704</v>
      </c>
      <c r="C296" s="49">
        <v>235284.93</v>
      </c>
      <c r="D296" s="49"/>
      <c r="E296" s="49">
        <v>197255.08</v>
      </c>
      <c r="F296" s="49">
        <v>27791.439999999999</v>
      </c>
      <c r="G296" s="49">
        <v>6325.37</v>
      </c>
      <c r="H296" s="49">
        <v>2863.96</v>
      </c>
      <c r="I296" s="49">
        <v>1049.08</v>
      </c>
    </row>
    <row r="297" spans="1:9">
      <c r="A297" t="s">
        <v>115</v>
      </c>
      <c r="B297" t="s">
        <v>1705</v>
      </c>
      <c r="C297" s="49">
        <v>50527.44</v>
      </c>
      <c r="D297" s="49"/>
      <c r="E297" s="49">
        <v>43178.07</v>
      </c>
      <c r="F297" s="49">
        <v>5806.6</v>
      </c>
      <c r="G297" s="49">
        <v>1335.2</v>
      </c>
      <c r="H297" s="49">
        <v>0</v>
      </c>
      <c r="I297" s="49">
        <v>207.57</v>
      </c>
    </row>
    <row r="298" spans="1:9">
      <c r="A298" t="s">
        <v>439</v>
      </c>
      <c r="B298" t="s">
        <v>1706</v>
      </c>
      <c r="C298" s="49">
        <v>23197.34</v>
      </c>
      <c r="D298" s="49"/>
      <c r="E298" s="49">
        <v>21246.83</v>
      </c>
      <c r="F298" s="49">
        <v>1529.75</v>
      </c>
      <c r="G298" s="49">
        <v>420.76</v>
      </c>
      <c r="H298" s="49">
        <v>0</v>
      </c>
      <c r="I298" s="49">
        <v>0</v>
      </c>
    </row>
    <row r="299" spans="1:9">
      <c r="A299" t="s">
        <v>223</v>
      </c>
      <c r="B299" t="s">
        <v>1707</v>
      </c>
      <c r="C299" s="49">
        <v>21084.93</v>
      </c>
      <c r="D299" s="49"/>
      <c r="E299" s="49">
        <v>19287.490000000002</v>
      </c>
      <c r="F299" s="49">
        <v>1253.27</v>
      </c>
      <c r="G299" s="49">
        <v>544.16999999999996</v>
      </c>
      <c r="H299" s="49">
        <v>0</v>
      </c>
      <c r="I299" s="49">
        <v>0</v>
      </c>
    </row>
    <row r="300" spans="1:9">
      <c r="A300" t="s">
        <v>573</v>
      </c>
      <c r="B300" t="s">
        <v>1708</v>
      </c>
      <c r="C300" s="49">
        <v>5686.3200000000006</v>
      </c>
      <c r="D300" s="49"/>
      <c r="E300" s="49">
        <v>5159.8900000000003</v>
      </c>
      <c r="F300" s="49">
        <v>526.42999999999995</v>
      </c>
      <c r="G300" s="49">
        <v>0</v>
      </c>
      <c r="H300" s="49">
        <v>0</v>
      </c>
      <c r="I300" s="49">
        <v>0</v>
      </c>
    </row>
    <row r="301" spans="1:9">
      <c r="A301" t="s">
        <v>119</v>
      </c>
      <c r="B301" t="s">
        <v>1709</v>
      </c>
      <c r="C301" s="49">
        <v>25897.57</v>
      </c>
      <c r="D301" s="49"/>
      <c r="E301" s="49">
        <v>23564.079999999998</v>
      </c>
      <c r="F301" s="49">
        <v>1881.32</v>
      </c>
      <c r="G301" s="49">
        <v>452.17</v>
      </c>
      <c r="H301" s="49">
        <v>0</v>
      </c>
      <c r="I301" s="49">
        <v>0</v>
      </c>
    </row>
    <row r="302" spans="1:9">
      <c r="A302" t="s">
        <v>175</v>
      </c>
      <c r="B302" t="s">
        <v>1710</v>
      </c>
      <c r="C302" s="49">
        <v>19422.939999999999</v>
      </c>
      <c r="D302" s="49"/>
      <c r="E302" s="49">
        <v>17786.8</v>
      </c>
      <c r="F302" s="49">
        <v>845.1</v>
      </c>
      <c r="G302" s="49">
        <v>761.57999999999993</v>
      </c>
      <c r="H302" s="49">
        <v>0</v>
      </c>
      <c r="I302" s="49">
        <v>29.46</v>
      </c>
    </row>
    <row r="303" spans="1:9">
      <c r="A303" t="s">
        <v>513</v>
      </c>
      <c r="B303" t="s">
        <v>1711</v>
      </c>
      <c r="C303" s="49">
        <v>25809.1</v>
      </c>
      <c r="D303" s="49"/>
      <c r="E303" s="49">
        <v>22305.27</v>
      </c>
      <c r="F303" s="49">
        <v>1722.86</v>
      </c>
      <c r="G303" s="49">
        <v>1716.79</v>
      </c>
      <c r="H303" s="49">
        <v>0</v>
      </c>
      <c r="I303" s="49">
        <v>64.180000000000007</v>
      </c>
    </row>
    <row r="304" spans="1:9">
      <c r="A304" t="s">
        <v>561</v>
      </c>
      <c r="B304" t="s">
        <v>1712</v>
      </c>
      <c r="C304" s="49">
        <v>21300.260000000002</v>
      </c>
      <c r="D304" s="49"/>
      <c r="E304" s="49">
        <v>19438.960000000003</v>
      </c>
      <c r="F304" s="49">
        <v>1282.06</v>
      </c>
      <c r="G304" s="49">
        <v>528.75</v>
      </c>
      <c r="H304" s="49">
        <v>0</v>
      </c>
      <c r="I304" s="49">
        <v>50.49</v>
      </c>
    </row>
    <row r="305" spans="1:9">
      <c r="A305" t="s">
        <v>403</v>
      </c>
      <c r="B305" t="s">
        <v>1713</v>
      </c>
      <c r="C305" s="49">
        <v>24318.48</v>
      </c>
      <c r="D305" s="49"/>
      <c r="E305" s="49">
        <v>22182.75</v>
      </c>
      <c r="F305" s="49">
        <v>1628.12</v>
      </c>
      <c r="G305" s="49">
        <v>446.34</v>
      </c>
      <c r="H305" s="49">
        <v>0</v>
      </c>
      <c r="I305" s="49">
        <v>61.27</v>
      </c>
    </row>
    <row r="306" spans="1:9">
      <c r="A306" t="s">
        <v>469</v>
      </c>
      <c r="B306" t="s">
        <v>1714</v>
      </c>
      <c r="C306" s="49">
        <v>8657.3700000000008</v>
      </c>
      <c r="D306" s="49"/>
      <c r="E306" s="49">
        <v>7511.92</v>
      </c>
      <c r="F306" s="49">
        <v>923.84</v>
      </c>
      <c r="G306" s="49">
        <v>190.75</v>
      </c>
      <c r="H306" s="49">
        <v>0</v>
      </c>
      <c r="I306" s="49">
        <v>30.86</v>
      </c>
    </row>
    <row r="307" spans="1:9">
      <c r="A307" t="s">
        <v>621</v>
      </c>
      <c r="B307" t="s">
        <v>1715</v>
      </c>
      <c r="C307" s="49">
        <v>63930.51</v>
      </c>
      <c r="D307" s="49"/>
      <c r="E307" s="49">
        <v>46431.94</v>
      </c>
      <c r="F307" s="49">
        <v>6413.03</v>
      </c>
      <c r="G307" s="49">
        <v>7077.13</v>
      </c>
      <c r="H307" s="49">
        <v>3775.59</v>
      </c>
      <c r="I307" s="49">
        <v>232.82</v>
      </c>
    </row>
    <row r="308" spans="1:9">
      <c r="A308" t="s">
        <v>371</v>
      </c>
      <c r="B308" t="s">
        <v>1716</v>
      </c>
      <c r="C308" s="49">
        <v>115183.67000000001</v>
      </c>
      <c r="D308" s="49"/>
      <c r="E308" s="49">
        <v>90330.920000000013</v>
      </c>
      <c r="F308" s="49">
        <v>13493.71</v>
      </c>
      <c r="G308" s="49">
        <v>8994.3799999999992</v>
      </c>
      <c r="H308" s="49">
        <v>1868.16</v>
      </c>
      <c r="I308" s="49">
        <v>496.5</v>
      </c>
    </row>
    <row r="309" spans="1:9">
      <c r="A309" t="s">
        <v>685</v>
      </c>
      <c r="B309" t="s">
        <v>1717</v>
      </c>
      <c r="C309" s="49">
        <v>1601421.48</v>
      </c>
      <c r="D309" s="49"/>
      <c r="E309" s="49">
        <v>1149947.06</v>
      </c>
      <c r="F309" s="49">
        <v>159867.4</v>
      </c>
      <c r="G309" s="49">
        <v>182933.91</v>
      </c>
      <c r="H309" s="49">
        <v>102412.25</v>
      </c>
      <c r="I309" s="49">
        <v>6260.86</v>
      </c>
    </row>
    <row r="310" spans="1:9">
      <c r="A310" t="s">
        <v>161</v>
      </c>
      <c r="B310" t="s">
        <v>1718</v>
      </c>
      <c r="C310" s="49">
        <v>315312.09999999998</v>
      </c>
      <c r="D310" s="49"/>
      <c r="E310" s="49">
        <v>244963.31999999998</v>
      </c>
      <c r="F310" s="49">
        <v>32602.67</v>
      </c>
      <c r="G310" s="49">
        <v>28485.239999999998</v>
      </c>
      <c r="H310" s="49">
        <v>7939.69</v>
      </c>
      <c r="I310" s="49">
        <v>1321.18</v>
      </c>
    </row>
    <row r="311" spans="1:9">
      <c r="A311" t="s">
        <v>525</v>
      </c>
      <c r="B311" t="s">
        <v>1719</v>
      </c>
      <c r="C311" s="49">
        <v>342731.2</v>
      </c>
      <c r="D311" s="49"/>
      <c r="E311" s="49">
        <v>269672.96000000002</v>
      </c>
      <c r="F311" s="49">
        <v>36710.449999999997</v>
      </c>
      <c r="G311" s="49">
        <v>26803.620000000003</v>
      </c>
      <c r="H311" s="49">
        <v>8081.34</v>
      </c>
      <c r="I311" s="49">
        <v>1462.83</v>
      </c>
    </row>
    <row r="312" spans="1:9">
      <c r="A312" t="s">
        <v>323</v>
      </c>
      <c r="B312" t="s">
        <v>1720</v>
      </c>
      <c r="C312" s="49">
        <v>88785.83</v>
      </c>
      <c r="D312" s="49"/>
      <c r="E312" s="49">
        <v>63239.78</v>
      </c>
      <c r="F312" s="49">
        <v>6655.46</v>
      </c>
      <c r="G312" s="49">
        <v>10931.27</v>
      </c>
      <c r="H312" s="49">
        <v>7633.93</v>
      </c>
      <c r="I312" s="49">
        <v>325.39</v>
      </c>
    </row>
    <row r="313" spans="1:9">
      <c r="A313" t="s">
        <v>231</v>
      </c>
      <c r="B313" t="s">
        <v>1721</v>
      </c>
      <c r="C313" s="49">
        <v>366320.28</v>
      </c>
      <c r="D313" s="49"/>
      <c r="E313" s="49">
        <v>260963.30000000002</v>
      </c>
      <c r="F313" s="49">
        <v>38326.18</v>
      </c>
      <c r="G313" s="49">
        <v>40824.660000000003</v>
      </c>
      <c r="H313" s="49">
        <v>24799.41</v>
      </c>
      <c r="I313" s="49">
        <v>1406.73</v>
      </c>
    </row>
    <row r="314" spans="1:9">
      <c r="A314" t="s">
        <v>589</v>
      </c>
      <c r="B314" t="s">
        <v>1722</v>
      </c>
      <c r="C314" s="49">
        <v>681158.07000000007</v>
      </c>
      <c r="D314" s="49"/>
      <c r="E314" s="49">
        <v>481114.57</v>
      </c>
      <c r="F314" s="49">
        <v>70061.86</v>
      </c>
      <c r="G314" s="49">
        <v>82711</v>
      </c>
      <c r="H314" s="49">
        <v>44670.37</v>
      </c>
      <c r="I314" s="49">
        <v>2600.27</v>
      </c>
    </row>
    <row r="315" spans="1:9">
      <c r="A315" t="s">
        <v>609</v>
      </c>
      <c r="B315" t="s">
        <v>1723</v>
      </c>
      <c r="C315" s="49">
        <v>389963.94</v>
      </c>
      <c r="D315" s="49"/>
      <c r="E315" s="49">
        <v>263034.83</v>
      </c>
      <c r="F315" s="49">
        <v>42243.34</v>
      </c>
      <c r="G315" s="49">
        <v>53165.46</v>
      </c>
      <c r="H315" s="49">
        <v>29786.79</v>
      </c>
      <c r="I315" s="49">
        <v>1733.52</v>
      </c>
    </row>
    <row r="316" spans="1:9">
      <c r="A316" t="s">
        <v>247</v>
      </c>
      <c r="B316" t="s">
        <v>1724</v>
      </c>
      <c r="C316" s="49">
        <v>105293.4</v>
      </c>
      <c r="D316" s="49"/>
      <c r="E316" s="49">
        <v>76294.47</v>
      </c>
      <c r="F316" s="49">
        <v>9681.9699999999993</v>
      </c>
      <c r="G316" s="49">
        <v>11913.04</v>
      </c>
      <c r="H316" s="49">
        <v>6984.56</v>
      </c>
      <c r="I316" s="49">
        <v>419.36</v>
      </c>
    </row>
    <row r="317" spans="1:9">
      <c r="A317" t="s">
        <v>233</v>
      </c>
      <c r="B317" t="s">
        <v>1725</v>
      </c>
      <c r="C317" s="49">
        <v>159424.28000000003</v>
      </c>
      <c r="D317" s="49"/>
      <c r="E317" s="49">
        <v>111249.54000000001</v>
      </c>
      <c r="F317" s="49">
        <v>15884.46</v>
      </c>
      <c r="G317" s="49">
        <v>17560.990000000002</v>
      </c>
      <c r="H317" s="49">
        <v>14143.04</v>
      </c>
      <c r="I317" s="49">
        <v>586.25</v>
      </c>
    </row>
    <row r="318" spans="1:9">
      <c r="A318" t="s">
        <v>689</v>
      </c>
      <c r="B318" t="s">
        <v>1726</v>
      </c>
      <c r="C318" s="49">
        <v>120630.6</v>
      </c>
      <c r="D318" s="49"/>
      <c r="E318" s="49">
        <v>95190.670000000013</v>
      </c>
      <c r="F318" s="49">
        <v>10713.43</v>
      </c>
      <c r="G318" s="49">
        <v>11272.08</v>
      </c>
      <c r="H318" s="49">
        <v>2943.9</v>
      </c>
      <c r="I318" s="49">
        <v>510.52</v>
      </c>
    </row>
    <row r="319" spans="1:9">
      <c r="A319" t="s">
        <v>641</v>
      </c>
      <c r="B319" t="s">
        <v>1727</v>
      </c>
      <c r="C319" s="49">
        <v>325886.28000000003</v>
      </c>
      <c r="D319" s="49"/>
      <c r="E319" s="49">
        <v>231797.83000000002</v>
      </c>
      <c r="F319" s="49">
        <v>31269.45</v>
      </c>
      <c r="G319" s="49">
        <v>37723.660000000003</v>
      </c>
      <c r="H319" s="49">
        <v>23854.11</v>
      </c>
      <c r="I319" s="49">
        <v>1241.23</v>
      </c>
    </row>
    <row r="320" spans="1:9">
      <c r="A320" t="s">
        <v>657</v>
      </c>
      <c r="B320" t="s">
        <v>1728</v>
      </c>
      <c r="C320" s="49">
        <v>499602.16</v>
      </c>
      <c r="D320" s="49"/>
      <c r="E320" s="49">
        <v>398347.36</v>
      </c>
      <c r="F320" s="49">
        <v>62233.68</v>
      </c>
      <c r="G320" s="49">
        <v>26745.34</v>
      </c>
      <c r="H320" s="49">
        <v>10079.09</v>
      </c>
      <c r="I320" s="49">
        <v>2196.69</v>
      </c>
    </row>
    <row r="321" spans="1:9">
      <c r="A321" t="s">
        <v>359</v>
      </c>
      <c r="B321" t="s">
        <v>1729</v>
      </c>
      <c r="C321" s="49">
        <v>83884.489999999991</v>
      </c>
      <c r="D321" s="49"/>
      <c r="E321" s="49">
        <v>60647.909999999996</v>
      </c>
      <c r="F321" s="49">
        <v>8918.2199999999993</v>
      </c>
      <c r="G321" s="49">
        <v>11166.89</v>
      </c>
      <c r="H321" s="49">
        <v>2810.66</v>
      </c>
      <c r="I321" s="49">
        <v>340.81</v>
      </c>
    </row>
    <row r="322" spans="1:9">
      <c r="A322" t="s">
        <v>683</v>
      </c>
      <c r="B322" t="s">
        <v>1730</v>
      </c>
      <c r="C322" s="49">
        <v>19248.71</v>
      </c>
      <c r="D322" s="49"/>
      <c r="E322" s="49">
        <v>18084.13</v>
      </c>
      <c r="F322" s="49">
        <v>1164.58</v>
      </c>
      <c r="G322" s="49">
        <v>0</v>
      </c>
      <c r="H322" s="49">
        <v>0</v>
      </c>
      <c r="I322" s="49">
        <v>0</v>
      </c>
    </row>
    <row r="324" spans="1:9">
      <c r="A324" t="s">
        <v>1188</v>
      </c>
      <c r="B324" t="s">
        <v>1731</v>
      </c>
      <c r="C324" s="49">
        <v>106461457.42999995</v>
      </c>
      <c r="D324" s="49"/>
      <c r="E324" s="49">
        <f>SUM(E4:E322)</f>
        <v>84383986.379999906</v>
      </c>
      <c r="F324" s="49">
        <f>SUM(F4:F322)</f>
        <v>11985630.359999994</v>
      </c>
      <c r="G324" s="49">
        <f>SUM(G4:G322)</f>
        <v>6425711.1000000015</v>
      </c>
      <c r="H324" s="49">
        <f>SUM(H4:H322)</f>
        <v>3204399.5300000012</v>
      </c>
      <c r="I324" s="49">
        <f>SUM(I4:I322)</f>
        <v>461730.06000000006</v>
      </c>
    </row>
  </sheetData>
  <sortState xmlns:xlrd2="http://schemas.microsoft.com/office/spreadsheetml/2017/richdata2" ref="A4:I322">
    <sortCondition ref="A4:A322"/>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F6B08-4BBC-41BA-8C62-9BEAD2EB81DD}">
  <sheetPr>
    <tabColor rgb="FFFFFF00"/>
  </sheetPr>
  <dimension ref="A1:H13"/>
  <sheetViews>
    <sheetView workbookViewId="0">
      <selection activeCell="E5" sqref="E5:H8"/>
    </sheetView>
  </sheetViews>
  <sheetFormatPr defaultRowHeight="15"/>
  <cols>
    <col min="1" max="1" width="36.28515625" bestFit="1" customWidth="1"/>
    <col min="3" max="3" width="22" customWidth="1"/>
  </cols>
  <sheetData>
    <row r="1" spans="1:8">
      <c r="A1" s="437" t="s">
        <v>1732</v>
      </c>
      <c r="B1" s="437"/>
      <c r="C1" s="437"/>
      <c r="F1" s="35" t="str">
        <f>'Fund Balance Summary'!$B$1</f>
        <v>14005</v>
      </c>
    </row>
    <row r="2" spans="1:8">
      <c r="A2" s="437" t="s">
        <v>1232</v>
      </c>
      <c r="B2" s="437"/>
      <c r="C2" s="437"/>
    </row>
    <row r="3" spans="1:8">
      <c r="A3" s="6" t="s">
        <v>1241</v>
      </c>
      <c r="C3" s="2"/>
    </row>
    <row r="5" spans="1:8" ht="18.75" customHeight="1">
      <c r="E5" s="457" t="s">
        <v>1733</v>
      </c>
      <c r="F5" s="457"/>
      <c r="G5" s="457"/>
      <c r="H5" s="457"/>
    </row>
    <row r="6" spans="1:8">
      <c r="E6" s="457"/>
      <c r="F6" s="457"/>
      <c r="G6" s="457"/>
      <c r="H6" s="457"/>
    </row>
    <row r="7" spans="1:8" ht="17.25">
      <c r="A7" s="209" t="s">
        <v>1734</v>
      </c>
      <c r="B7" s="64"/>
      <c r="C7" s="121"/>
      <c r="E7" s="457"/>
      <c r="F7" s="457"/>
      <c r="G7" s="457"/>
      <c r="H7" s="457"/>
    </row>
    <row r="8" spans="1:8" ht="18.75">
      <c r="A8" s="330" t="s">
        <v>1258</v>
      </c>
      <c r="B8" s="331"/>
      <c r="C8" s="332">
        <v>0</v>
      </c>
      <c r="D8" s="330"/>
      <c r="E8" s="457"/>
      <c r="F8" s="457"/>
      <c r="G8" s="457"/>
      <c r="H8" s="457"/>
    </row>
    <row r="9" spans="1:8" ht="18.75">
      <c r="A9" s="330" t="s">
        <v>1264</v>
      </c>
      <c r="B9" s="331"/>
      <c r="C9" s="332">
        <v>0</v>
      </c>
      <c r="D9" s="330"/>
    </row>
    <row r="10" spans="1:8" ht="17.25">
      <c r="A10" t="s">
        <v>1261</v>
      </c>
      <c r="B10" s="64"/>
      <c r="C10" s="180">
        <f>+C8+C9</f>
        <v>0</v>
      </c>
    </row>
    <row r="11" spans="1:8" ht="17.25">
      <c r="B11" s="64"/>
      <c r="C11" s="121"/>
    </row>
    <row r="12" spans="1:8">
      <c r="A12" t="s">
        <v>1735</v>
      </c>
      <c r="B12" s="64"/>
      <c r="C12" s="1">
        <v>0</v>
      </c>
    </row>
    <row r="13" spans="1:8" ht="17.25">
      <c r="A13" t="s">
        <v>820</v>
      </c>
      <c r="B13" s="64"/>
      <c r="C13" s="15">
        <f>IF(C12&gt;C10,0,MIN(C10*1,C10-C12))</f>
        <v>0</v>
      </c>
    </row>
  </sheetData>
  <mergeCells count="3">
    <mergeCell ref="A1:C1"/>
    <mergeCell ref="A2:C2"/>
    <mergeCell ref="E5:H8"/>
  </mergeCells>
  <hyperlinks>
    <hyperlink ref="A3" location="'Fund Balance Summary'!A1" display="(Return to summary sheet)" xr:uid="{97CF06A2-A34A-48AC-A10E-FF41DBC22EFC}"/>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C45"/>
  <sheetViews>
    <sheetView workbookViewId="0">
      <selection activeCell="D34" sqref="D34"/>
    </sheetView>
  </sheetViews>
  <sheetFormatPr defaultRowHeight="15"/>
  <cols>
    <col min="1" max="1" width="70.85546875" bestFit="1" customWidth="1"/>
    <col min="2" max="3" width="15.7109375" style="2" customWidth="1"/>
    <col min="4" max="5" width="3.85546875" customWidth="1"/>
    <col min="18" max="18" width="15.42578125" bestFit="1" customWidth="1"/>
    <col min="22" max="22" width="12.5703125" bestFit="1" customWidth="1"/>
    <col min="23" max="23" width="7" bestFit="1" customWidth="1"/>
  </cols>
  <sheetData>
    <row r="1" spans="1:3">
      <c r="A1" s="437" t="s">
        <v>715</v>
      </c>
      <c r="B1" s="437"/>
      <c r="C1" s="437"/>
    </row>
    <row r="2" spans="1:3">
      <c r="A2" s="437" t="s">
        <v>1736</v>
      </c>
      <c r="B2" s="437"/>
      <c r="C2" s="437"/>
    </row>
    <row r="3" spans="1:3">
      <c r="A3" s="120" t="s">
        <v>1737</v>
      </c>
    </row>
    <row r="5" spans="1:3">
      <c r="A5" s="7" t="s">
        <v>1738</v>
      </c>
    </row>
    <row r="6" spans="1:3">
      <c r="A6" t="s">
        <v>1739</v>
      </c>
      <c r="C6" s="1">
        <v>0</v>
      </c>
    </row>
    <row r="7" spans="1:3">
      <c r="A7" t="s">
        <v>1740</v>
      </c>
    </row>
    <row r="8" spans="1:3">
      <c r="A8" s="4" t="s">
        <v>1741</v>
      </c>
      <c r="B8" s="1">
        <v>0</v>
      </c>
    </row>
    <row r="9" spans="1:3">
      <c r="A9" s="4" t="s">
        <v>1742</v>
      </c>
      <c r="B9" s="1">
        <v>0</v>
      </c>
    </row>
    <row r="10" spans="1:3">
      <c r="A10" s="4" t="s">
        <v>1743</v>
      </c>
      <c r="B10" s="1">
        <v>0</v>
      </c>
    </row>
    <row r="11" spans="1:3">
      <c r="A11" s="4" t="s">
        <v>1744</v>
      </c>
      <c r="B11" s="1">
        <v>0</v>
      </c>
    </row>
    <row r="12" spans="1:3">
      <c r="A12" s="4" t="s">
        <v>1745</v>
      </c>
      <c r="B12" s="1">
        <v>0</v>
      </c>
    </row>
    <row r="13" spans="1:3">
      <c r="A13" s="4" t="s">
        <v>1746</v>
      </c>
      <c r="B13" s="1">
        <v>0</v>
      </c>
    </row>
    <row r="14" spans="1:3">
      <c r="A14" s="4" t="s">
        <v>1747</v>
      </c>
      <c r="B14" s="1">
        <v>0</v>
      </c>
    </row>
    <row r="15" spans="1:3" ht="17.25">
      <c r="A15" s="4" t="s">
        <v>1748</v>
      </c>
      <c r="B15" s="60">
        <v>0</v>
      </c>
    </row>
    <row r="16" spans="1:3" ht="17.25">
      <c r="A16" t="s">
        <v>1749</v>
      </c>
      <c r="C16" s="61">
        <f>SUM(B8:B15)</f>
        <v>0</v>
      </c>
    </row>
    <row r="17" spans="1:2">
      <c r="A17" s="59" t="s">
        <v>1750</v>
      </c>
    </row>
    <row r="18" spans="1:2">
      <c r="A18" s="4" t="s">
        <v>1751</v>
      </c>
      <c r="B18" s="1">
        <v>0</v>
      </c>
    </row>
    <row r="19" spans="1:2">
      <c r="A19" s="4" t="s">
        <v>1752</v>
      </c>
      <c r="B19" s="1">
        <v>0</v>
      </c>
    </row>
    <row r="20" spans="1:2">
      <c r="A20" s="4" t="s">
        <v>1753</v>
      </c>
      <c r="B20" s="1">
        <v>0</v>
      </c>
    </row>
    <row r="21" spans="1:2">
      <c r="A21" s="4" t="s">
        <v>1754</v>
      </c>
      <c r="B21" s="1">
        <v>0</v>
      </c>
    </row>
    <row r="22" spans="1:2">
      <c r="A22" s="4" t="s">
        <v>1755</v>
      </c>
      <c r="B22" s="1">
        <v>0</v>
      </c>
    </row>
    <row r="23" spans="1:2">
      <c r="A23" s="4" t="s">
        <v>1756</v>
      </c>
      <c r="B23" s="1">
        <v>0</v>
      </c>
    </row>
    <row r="24" spans="1:2">
      <c r="A24" s="4" t="s">
        <v>1757</v>
      </c>
      <c r="B24" s="1">
        <v>0</v>
      </c>
    </row>
    <row r="25" spans="1:2">
      <c r="A25" s="4" t="s">
        <v>1758</v>
      </c>
      <c r="B25" s="1">
        <v>0</v>
      </c>
    </row>
    <row r="26" spans="1:2">
      <c r="A26" s="4" t="s">
        <v>1759</v>
      </c>
      <c r="B26" s="1">
        <v>0</v>
      </c>
    </row>
    <row r="27" spans="1:2">
      <c r="A27" s="4" t="s">
        <v>1760</v>
      </c>
      <c r="B27" s="1">
        <v>0</v>
      </c>
    </row>
    <row r="28" spans="1:2">
      <c r="A28" s="4" t="s">
        <v>1761</v>
      </c>
      <c r="B28" s="1">
        <v>0</v>
      </c>
    </row>
    <row r="29" spans="1:2">
      <c r="A29" s="4" t="s">
        <v>1762</v>
      </c>
      <c r="B29" s="1">
        <v>0</v>
      </c>
    </row>
    <row r="30" spans="1:2">
      <c r="A30" s="4" t="s">
        <v>1763</v>
      </c>
      <c r="B30" s="1">
        <v>0</v>
      </c>
    </row>
    <row r="31" spans="1:2">
      <c r="A31" s="4" t="s">
        <v>1764</v>
      </c>
      <c r="B31" s="1">
        <v>0</v>
      </c>
    </row>
    <row r="32" spans="1:2">
      <c r="A32" s="4" t="s">
        <v>1765</v>
      </c>
      <c r="B32" s="1">
        <v>0</v>
      </c>
    </row>
    <row r="33" spans="1:3">
      <c r="A33" s="4" t="s">
        <v>1766</v>
      </c>
      <c r="B33" s="1">
        <v>0</v>
      </c>
    </row>
    <row r="34" spans="1:3">
      <c r="A34" s="4" t="s">
        <v>1767</v>
      </c>
      <c r="B34" s="1">
        <v>0</v>
      </c>
    </row>
    <row r="35" spans="1:3">
      <c r="A35" s="4" t="s">
        <v>1768</v>
      </c>
      <c r="B35" s="1">
        <v>0</v>
      </c>
    </row>
    <row r="36" spans="1:3" ht="17.25">
      <c r="A36" s="4" t="s">
        <v>1769</v>
      </c>
      <c r="B36" s="60">
        <v>0</v>
      </c>
    </row>
    <row r="37" spans="1:3" ht="17.25">
      <c r="A37" s="59" t="s">
        <v>1770</v>
      </c>
      <c r="C37" s="62">
        <f>SUM(B18:B36)</f>
        <v>0</v>
      </c>
    </row>
    <row r="38" spans="1:3">
      <c r="A38" s="59" t="s">
        <v>1771</v>
      </c>
      <c r="C38" s="2">
        <f>+C16-C37</f>
        <v>0</v>
      </c>
    </row>
    <row r="39" spans="1:3" ht="17.25">
      <c r="A39" s="59" t="s">
        <v>1772</v>
      </c>
      <c r="C39" s="63">
        <f>+C6+C38</f>
        <v>0</v>
      </c>
    </row>
    <row r="41" spans="1:3">
      <c r="A41" s="7" t="s">
        <v>1233</v>
      </c>
    </row>
    <row r="42" spans="1:3">
      <c r="A42" s="59" t="s">
        <v>1739</v>
      </c>
      <c r="C42" s="1">
        <v>0</v>
      </c>
    </row>
    <row r="43" spans="1:3">
      <c r="A43" s="59" t="s">
        <v>1773</v>
      </c>
      <c r="C43" s="1">
        <v>0</v>
      </c>
    </row>
    <row r="44" spans="1:3" ht="17.25">
      <c r="A44" s="59" t="s">
        <v>1774</v>
      </c>
      <c r="C44" s="60">
        <v>0</v>
      </c>
    </row>
    <row r="45" spans="1:3" ht="17.25">
      <c r="A45" s="59" t="s">
        <v>1772</v>
      </c>
      <c r="C45" s="63">
        <f>+C42+C43-C44</f>
        <v>0</v>
      </c>
    </row>
  </sheetData>
  <mergeCells count="2">
    <mergeCell ref="A1:C1"/>
    <mergeCell ref="A2:C2"/>
  </mergeCells>
  <hyperlinks>
    <hyperlink ref="A3" location="'Fund Balance Summary'!A1" display="(Return to Summary Sheet)" xr:uid="{00000000-0004-0000-09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T58"/>
  <sheetViews>
    <sheetView zoomScale="120" zoomScaleNormal="120" workbookViewId="0">
      <pane ySplit="4" topLeftCell="A5" activePane="bottomLeft" state="frozen"/>
      <selection pane="bottomLeft" activeCell="D3" sqref="D3"/>
    </sheetView>
  </sheetViews>
  <sheetFormatPr defaultColWidth="9.140625" defaultRowHeight="15"/>
  <cols>
    <col min="1" max="1" width="50.7109375" customWidth="1"/>
    <col min="2" max="2" width="16" bestFit="1" customWidth="1"/>
    <col min="3" max="3" width="13.42578125" bestFit="1" customWidth="1"/>
    <col min="4" max="4" width="14.85546875" bestFit="1" customWidth="1"/>
    <col min="5" max="5" width="3.140625" customWidth="1"/>
    <col min="6" max="6" width="13.85546875" bestFit="1" customWidth="1"/>
    <col min="8" max="9" width="2.42578125" customWidth="1"/>
    <col min="23" max="23" width="9.140625" customWidth="1"/>
  </cols>
  <sheetData>
    <row r="1" spans="1:20" ht="35.25" customHeight="1" thickBot="1">
      <c r="A1" s="461" t="s">
        <v>1775</v>
      </c>
      <c r="B1" s="461"/>
      <c r="C1" s="461"/>
      <c r="F1" s="71" t="str">
        <f>'Fund Balance Summary'!B1</f>
        <v>14005</v>
      </c>
      <c r="J1" s="460" t="s">
        <v>1776</v>
      </c>
      <c r="K1" s="460"/>
      <c r="L1" s="460"/>
      <c r="M1" s="460"/>
      <c r="N1" s="460"/>
      <c r="O1" s="460"/>
      <c r="P1" s="460"/>
      <c r="Q1" s="460"/>
      <c r="R1" s="460"/>
      <c r="S1" s="460"/>
    </row>
    <row r="2" spans="1:20" ht="15" customHeight="1">
      <c r="A2" s="462" t="s">
        <v>1232</v>
      </c>
      <c r="B2" s="462"/>
      <c r="C2" s="462"/>
      <c r="J2" s="464" t="s">
        <v>1777</v>
      </c>
      <c r="K2" s="465"/>
      <c r="L2" s="465"/>
      <c r="M2" s="465"/>
      <c r="N2" s="465"/>
      <c r="O2" s="465"/>
      <c r="P2" s="465"/>
      <c r="Q2" s="465"/>
      <c r="R2" s="465"/>
      <c r="S2" s="466"/>
    </row>
    <row r="3" spans="1:20">
      <c r="A3" s="6" t="s">
        <v>1241</v>
      </c>
      <c r="J3" s="467" t="s">
        <v>1232</v>
      </c>
      <c r="K3" s="468"/>
      <c r="L3" s="468"/>
      <c r="M3" s="468"/>
      <c r="N3" s="468"/>
      <c r="O3" s="468"/>
      <c r="P3" s="468"/>
      <c r="Q3" s="468"/>
      <c r="R3" s="468"/>
      <c r="S3" s="469"/>
    </row>
    <row r="4" spans="1:20" ht="22.5">
      <c r="A4" s="47" t="str">
        <f>F1</f>
        <v>14005</v>
      </c>
      <c r="B4" s="7" t="str">
        <f>PROPER(VLOOKUP(F1,CCDDD!$A$2:$B$332,2,FALSE))</f>
        <v>Aberdeen</v>
      </c>
      <c r="F4" s="369" t="s">
        <v>1778</v>
      </c>
      <c r="J4" s="476" t="s">
        <v>1779</v>
      </c>
      <c r="K4" s="477"/>
      <c r="L4" s="477"/>
      <c r="M4" s="477"/>
      <c r="N4" s="477"/>
      <c r="O4" s="477"/>
      <c r="P4" s="477"/>
      <c r="Q4" s="477"/>
      <c r="R4" s="477"/>
      <c r="S4" s="478"/>
    </row>
    <row r="5" spans="1:20">
      <c r="F5" s="415">
        <v>0</v>
      </c>
      <c r="G5" s="412" t="s">
        <v>1780</v>
      </c>
      <c r="H5" s="7"/>
      <c r="I5" s="7"/>
      <c r="J5" s="470" t="s">
        <v>1781</v>
      </c>
      <c r="K5" s="471"/>
      <c r="L5" s="471"/>
      <c r="M5" s="471"/>
      <c r="N5" s="471"/>
      <c r="O5" s="471"/>
      <c r="P5" s="471"/>
      <c r="Q5" s="471"/>
      <c r="R5" s="471"/>
      <c r="S5" s="472"/>
    </row>
    <row r="6" spans="1:20">
      <c r="A6" s="48" t="s">
        <v>1740</v>
      </c>
      <c r="J6" s="470"/>
      <c r="K6" s="471"/>
      <c r="L6" s="471"/>
      <c r="M6" s="471"/>
      <c r="N6" s="471"/>
      <c r="O6" s="471"/>
      <c r="P6" s="471"/>
      <c r="Q6" s="471"/>
      <c r="R6" s="471"/>
      <c r="S6" s="472"/>
    </row>
    <row r="7" spans="1:20">
      <c r="A7" s="34" t="s">
        <v>1782</v>
      </c>
      <c r="D7" s="1">
        <v>0</v>
      </c>
      <c r="J7" s="470"/>
      <c r="K7" s="471"/>
      <c r="L7" s="471"/>
      <c r="M7" s="471"/>
      <c r="N7" s="471"/>
      <c r="O7" s="471"/>
      <c r="P7" s="471"/>
      <c r="Q7" s="471"/>
      <c r="R7" s="471"/>
      <c r="S7" s="472"/>
      <c r="T7" s="115"/>
    </row>
    <row r="8" spans="1:20">
      <c r="A8" s="34" t="s">
        <v>1783</v>
      </c>
      <c r="D8" s="57">
        <v>0</v>
      </c>
      <c r="J8" s="470"/>
      <c r="K8" s="471"/>
      <c r="L8" s="471"/>
      <c r="M8" s="471"/>
      <c r="N8" s="471"/>
      <c r="O8" s="471"/>
      <c r="P8" s="471"/>
      <c r="Q8" s="471"/>
      <c r="R8" s="471"/>
      <c r="S8" s="472"/>
      <c r="T8" s="116"/>
    </row>
    <row r="9" spans="1:20">
      <c r="A9" s="34" t="s">
        <v>1784</v>
      </c>
      <c r="D9" s="57">
        <v>0</v>
      </c>
      <c r="J9" s="470"/>
      <c r="K9" s="471"/>
      <c r="L9" s="471"/>
      <c r="M9" s="471"/>
      <c r="N9" s="471"/>
      <c r="O9" s="471"/>
      <c r="P9" s="471"/>
      <c r="Q9" s="471"/>
      <c r="R9" s="471"/>
      <c r="S9" s="472"/>
      <c r="T9" s="117"/>
    </row>
    <row r="10" spans="1:20">
      <c r="A10" s="305" t="s">
        <v>1785</v>
      </c>
      <c r="B10" s="307"/>
      <c r="C10" s="307"/>
      <c r="D10" s="341" t="s">
        <v>1786</v>
      </c>
      <c r="E10" s="307"/>
      <c r="F10" s="309">
        <f>VLOOKUP($F$1,ALLOC!$B$7:$AS$342,44,FALSE)</f>
        <v>107153.72</v>
      </c>
      <c r="J10" s="302"/>
      <c r="K10" s="303"/>
      <c r="L10" s="303"/>
      <c r="M10" s="303"/>
      <c r="N10" s="303"/>
      <c r="O10" s="303"/>
      <c r="P10" s="303"/>
      <c r="Q10" s="303"/>
      <c r="R10" s="303"/>
      <c r="S10" s="304"/>
      <c r="T10" s="117"/>
    </row>
    <row r="11" spans="1:20" ht="15" customHeight="1">
      <c r="A11" s="34" t="s">
        <v>1787</v>
      </c>
      <c r="D11" s="57">
        <v>0</v>
      </c>
      <c r="F11" s="278"/>
      <c r="J11" s="473" t="s">
        <v>1788</v>
      </c>
      <c r="K11" s="474"/>
      <c r="L11" s="474"/>
      <c r="M11" s="474"/>
      <c r="N11" s="474"/>
      <c r="O11" s="474"/>
      <c r="P11" s="474"/>
      <c r="Q11" s="474"/>
      <c r="R11" s="474"/>
      <c r="S11" s="475"/>
      <c r="T11" s="118"/>
    </row>
    <row r="12" spans="1:20" ht="17.25">
      <c r="A12" s="34" t="s">
        <v>1789</v>
      </c>
      <c r="D12" s="58">
        <v>0</v>
      </c>
      <c r="F12" s="278"/>
      <c r="J12" s="473"/>
      <c r="K12" s="474"/>
      <c r="L12" s="474"/>
      <c r="M12" s="474"/>
      <c r="N12" s="474"/>
      <c r="O12" s="474"/>
      <c r="P12" s="474"/>
      <c r="Q12" s="474"/>
      <c r="R12" s="474"/>
      <c r="S12" s="475"/>
      <c r="T12" s="118"/>
    </row>
    <row r="13" spans="1:20">
      <c r="A13" s="48" t="s">
        <v>1790</v>
      </c>
      <c r="D13" s="21">
        <f>SUM(D7:D12)</f>
        <v>0</v>
      </c>
      <c r="F13" s="278"/>
      <c r="J13" s="476" t="s">
        <v>1791</v>
      </c>
      <c r="K13" s="477"/>
      <c r="L13" s="477"/>
      <c r="M13" s="477"/>
      <c r="N13" s="477"/>
      <c r="O13" s="477"/>
      <c r="P13" s="477"/>
      <c r="Q13" s="477"/>
      <c r="R13" s="477"/>
      <c r="S13" s="478"/>
    </row>
    <row r="14" spans="1:20">
      <c r="A14" s="34"/>
      <c r="F14" s="278"/>
      <c r="J14" s="476"/>
      <c r="K14" s="477"/>
      <c r="L14" s="477"/>
      <c r="M14" s="477"/>
      <c r="N14" s="477"/>
      <c r="O14" s="477"/>
      <c r="P14" s="477"/>
      <c r="Q14" s="477"/>
      <c r="R14" s="477"/>
      <c r="S14" s="478"/>
    </row>
    <row r="15" spans="1:20" ht="30">
      <c r="A15" s="48" t="s">
        <v>1265</v>
      </c>
      <c r="B15" s="50" t="s">
        <v>1266</v>
      </c>
      <c r="C15" s="50" t="s">
        <v>1792</v>
      </c>
      <c r="D15" s="50" t="s">
        <v>1793</v>
      </c>
      <c r="F15" s="278"/>
      <c r="J15" s="470" t="s">
        <v>1794</v>
      </c>
      <c r="K15" s="471"/>
      <c r="L15" s="471"/>
      <c r="M15" s="471"/>
      <c r="N15" s="471"/>
      <c r="O15" s="471"/>
      <c r="P15" s="471"/>
      <c r="Q15" s="471"/>
      <c r="R15" s="471"/>
      <c r="S15" s="472"/>
    </row>
    <row r="16" spans="1:20">
      <c r="A16" s="34" t="s">
        <v>1795</v>
      </c>
      <c r="B16" s="1">
        <v>0</v>
      </c>
      <c r="C16" s="5">
        <f>IF($B$24=0,0,B16/$B$24*$C$24)</f>
        <v>0</v>
      </c>
      <c r="D16" s="5">
        <f>+B16+C16</f>
        <v>0</v>
      </c>
      <c r="E16" t="s">
        <v>1796</v>
      </c>
      <c r="F16" s="278"/>
      <c r="J16" s="479" t="s">
        <v>1797</v>
      </c>
      <c r="K16" s="480"/>
      <c r="L16" s="480"/>
      <c r="M16" s="480"/>
      <c r="N16" s="480"/>
      <c r="O16" s="480"/>
      <c r="P16" s="480"/>
      <c r="Q16" s="480"/>
      <c r="R16" s="480"/>
      <c r="S16" s="481"/>
    </row>
    <row r="17" spans="1:19">
      <c r="A17" s="34" t="s">
        <v>1798</v>
      </c>
      <c r="B17" s="57">
        <v>0</v>
      </c>
      <c r="C17" s="5">
        <f t="shared" ref="C17:C23" si="0">IF($B$24=0,0,B17/$B$24*$C$24)</f>
        <v>0</v>
      </c>
      <c r="D17" s="5">
        <f t="shared" ref="D17:D23" si="1">+B17+C17</f>
        <v>0</v>
      </c>
      <c r="E17" t="s">
        <v>1796</v>
      </c>
      <c r="F17" s="278"/>
      <c r="J17" s="479"/>
      <c r="K17" s="480"/>
      <c r="L17" s="480"/>
      <c r="M17" s="480"/>
      <c r="N17" s="480"/>
      <c r="O17" s="480"/>
      <c r="P17" s="480"/>
      <c r="Q17" s="480"/>
      <c r="R17" s="480"/>
      <c r="S17" s="481"/>
    </row>
    <row r="18" spans="1:19">
      <c r="A18" s="34" t="s">
        <v>1799</v>
      </c>
      <c r="B18" s="57">
        <v>0</v>
      </c>
      <c r="C18" s="5">
        <f t="shared" si="0"/>
        <v>0</v>
      </c>
      <c r="D18" s="5">
        <f t="shared" si="1"/>
        <v>0</v>
      </c>
      <c r="E18" t="s">
        <v>1796</v>
      </c>
      <c r="F18" s="278"/>
      <c r="J18" s="479"/>
      <c r="K18" s="480"/>
      <c r="L18" s="480"/>
      <c r="M18" s="480"/>
      <c r="N18" s="480"/>
      <c r="O18" s="480"/>
      <c r="P18" s="480"/>
      <c r="Q18" s="480"/>
      <c r="R18" s="480"/>
      <c r="S18" s="481"/>
    </row>
    <row r="19" spans="1:19">
      <c r="A19" s="34" t="s">
        <v>1800</v>
      </c>
      <c r="B19" s="57">
        <v>0</v>
      </c>
      <c r="C19" s="5">
        <f t="shared" si="0"/>
        <v>0</v>
      </c>
      <c r="D19" s="5">
        <f t="shared" si="1"/>
        <v>0</v>
      </c>
      <c r="F19" s="278"/>
      <c r="J19" s="470" t="s">
        <v>1801</v>
      </c>
      <c r="K19" s="471"/>
      <c r="L19" s="471"/>
      <c r="M19" s="471"/>
      <c r="N19" s="471"/>
      <c r="O19" s="471"/>
      <c r="P19" s="471"/>
      <c r="Q19" s="471"/>
      <c r="R19" s="471"/>
      <c r="S19" s="472"/>
    </row>
    <row r="20" spans="1:19">
      <c r="A20" s="34" t="s">
        <v>1802</v>
      </c>
      <c r="B20" s="57">
        <v>0</v>
      </c>
      <c r="C20" s="5">
        <f t="shared" si="0"/>
        <v>0</v>
      </c>
      <c r="D20" s="5">
        <f t="shared" si="1"/>
        <v>0</v>
      </c>
      <c r="F20" s="278"/>
      <c r="J20" s="470"/>
      <c r="K20" s="471"/>
      <c r="L20" s="471"/>
      <c r="M20" s="471"/>
      <c r="N20" s="471"/>
      <c r="O20" s="471"/>
      <c r="P20" s="471"/>
      <c r="Q20" s="471"/>
      <c r="R20" s="471"/>
      <c r="S20" s="472"/>
    </row>
    <row r="21" spans="1:19">
      <c r="A21" s="305" t="s">
        <v>1803</v>
      </c>
      <c r="B21" s="339" t="s">
        <v>1786</v>
      </c>
      <c r="C21" s="340" t="s">
        <v>1786</v>
      </c>
      <c r="D21" s="340" t="s">
        <v>1786</v>
      </c>
      <c r="E21" s="307"/>
      <c r="F21" s="1">
        <v>0</v>
      </c>
      <c r="J21" s="302"/>
      <c r="K21" s="303"/>
      <c r="L21" s="303"/>
      <c r="M21" s="303"/>
      <c r="N21" s="303"/>
      <c r="O21" s="303"/>
      <c r="P21" s="303"/>
      <c r="Q21" s="303"/>
      <c r="R21" s="303"/>
      <c r="S21" s="304"/>
    </row>
    <row r="22" spans="1:19">
      <c r="A22" s="34" t="s">
        <v>1804</v>
      </c>
      <c r="B22" s="57">
        <v>0</v>
      </c>
      <c r="C22" s="5">
        <f t="shared" si="0"/>
        <v>0</v>
      </c>
      <c r="D22" s="5">
        <f t="shared" si="1"/>
        <v>0</v>
      </c>
      <c r="E22" t="s">
        <v>1796</v>
      </c>
      <c r="F22" s="278"/>
      <c r="J22" s="470" t="s">
        <v>1805</v>
      </c>
      <c r="K22" s="471"/>
      <c r="L22" s="471"/>
      <c r="M22" s="471"/>
      <c r="N22" s="471"/>
      <c r="O22" s="471"/>
      <c r="P22" s="471"/>
      <c r="Q22" s="471"/>
      <c r="R22" s="471"/>
      <c r="S22" s="472"/>
    </row>
    <row r="23" spans="1:19" ht="17.25">
      <c r="A23" s="34" t="s">
        <v>1806</v>
      </c>
      <c r="B23" s="58">
        <v>0</v>
      </c>
      <c r="C23" s="51">
        <f t="shared" si="0"/>
        <v>0</v>
      </c>
      <c r="D23" s="51">
        <f t="shared" si="1"/>
        <v>0</v>
      </c>
      <c r="F23" s="278"/>
      <c r="J23" s="470" t="s">
        <v>1807</v>
      </c>
      <c r="K23" s="471"/>
      <c r="L23" s="471"/>
      <c r="M23" s="471"/>
      <c r="N23" s="471"/>
      <c r="O23" s="471"/>
      <c r="P23" s="471"/>
      <c r="Q23" s="471"/>
      <c r="R23" s="471"/>
      <c r="S23" s="472"/>
    </row>
    <row r="24" spans="1:19">
      <c r="A24" s="34" t="s">
        <v>1808</v>
      </c>
      <c r="B24" s="5">
        <f>SUM(B16:B23)</f>
        <v>0</v>
      </c>
      <c r="C24" s="1">
        <v>0</v>
      </c>
      <c r="D24" s="5">
        <f>SUM(D16:D23)</f>
        <v>0</v>
      </c>
      <c r="F24" s="278"/>
      <c r="J24" s="470" t="s">
        <v>1809</v>
      </c>
      <c r="K24" s="471"/>
      <c r="L24" s="471"/>
      <c r="M24" s="471"/>
      <c r="N24" s="471"/>
      <c r="O24" s="471"/>
      <c r="P24" s="471"/>
      <c r="Q24" s="471"/>
      <c r="R24" s="471"/>
      <c r="S24" s="472"/>
    </row>
    <row r="25" spans="1:19">
      <c r="A25" s="34"/>
      <c r="F25" s="278"/>
      <c r="J25" s="470" t="s">
        <v>1810</v>
      </c>
      <c r="K25" s="471"/>
      <c r="L25" s="471"/>
      <c r="M25" s="471"/>
      <c r="N25" s="471"/>
      <c r="O25" s="471"/>
      <c r="P25" s="471"/>
      <c r="Q25" s="471"/>
      <c r="R25" s="471"/>
      <c r="S25" s="472"/>
    </row>
    <row r="26" spans="1:19">
      <c r="A26" s="34" t="s">
        <v>1268</v>
      </c>
      <c r="F26" s="278"/>
      <c r="J26" s="470" t="s">
        <v>1811</v>
      </c>
      <c r="K26" s="471"/>
      <c r="L26" s="471"/>
      <c r="M26" s="471"/>
      <c r="N26" s="471"/>
      <c r="O26" s="471"/>
      <c r="P26" s="471"/>
      <c r="Q26" s="471"/>
      <c r="R26" s="471"/>
      <c r="S26" s="472"/>
    </row>
    <row r="27" spans="1:19">
      <c r="A27" s="34" t="s">
        <v>1812</v>
      </c>
      <c r="D27" s="52">
        <f>VLOOKUP($F$1,Indirects!$B$7:$G$354,5,FALSE)</f>
        <v>0.1976</v>
      </c>
      <c r="F27" s="278"/>
      <c r="J27" s="470" t="s">
        <v>1813</v>
      </c>
      <c r="K27" s="471"/>
      <c r="L27" s="471"/>
      <c r="M27" s="471"/>
      <c r="N27" s="471"/>
      <c r="O27" s="471"/>
      <c r="P27" s="471"/>
      <c r="Q27" s="471"/>
      <c r="R27" s="471"/>
      <c r="S27" s="472"/>
    </row>
    <row r="28" spans="1:19">
      <c r="A28" s="34" t="s">
        <v>1814</v>
      </c>
      <c r="B28" s="49"/>
      <c r="D28" s="49">
        <f>ROUND((D16+D17+D18+D22)*D27,2)</f>
        <v>0</v>
      </c>
      <c r="F28" s="278"/>
      <c r="J28" s="470" t="s">
        <v>1815</v>
      </c>
      <c r="K28" s="471"/>
      <c r="L28" s="471"/>
      <c r="M28" s="471"/>
      <c r="N28" s="471"/>
      <c r="O28" s="471"/>
      <c r="P28" s="471"/>
      <c r="Q28" s="471"/>
      <c r="R28" s="471"/>
      <c r="S28" s="472"/>
    </row>
    <row r="29" spans="1:19" ht="17.25">
      <c r="A29" s="48" t="s">
        <v>1816</v>
      </c>
      <c r="B29" s="2"/>
      <c r="D29" s="53">
        <f>+D24+D28</f>
        <v>0</v>
      </c>
      <c r="F29" s="278"/>
      <c r="J29" s="470"/>
      <c r="K29" s="471"/>
      <c r="L29" s="471"/>
      <c r="M29" s="471"/>
      <c r="N29" s="471"/>
      <c r="O29" s="471"/>
      <c r="P29" s="471"/>
      <c r="Q29" s="471"/>
      <c r="R29" s="471"/>
      <c r="S29" s="472"/>
    </row>
    <row r="30" spans="1:19">
      <c r="A30" s="34"/>
      <c r="F30" s="278"/>
      <c r="J30" s="470" t="s">
        <v>1817</v>
      </c>
      <c r="K30" s="471"/>
      <c r="L30" s="471"/>
      <c r="M30" s="471"/>
      <c r="N30" s="471"/>
      <c r="O30" s="471"/>
      <c r="P30" s="471"/>
      <c r="Q30" s="471"/>
      <c r="R30" s="471"/>
      <c r="S30" s="472"/>
    </row>
    <row r="31" spans="1:19" ht="17.25">
      <c r="A31" s="54" t="s">
        <v>1818</v>
      </c>
      <c r="B31" s="5"/>
      <c r="D31" s="55">
        <f>+D13-D29</f>
        <v>0</v>
      </c>
      <c r="F31" s="278"/>
      <c r="J31" s="470"/>
      <c r="K31" s="471"/>
      <c r="L31" s="471"/>
      <c r="M31" s="471"/>
      <c r="N31" s="471"/>
      <c r="O31" s="471"/>
      <c r="P31" s="471"/>
      <c r="Q31" s="471"/>
      <c r="R31" s="471"/>
      <c r="S31" s="472"/>
    </row>
    <row r="32" spans="1:19">
      <c r="F32" s="278"/>
      <c r="J32" s="470"/>
      <c r="K32" s="471"/>
      <c r="L32" s="471"/>
      <c r="M32" s="471"/>
      <c r="N32" s="471"/>
      <c r="O32" s="471"/>
      <c r="P32" s="471"/>
      <c r="Q32" s="471"/>
      <c r="R32" s="471"/>
      <c r="S32" s="472"/>
    </row>
    <row r="33" spans="1:19">
      <c r="F33" s="278"/>
      <c r="J33" s="482" t="s">
        <v>1819</v>
      </c>
      <c r="K33" s="483"/>
      <c r="L33" s="483"/>
      <c r="M33" s="483"/>
      <c r="N33" s="483"/>
      <c r="O33" s="483"/>
      <c r="P33" s="483"/>
      <c r="Q33" s="483"/>
      <c r="R33" s="483"/>
      <c r="S33" s="484"/>
    </row>
    <row r="34" spans="1:19">
      <c r="A34" t="str">
        <f>"2018-19 "&amp;IF(B34&gt;0,"Balance","Deficit")</f>
        <v>2018-19 Deficit</v>
      </c>
      <c r="B34" s="2">
        <f>IF(ISNA(VLOOKUP($F$1,'Food Svc Carryover'!$A$2:$D$419,3,FALSE)),0,VLOOKUP($F$1,'Food Svc Carryover'!$A$2:$D$419,3,FALSE))</f>
        <v>-636876.06999999995</v>
      </c>
      <c r="F34" s="278"/>
      <c r="J34" s="482"/>
      <c r="K34" s="483"/>
      <c r="L34" s="483"/>
      <c r="M34" s="483"/>
      <c r="N34" s="483"/>
      <c r="O34" s="483"/>
      <c r="P34" s="483"/>
      <c r="Q34" s="483"/>
      <c r="R34" s="483"/>
      <c r="S34" s="484"/>
    </row>
    <row r="35" spans="1:19" ht="15.75" thickBot="1">
      <c r="A35" t="str">
        <f>"2019-20 "&amp;IF(B35&gt;0,"Balance","Deficit")</f>
        <v>2019-20 Deficit</v>
      </c>
      <c r="B35" s="2">
        <f>IF(ISNA(VLOOKUP($F$1,'Food Svc Carryover'!$A$2:$D$419,4,FALSE)),0,VLOOKUP($F$1,'Food Svc Carryover'!$A$2:$D$419,4,FALSE))</f>
        <v>-280906.08</v>
      </c>
      <c r="F35" s="278"/>
      <c r="J35" s="485"/>
      <c r="K35" s="486"/>
      <c r="L35" s="486"/>
      <c r="M35" s="486"/>
      <c r="N35" s="486"/>
      <c r="O35" s="486"/>
      <c r="P35" s="486"/>
      <c r="Q35" s="486"/>
      <c r="R35" s="486"/>
      <c r="S35" s="487"/>
    </row>
    <row r="36" spans="1:19">
      <c r="A36" t="str">
        <f>"2020-21 "&amp;IF(B36&gt;0,"Balance","Deficit")</f>
        <v>2020-21 Balance</v>
      </c>
      <c r="B36" s="2">
        <f>IF(ISNA(VLOOKUP($A$4,'Food Svc Carryover'!$A$2:$E$419,5,FALSE)),0,VLOOKUP($A$4,'Food Svc Carryover'!$A$2:$E$419,5,FALSE))</f>
        <v>34224.225940000062</v>
      </c>
      <c r="D36" s="34"/>
      <c r="F36" s="278"/>
    </row>
    <row r="37" spans="1:19">
      <c r="A37" t="str">
        <f>"2021-22 "&amp;IF(B37&gt;0,"Balance","Deficit")</f>
        <v>2021-22 Deficit</v>
      </c>
      <c r="B37" s="2">
        <f>IF(ISNA(VLOOKUP($A$4,'Food Svc Carryover'!$A$2:$F$419,6,FALSE)),0,VLOOKUP($A$4,'Food Svc Carryover'!$A$2:$F$419,6,FALSE))</f>
        <v>-444868.54173117736</v>
      </c>
      <c r="D37" s="34"/>
      <c r="F37" s="278"/>
    </row>
    <row r="38" spans="1:19" ht="15.75">
      <c r="A38" t="str">
        <f>"2022-23 "&amp;IF(B38&gt;0,"Balance","Deficit")</f>
        <v>2022-23 Deficit</v>
      </c>
      <c r="B38" s="2">
        <f>D31</f>
        <v>0</v>
      </c>
      <c r="D38" s="34"/>
      <c r="F38" s="278"/>
      <c r="J38" s="80" t="s">
        <v>1820</v>
      </c>
    </row>
    <row r="39" spans="1:19" ht="17.25">
      <c r="A39" t="str">
        <f>IF(B34+B35+B36&lt;0,"2022-23 Net Deficit Carryforward","2022-23 Net Balance Carryforward")</f>
        <v>2022-23 Net Deficit Carryforward</v>
      </c>
      <c r="B39" s="55">
        <f>SUM(B34:B38)</f>
        <v>-1328426.4657911772</v>
      </c>
      <c r="C39" s="52">
        <f>IF(B39&gt;0,IF(D29=0,0,B39/D29),0)</f>
        <v>0</v>
      </c>
      <c r="D39" s="34"/>
      <c r="F39" s="278"/>
      <c r="J39" t="s">
        <v>1821</v>
      </c>
    </row>
    <row r="40" spans="1:19">
      <c r="A40" t="s">
        <v>1822</v>
      </c>
      <c r="B40" s="5">
        <f>D29/9*3</f>
        <v>0</v>
      </c>
      <c r="C40" s="52"/>
      <c r="D40" s="34"/>
      <c r="F40" s="278"/>
      <c r="J40" t="s">
        <v>1823</v>
      </c>
    </row>
    <row r="41" spans="1:19">
      <c r="A41" s="327" t="str">
        <f>IF(B39&gt;B40,"Excess Cash Resources","")</f>
        <v/>
      </c>
      <c r="B41" s="56">
        <f>IF(B39&gt;B40,B39-B40,0)</f>
        <v>0</v>
      </c>
      <c r="F41" s="278"/>
    </row>
    <row r="42" spans="1:19">
      <c r="A42" s="328" t="str">
        <f>IF(B39&lt;0,"","Net Balance as Percentage of Expenditures")</f>
        <v/>
      </c>
      <c r="C42" s="77">
        <f>IF(B39&gt;0,B39/D29,0)</f>
        <v>0</v>
      </c>
      <c r="F42" s="278"/>
    </row>
    <row r="43" spans="1:19">
      <c r="A43" s="34"/>
      <c r="C43" s="77"/>
      <c r="F43" s="278"/>
    </row>
    <row r="44" spans="1:19" ht="15" customHeight="1">
      <c r="A44" s="308" t="s">
        <v>1824</v>
      </c>
      <c r="C44" s="333"/>
      <c r="F44" s="309">
        <f>+F5+F10-F21</f>
        <v>107153.72</v>
      </c>
      <c r="J44" s="459" t="str">
        <f>IF(F44&lt;0, "Warning: The SCA Deficit amount must be added as additional expenditures to the Food Supply amount at [CELL B-19]. ","")</f>
        <v/>
      </c>
      <c r="K44" s="459"/>
      <c r="L44" s="459"/>
      <c r="M44" s="459"/>
    </row>
    <row r="45" spans="1:19" ht="15" customHeight="1">
      <c r="A45" s="463" t="s">
        <v>1825</v>
      </c>
      <c r="B45" s="463"/>
      <c r="C45" s="463"/>
      <c r="F45" s="458" t="str">
        <f>IF(F44&lt;0, "Warning: SCA CARRYOVER cannot be less than zero","")</f>
        <v/>
      </c>
      <c r="J45" s="459"/>
      <c r="K45" s="459"/>
      <c r="L45" s="459"/>
      <c r="M45" s="459"/>
    </row>
    <row r="46" spans="1:19">
      <c r="A46" s="463" t="s">
        <v>1826</v>
      </c>
      <c r="B46" s="463"/>
      <c r="C46" s="463"/>
      <c r="F46" s="458"/>
      <c r="J46" s="459"/>
      <c r="K46" s="459"/>
      <c r="L46" s="459"/>
      <c r="M46" s="459"/>
    </row>
    <row r="47" spans="1:19">
      <c r="F47" s="458"/>
      <c r="J47" s="459"/>
      <c r="K47" s="459"/>
      <c r="L47" s="459"/>
      <c r="M47" s="459"/>
    </row>
    <row r="48" spans="1:19">
      <c r="F48" s="458"/>
    </row>
    <row r="49" spans="1:13" ht="15" customHeight="1">
      <c r="A49" s="65"/>
      <c r="J49" s="311"/>
      <c r="K49" s="311"/>
      <c r="L49" s="311"/>
      <c r="M49" s="311"/>
    </row>
    <row r="50" spans="1:13">
      <c r="A50" t="s">
        <v>1827</v>
      </c>
      <c r="J50" s="311"/>
      <c r="K50" s="311"/>
      <c r="L50" s="311"/>
      <c r="M50" s="311"/>
    </row>
    <row r="51" spans="1:13" ht="46.5" customHeight="1">
      <c r="A51" s="416" t="s">
        <v>1776</v>
      </c>
      <c r="B51" s="417"/>
      <c r="C51" s="417"/>
      <c r="D51" s="417"/>
      <c r="J51" s="311"/>
      <c r="K51" s="311"/>
      <c r="L51" s="311"/>
      <c r="M51" s="311"/>
    </row>
    <row r="54" spans="1:13">
      <c r="J54" s="7"/>
    </row>
    <row r="55" spans="1:13">
      <c r="J55" s="7"/>
    </row>
    <row r="56" spans="1:13">
      <c r="J56" s="7"/>
    </row>
    <row r="57" spans="1:13">
      <c r="J57" s="7"/>
    </row>
    <row r="58" spans="1:13">
      <c r="J58" s="7"/>
    </row>
  </sheetData>
  <mergeCells count="27">
    <mergeCell ref="J23:S23"/>
    <mergeCell ref="J4:S4"/>
    <mergeCell ref="J30:S31"/>
    <mergeCell ref="J33:S35"/>
    <mergeCell ref="J29:S29"/>
    <mergeCell ref="J32:S32"/>
    <mergeCell ref="J24:S24"/>
    <mergeCell ref="J25:S25"/>
    <mergeCell ref="J26:S26"/>
    <mergeCell ref="J27:S27"/>
    <mergeCell ref="J28:S28"/>
    <mergeCell ref="F45:F48"/>
    <mergeCell ref="J44:M47"/>
    <mergeCell ref="J1:S1"/>
    <mergeCell ref="A1:C1"/>
    <mergeCell ref="A2:C2"/>
    <mergeCell ref="A45:C45"/>
    <mergeCell ref="A46:C46"/>
    <mergeCell ref="J2:S2"/>
    <mergeCell ref="J3:S3"/>
    <mergeCell ref="J5:S9"/>
    <mergeCell ref="J11:S12"/>
    <mergeCell ref="J13:S14"/>
    <mergeCell ref="J15:S15"/>
    <mergeCell ref="J16:S18"/>
    <mergeCell ref="J19:S20"/>
    <mergeCell ref="J22:S22"/>
  </mergeCells>
  <conditionalFormatting sqref="B41">
    <cfRule type="cellIs" dxfId="8" priority="2" operator="equal">
      <formula>0</formula>
    </cfRule>
  </conditionalFormatting>
  <conditionalFormatting sqref="C39:C40">
    <cfRule type="cellIs" dxfId="7" priority="3" operator="equal">
      <formula>0</formula>
    </cfRule>
    <cfRule type="cellIs" dxfId="6" priority="4" operator="greaterThan">
      <formula>0.3333</formula>
    </cfRule>
  </conditionalFormatting>
  <conditionalFormatting sqref="C42:C44">
    <cfRule type="cellIs" dxfId="5" priority="1" operator="equal">
      <formula>0</formula>
    </cfRule>
  </conditionalFormatting>
  <dataValidations count="1">
    <dataValidation type="decimal" errorStyle="information" operator="lessThanOrEqual" allowBlank="1" showInputMessage="1" showErrorMessage="1" errorTitle="Enter As Negative" error="Please enter credit transfers as a negative amount." sqref="C24" xr:uid="{00000000-0002-0000-0A00-000000000000}">
      <formula1>0</formula1>
    </dataValidation>
  </dataValidations>
  <hyperlinks>
    <hyperlink ref="A3" location="'Fund Balance Summary'!A1" display="(Return to summary sheet)" xr:uid="{00000000-0004-0000-0A00-000000000000}"/>
  </hyperlinks>
  <pageMargins left="0.5" right="0.25" top="0.75" bottom="0.75" header="0.3" footer="0.3"/>
  <pageSetup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A364B-EF51-424F-B45D-4A5594780DD0}">
  <dimension ref="A1:Q382"/>
  <sheetViews>
    <sheetView workbookViewId="0">
      <selection activeCell="N12" sqref="N12"/>
    </sheetView>
  </sheetViews>
  <sheetFormatPr defaultRowHeight="15"/>
  <cols>
    <col min="4" max="4" width="15.28515625" bestFit="1" customWidth="1"/>
    <col min="12" max="12" width="30.85546875" bestFit="1" customWidth="1"/>
    <col min="13" max="13" width="6" bestFit="1" customWidth="1"/>
    <col min="14" max="14" width="44" bestFit="1" customWidth="1"/>
    <col min="15" max="15" width="15.28515625" bestFit="1" customWidth="1"/>
    <col min="17" max="17" width="11.5703125" bestFit="1" customWidth="1"/>
  </cols>
  <sheetData>
    <row r="1" spans="1:17">
      <c r="A1" t="s">
        <v>1828</v>
      </c>
      <c r="D1" s="2"/>
    </row>
    <row r="2" spans="1:17">
      <c r="A2" t="s">
        <v>1829</v>
      </c>
      <c r="D2" s="2"/>
    </row>
    <row r="3" spans="1:17">
      <c r="A3" t="s">
        <v>1830</v>
      </c>
      <c r="D3" s="2">
        <f>SUM(D5:D362)</f>
        <v>35026442.890000008</v>
      </c>
      <c r="O3" s="2">
        <f>SUM(O5:O334)</f>
        <v>35026442.890000008</v>
      </c>
      <c r="Q3" s="5">
        <f>+D3-O3</f>
        <v>0</v>
      </c>
    </row>
    <row r="4" spans="1:17">
      <c r="A4" s="7" t="s">
        <v>1831</v>
      </c>
      <c r="B4" s="7" t="s">
        <v>1832</v>
      </c>
      <c r="C4" s="7" t="s">
        <v>1833</v>
      </c>
      <c r="D4" s="21" t="s">
        <v>1834</v>
      </c>
      <c r="E4" s="7"/>
      <c r="F4" s="7" t="s">
        <v>1404</v>
      </c>
      <c r="O4" s="21" t="s">
        <v>1834</v>
      </c>
    </row>
    <row r="5" spans="1:17">
      <c r="A5" t="s">
        <v>1835</v>
      </c>
      <c r="B5" s="419">
        <v>14005</v>
      </c>
      <c r="C5" t="s">
        <v>31</v>
      </c>
      <c r="D5" s="2">
        <v>107153.72</v>
      </c>
      <c r="F5" t="s">
        <v>1836</v>
      </c>
      <c r="L5" s="342" t="s">
        <v>32</v>
      </c>
      <c r="M5" s="342" t="s">
        <v>31</v>
      </c>
      <c r="N5" s="342" t="s">
        <v>825</v>
      </c>
      <c r="O5" s="2">
        <v>107153.72</v>
      </c>
    </row>
    <row r="6" spans="1:17">
      <c r="A6" t="s">
        <v>1837</v>
      </c>
      <c r="B6" s="419">
        <v>21226</v>
      </c>
      <c r="C6" t="s">
        <v>35</v>
      </c>
      <c r="D6" s="2">
        <v>29389.18</v>
      </c>
      <c r="F6" t="s">
        <v>1838</v>
      </c>
      <c r="L6" s="342" t="s">
        <v>36</v>
      </c>
      <c r="M6" s="342" t="s">
        <v>35</v>
      </c>
      <c r="N6" s="342" t="s">
        <v>826</v>
      </c>
      <c r="O6" s="2">
        <v>29389.18</v>
      </c>
    </row>
    <row r="7" spans="1:17">
      <c r="A7" t="s">
        <v>1839</v>
      </c>
      <c r="B7" s="419">
        <v>22017</v>
      </c>
      <c r="C7" t="s">
        <v>37</v>
      </c>
      <c r="D7" s="2">
        <v>14266.93</v>
      </c>
      <c r="F7" t="s">
        <v>1840</v>
      </c>
      <c r="L7" s="342" t="s">
        <v>38</v>
      </c>
      <c r="M7" s="342" t="s">
        <v>37</v>
      </c>
      <c r="N7" s="342" t="s">
        <v>827</v>
      </c>
      <c r="O7" s="2">
        <v>14266.93</v>
      </c>
    </row>
    <row r="8" spans="1:17">
      <c r="A8" t="s">
        <v>1841</v>
      </c>
      <c r="B8" s="419">
        <v>29103</v>
      </c>
      <c r="C8" t="s">
        <v>41</v>
      </c>
      <c r="D8" s="2">
        <v>86792.6</v>
      </c>
      <c r="F8" t="s">
        <v>1842</v>
      </c>
      <c r="L8" s="342" t="s">
        <v>42</v>
      </c>
      <c r="M8" s="342" t="s">
        <v>41</v>
      </c>
      <c r="N8" s="342" t="s">
        <v>828</v>
      </c>
      <c r="O8" s="2">
        <v>86792.6</v>
      </c>
    </row>
    <row r="9" spans="1:17">
      <c r="A9" t="s">
        <v>1843</v>
      </c>
      <c r="B9" s="419">
        <v>31016</v>
      </c>
      <c r="C9" t="s">
        <v>43</v>
      </c>
      <c r="D9" s="2">
        <v>181069.90000000002</v>
      </c>
      <c r="F9" t="s">
        <v>1844</v>
      </c>
      <c r="L9" s="342" t="s">
        <v>44</v>
      </c>
      <c r="M9" s="342" t="s">
        <v>43</v>
      </c>
      <c r="N9" s="342" t="s">
        <v>829</v>
      </c>
      <c r="O9" s="2">
        <v>181069.90000000002</v>
      </c>
    </row>
    <row r="10" spans="1:17">
      <c r="A10" t="s">
        <v>1845</v>
      </c>
      <c r="B10" s="419">
        <v>2420</v>
      </c>
      <c r="C10" t="s">
        <v>45</v>
      </c>
      <c r="D10" s="2">
        <v>28763.38</v>
      </c>
      <c r="F10" t="s">
        <v>1846</v>
      </c>
      <c r="L10" s="342" t="s">
        <v>830</v>
      </c>
      <c r="M10" s="342" t="s">
        <v>45</v>
      </c>
      <c r="N10" s="342" t="s">
        <v>831</v>
      </c>
      <c r="O10" s="2">
        <v>28763.38</v>
      </c>
    </row>
    <row r="11" spans="1:17">
      <c r="A11" t="s">
        <v>1847</v>
      </c>
      <c r="B11" s="419">
        <v>17408</v>
      </c>
      <c r="C11" t="s">
        <v>47</v>
      </c>
      <c r="D11" s="2">
        <v>522890.42000000004</v>
      </c>
      <c r="F11" t="s">
        <v>1848</v>
      </c>
      <c r="L11" s="342" t="s">
        <v>48</v>
      </c>
      <c r="M11" s="342" t="s">
        <v>47</v>
      </c>
      <c r="N11" s="342" t="s">
        <v>832</v>
      </c>
      <c r="O11" s="2">
        <v>522890.42000000004</v>
      </c>
    </row>
    <row r="12" spans="1:17">
      <c r="A12" t="s">
        <v>1849</v>
      </c>
      <c r="B12" s="419">
        <v>18303</v>
      </c>
      <c r="C12" t="s">
        <v>49</v>
      </c>
      <c r="D12" s="2">
        <v>121215.4</v>
      </c>
      <c r="F12" t="s">
        <v>1850</v>
      </c>
      <c r="L12" s="342" t="s">
        <v>50</v>
      </c>
      <c r="M12" s="342" t="s">
        <v>49</v>
      </c>
      <c r="N12" s="342" t="s">
        <v>833</v>
      </c>
      <c r="O12" s="2">
        <v>121215.4</v>
      </c>
    </row>
    <row r="13" spans="1:17">
      <c r="A13" t="s">
        <v>1851</v>
      </c>
      <c r="B13" s="419">
        <v>6119</v>
      </c>
      <c r="C13" t="s">
        <v>51</v>
      </c>
      <c r="D13" s="2">
        <v>380840.36</v>
      </c>
      <c r="F13" t="s">
        <v>1852</v>
      </c>
      <c r="L13" s="342" t="s">
        <v>52</v>
      </c>
      <c r="M13" s="342" t="s">
        <v>51</v>
      </c>
      <c r="N13" s="342" t="s">
        <v>834</v>
      </c>
      <c r="O13" s="2">
        <v>380840.36</v>
      </c>
    </row>
    <row r="14" spans="1:17">
      <c r="A14" t="s">
        <v>1853</v>
      </c>
      <c r="B14" s="419">
        <v>17405</v>
      </c>
      <c r="C14" t="s">
        <v>53</v>
      </c>
      <c r="D14" s="2">
        <v>621675.21</v>
      </c>
      <c r="F14" t="s">
        <v>1854</v>
      </c>
      <c r="L14" s="342" t="s">
        <v>54</v>
      </c>
      <c r="M14" s="342" t="s">
        <v>53</v>
      </c>
      <c r="N14" s="342" t="s">
        <v>835</v>
      </c>
      <c r="O14" s="2">
        <v>621675.21</v>
      </c>
    </row>
    <row r="15" spans="1:17">
      <c r="A15" t="s">
        <v>1855</v>
      </c>
      <c r="B15" s="419">
        <v>37501</v>
      </c>
      <c r="C15" t="s">
        <v>55</v>
      </c>
      <c r="D15" s="2">
        <v>349443.33999999997</v>
      </c>
      <c r="F15" t="s">
        <v>1856</v>
      </c>
      <c r="L15" s="342" t="s">
        <v>56</v>
      </c>
      <c r="M15" s="342" t="s">
        <v>55</v>
      </c>
      <c r="N15" s="342" t="s">
        <v>836</v>
      </c>
      <c r="O15" s="2">
        <v>349443.33999999997</v>
      </c>
    </row>
    <row r="16" spans="1:17">
      <c r="B16" s="419"/>
      <c r="D16" s="2"/>
      <c r="L16" s="342" t="s">
        <v>58</v>
      </c>
      <c r="M16" s="342" t="s">
        <v>57</v>
      </c>
      <c r="N16" s="342" t="s">
        <v>837</v>
      </c>
      <c r="O16" s="2"/>
    </row>
    <row r="17" spans="1:15">
      <c r="A17" t="s">
        <v>1857</v>
      </c>
      <c r="B17" s="419">
        <v>27403</v>
      </c>
      <c r="C17" t="s">
        <v>59</v>
      </c>
      <c r="D17" s="2">
        <v>653274.28</v>
      </c>
      <c r="F17" t="s">
        <v>1858</v>
      </c>
      <c r="L17" s="342" t="s">
        <v>60</v>
      </c>
      <c r="M17" s="342" t="s">
        <v>59</v>
      </c>
      <c r="N17" s="342" t="s">
        <v>838</v>
      </c>
      <c r="O17" s="2">
        <v>653274.28</v>
      </c>
    </row>
    <row r="18" spans="1:15">
      <c r="B18" s="419"/>
      <c r="D18" s="2"/>
      <c r="L18" s="342" t="s">
        <v>62</v>
      </c>
      <c r="M18" s="342" t="s">
        <v>61</v>
      </c>
      <c r="N18" s="342" t="s">
        <v>839</v>
      </c>
      <c r="O18" s="2"/>
    </row>
    <row r="19" spans="1:15">
      <c r="A19" t="s">
        <v>1859</v>
      </c>
      <c r="B19" s="419">
        <v>37503</v>
      </c>
      <c r="C19" t="s">
        <v>63</v>
      </c>
      <c r="D19" s="2">
        <v>63370.009999999995</v>
      </c>
      <c r="F19" t="s">
        <v>1860</v>
      </c>
      <c r="L19" s="342" t="s">
        <v>64</v>
      </c>
      <c r="M19" s="342" t="s">
        <v>63</v>
      </c>
      <c r="N19" s="342" t="s">
        <v>840</v>
      </c>
      <c r="O19" s="2">
        <v>63370.009999999995</v>
      </c>
    </row>
    <row r="20" spans="1:15">
      <c r="A20" t="s">
        <v>1861</v>
      </c>
      <c r="B20" s="419">
        <v>21234</v>
      </c>
      <c r="C20" t="s">
        <v>65</v>
      </c>
      <c r="D20" s="2">
        <v>12752.18</v>
      </c>
      <c r="F20" t="s">
        <v>1862</v>
      </c>
      <c r="L20" s="342" t="s">
        <v>66</v>
      </c>
      <c r="M20" s="342" t="s">
        <v>65</v>
      </c>
      <c r="N20" s="342" t="s">
        <v>841</v>
      </c>
      <c r="O20" s="2">
        <v>12752.18</v>
      </c>
    </row>
    <row r="21" spans="1:15">
      <c r="A21" t="s">
        <v>1863</v>
      </c>
      <c r="B21" s="419">
        <v>18100</v>
      </c>
      <c r="C21" t="s">
        <v>67</v>
      </c>
      <c r="D21" s="2">
        <v>140243.34</v>
      </c>
      <c r="F21" t="s">
        <v>1864</v>
      </c>
      <c r="L21" s="342" t="s">
        <v>68</v>
      </c>
      <c r="M21" s="342" t="s">
        <v>67</v>
      </c>
      <c r="N21" s="342" t="s">
        <v>842</v>
      </c>
      <c r="O21" s="2">
        <v>140243.34</v>
      </c>
    </row>
    <row r="22" spans="1:15">
      <c r="A22" t="s">
        <v>1865</v>
      </c>
      <c r="B22" s="419">
        <v>24111</v>
      </c>
      <c r="C22" t="s">
        <v>69</v>
      </c>
      <c r="D22" s="2">
        <v>39550.979999999996</v>
      </c>
      <c r="F22" t="s">
        <v>1866</v>
      </c>
      <c r="L22" s="342" t="s">
        <v>70</v>
      </c>
      <c r="M22" s="342" t="s">
        <v>69</v>
      </c>
      <c r="N22" s="342" t="s">
        <v>843</v>
      </c>
      <c r="O22" s="2">
        <v>39550.979999999996</v>
      </c>
    </row>
    <row r="23" spans="1:15">
      <c r="A23" t="s">
        <v>1867</v>
      </c>
      <c r="B23" s="419">
        <v>9075</v>
      </c>
      <c r="C23" t="s">
        <v>71</v>
      </c>
      <c r="D23" s="2">
        <v>32452.590000000004</v>
      </c>
      <c r="F23" t="s">
        <v>1868</v>
      </c>
      <c r="L23" s="342" t="s">
        <v>72</v>
      </c>
      <c r="M23" s="342" t="s">
        <v>71</v>
      </c>
      <c r="N23" s="342" t="s">
        <v>844</v>
      </c>
      <c r="O23" s="2">
        <v>32452.590000000004</v>
      </c>
    </row>
    <row r="24" spans="1:15">
      <c r="A24" t="s">
        <v>1869</v>
      </c>
      <c r="B24" s="419">
        <v>16046</v>
      </c>
      <c r="C24" t="s">
        <v>73</v>
      </c>
      <c r="D24" s="2">
        <v>12196.970000000001</v>
      </c>
      <c r="F24" t="s">
        <v>1870</v>
      </c>
      <c r="L24" s="342" t="s">
        <v>74</v>
      </c>
      <c r="M24" s="342" t="s">
        <v>73</v>
      </c>
      <c r="N24" s="342" t="s">
        <v>845</v>
      </c>
      <c r="O24" s="2">
        <v>12196.970000000001</v>
      </c>
    </row>
    <row r="25" spans="1:15">
      <c r="A25" t="s">
        <v>1871</v>
      </c>
      <c r="B25" s="419">
        <v>29100</v>
      </c>
      <c r="C25" t="s">
        <v>75</v>
      </c>
      <c r="D25" s="2">
        <v>112699.22</v>
      </c>
      <c r="F25" t="s">
        <v>1872</v>
      </c>
      <c r="L25" s="342" t="s">
        <v>76</v>
      </c>
      <c r="M25" s="342" t="s">
        <v>75</v>
      </c>
      <c r="N25" s="342" t="s">
        <v>846</v>
      </c>
      <c r="O25" s="2">
        <v>112699.22</v>
      </c>
    </row>
    <row r="26" spans="1:15">
      <c r="A26" t="s">
        <v>1873</v>
      </c>
      <c r="B26" s="419">
        <v>6117</v>
      </c>
      <c r="C26" t="s">
        <v>77</v>
      </c>
      <c r="D26" s="2">
        <v>220414.76</v>
      </c>
      <c r="F26" t="s">
        <v>1874</v>
      </c>
      <c r="L26" s="342" t="s">
        <v>78</v>
      </c>
      <c r="M26" s="342" t="s">
        <v>77</v>
      </c>
      <c r="N26" s="342" t="s">
        <v>847</v>
      </c>
      <c r="O26" s="2">
        <v>220414.76</v>
      </c>
    </row>
    <row r="27" spans="1:15">
      <c r="A27" t="s">
        <v>1875</v>
      </c>
      <c r="B27" s="419">
        <v>5401</v>
      </c>
      <c r="C27" t="s">
        <v>79</v>
      </c>
      <c r="D27" s="2">
        <v>24771.370000000003</v>
      </c>
      <c r="F27" t="s">
        <v>1876</v>
      </c>
      <c r="L27" s="342" t="s">
        <v>80</v>
      </c>
      <c r="M27" s="342" t="s">
        <v>79</v>
      </c>
      <c r="N27" s="342" t="s">
        <v>848</v>
      </c>
      <c r="O27" s="2">
        <v>24771.370000000003</v>
      </c>
    </row>
    <row r="28" spans="1:15">
      <c r="A28" t="s">
        <v>1877</v>
      </c>
      <c r="B28" s="419">
        <v>27019</v>
      </c>
      <c r="C28" t="s">
        <v>81</v>
      </c>
      <c r="D28" s="2">
        <v>15473.400000000001</v>
      </c>
      <c r="F28" t="s">
        <v>1878</v>
      </c>
      <c r="L28" s="342" t="s">
        <v>82</v>
      </c>
      <c r="M28" s="342" t="s">
        <v>81</v>
      </c>
      <c r="N28" s="342" t="s">
        <v>849</v>
      </c>
      <c r="O28" s="2">
        <v>15473.400000000001</v>
      </c>
    </row>
    <row r="29" spans="1:15">
      <c r="A29" t="s">
        <v>1879</v>
      </c>
      <c r="B29" s="419">
        <v>4228</v>
      </c>
      <c r="C29" t="s">
        <v>83</v>
      </c>
      <c r="D29" s="2">
        <v>47331.58</v>
      </c>
      <c r="F29" t="s">
        <v>1880</v>
      </c>
      <c r="L29" s="342" t="s">
        <v>84</v>
      </c>
      <c r="M29" s="342" t="s">
        <v>83</v>
      </c>
      <c r="N29" s="342" t="s">
        <v>850</v>
      </c>
      <c r="O29" s="2">
        <v>47331.58</v>
      </c>
    </row>
    <row r="30" spans="1:15">
      <c r="A30" t="s">
        <v>1881</v>
      </c>
      <c r="B30" s="419">
        <v>4222</v>
      </c>
      <c r="C30" t="s">
        <v>85</v>
      </c>
      <c r="D30" s="2">
        <v>60371.86</v>
      </c>
      <c r="F30" t="s">
        <v>1882</v>
      </c>
      <c r="L30" s="342" t="s">
        <v>86</v>
      </c>
      <c r="M30" s="342" t="s">
        <v>85</v>
      </c>
      <c r="N30" s="342" t="s">
        <v>851</v>
      </c>
      <c r="O30" s="2">
        <v>60371.86</v>
      </c>
    </row>
    <row r="31" spans="1:15">
      <c r="A31" t="s">
        <v>1883</v>
      </c>
      <c r="B31" s="419">
        <v>8401</v>
      </c>
      <c r="C31" t="s">
        <v>87</v>
      </c>
      <c r="D31" s="2">
        <v>53430.42</v>
      </c>
      <c r="F31" t="s">
        <v>1884</v>
      </c>
      <c r="L31" s="342" t="s">
        <v>88</v>
      </c>
      <c r="M31" s="342" t="s">
        <v>87</v>
      </c>
      <c r="N31" s="342" t="s">
        <v>852</v>
      </c>
      <c r="O31" s="2">
        <v>53430.42</v>
      </c>
    </row>
    <row r="32" spans="1:15">
      <c r="A32" t="s">
        <v>1885</v>
      </c>
      <c r="B32" s="419">
        <v>18901</v>
      </c>
      <c r="C32" t="s">
        <v>89</v>
      </c>
      <c r="D32" s="2">
        <v>21287.09</v>
      </c>
      <c r="F32" t="s">
        <v>1886</v>
      </c>
      <c r="L32" s="342" t="s">
        <v>90</v>
      </c>
      <c r="M32" s="343" t="s">
        <v>89</v>
      </c>
      <c r="N32" s="343" t="s">
        <v>853</v>
      </c>
      <c r="O32" s="2">
        <v>21287.09</v>
      </c>
    </row>
    <row r="33" spans="1:15">
      <c r="A33" t="s">
        <v>1887</v>
      </c>
      <c r="B33" s="419">
        <v>20215</v>
      </c>
      <c r="C33" t="s">
        <v>91</v>
      </c>
      <c r="D33" s="2">
        <v>12768.86</v>
      </c>
      <c r="F33" t="s">
        <v>1888</v>
      </c>
      <c r="L33" s="342" t="s">
        <v>92</v>
      </c>
      <c r="M33" s="342" t="s">
        <v>91</v>
      </c>
      <c r="N33" s="342" t="s">
        <v>854</v>
      </c>
      <c r="O33" s="2">
        <v>12768.86</v>
      </c>
    </row>
    <row r="34" spans="1:15">
      <c r="A34" t="s">
        <v>1889</v>
      </c>
      <c r="B34" s="419">
        <v>18401</v>
      </c>
      <c r="C34" t="s">
        <v>93</v>
      </c>
      <c r="D34" s="2">
        <v>365234.33999999997</v>
      </c>
      <c r="F34" t="s">
        <v>1890</v>
      </c>
      <c r="L34" s="342" t="s">
        <v>94</v>
      </c>
      <c r="M34" s="342" t="s">
        <v>93</v>
      </c>
      <c r="N34" s="342" t="s">
        <v>855</v>
      </c>
      <c r="O34" s="2">
        <v>365234.33999999997</v>
      </c>
    </row>
    <row r="35" spans="1:15">
      <c r="A35" t="s">
        <v>1891</v>
      </c>
      <c r="B35" s="419">
        <v>32356</v>
      </c>
      <c r="C35" t="s">
        <v>95</v>
      </c>
      <c r="D35" s="2">
        <v>429178.88</v>
      </c>
      <c r="F35" t="s">
        <v>1892</v>
      </c>
      <c r="L35" s="342" t="s">
        <v>96</v>
      </c>
      <c r="M35" s="342" t="s">
        <v>95</v>
      </c>
      <c r="N35" s="342" t="s">
        <v>856</v>
      </c>
      <c r="O35" s="2">
        <v>429178.88</v>
      </c>
    </row>
    <row r="36" spans="1:15">
      <c r="A36" t="s">
        <v>1893</v>
      </c>
      <c r="B36" s="419">
        <v>21401</v>
      </c>
      <c r="C36" t="s">
        <v>97</v>
      </c>
      <c r="D36" s="2">
        <v>112917.01999999999</v>
      </c>
      <c r="F36" t="s">
        <v>1894</v>
      </c>
      <c r="L36" s="342" t="s">
        <v>98</v>
      </c>
      <c r="M36" s="342" t="s">
        <v>97</v>
      </c>
      <c r="N36" s="342" t="s">
        <v>857</v>
      </c>
      <c r="O36" s="2">
        <v>112917.01999999999</v>
      </c>
    </row>
    <row r="37" spans="1:15">
      <c r="A37" t="s">
        <v>1895</v>
      </c>
      <c r="B37" s="419">
        <v>21302</v>
      </c>
      <c r="C37" t="s">
        <v>99</v>
      </c>
      <c r="D37" s="2">
        <v>98502.61</v>
      </c>
      <c r="F37" t="s">
        <v>1896</v>
      </c>
      <c r="L37" s="342" t="s">
        <v>100</v>
      </c>
      <c r="M37" s="342" t="s">
        <v>99</v>
      </c>
      <c r="N37" s="342" t="s">
        <v>858</v>
      </c>
      <c r="O37" s="2">
        <v>98502.61</v>
      </c>
    </row>
    <row r="38" spans="1:15">
      <c r="A38" t="s">
        <v>1897</v>
      </c>
      <c r="B38" s="419">
        <v>32360</v>
      </c>
      <c r="C38" t="s">
        <v>101</v>
      </c>
      <c r="D38" s="2">
        <v>193031.27000000002</v>
      </c>
      <c r="F38" t="s">
        <v>1898</v>
      </c>
      <c r="L38" s="342" t="s">
        <v>102</v>
      </c>
      <c r="M38" s="342" t="s">
        <v>101</v>
      </c>
      <c r="N38" s="342" t="s">
        <v>859</v>
      </c>
      <c r="O38" s="2">
        <v>193031.27000000002</v>
      </c>
    </row>
    <row r="39" spans="1:15">
      <c r="A39" t="s">
        <v>1899</v>
      </c>
      <c r="B39" s="419">
        <v>33036</v>
      </c>
      <c r="C39" t="s">
        <v>103</v>
      </c>
      <c r="D39" s="2">
        <v>33536.629999999997</v>
      </c>
      <c r="F39" t="s">
        <v>1900</v>
      </c>
      <c r="L39" s="342" t="s">
        <v>104</v>
      </c>
      <c r="M39" s="342" t="s">
        <v>103</v>
      </c>
      <c r="N39" s="342" t="s">
        <v>860</v>
      </c>
      <c r="O39" s="2">
        <v>33536.629999999997</v>
      </c>
    </row>
    <row r="40" spans="1:15">
      <c r="B40" s="419"/>
      <c r="D40" s="2"/>
      <c r="L40" s="342" t="s">
        <v>861</v>
      </c>
      <c r="M40" s="343" t="s">
        <v>105</v>
      </c>
      <c r="N40" s="343" t="s">
        <v>862</v>
      </c>
      <c r="O40" s="2"/>
    </row>
    <row r="41" spans="1:15">
      <c r="A41" t="s">
        <v>1901</v>
      </c>
      <c r="B41" s="419">
        <v>16049</v>
      </c>
      <c r="C41" t="s">
        <v>107</v>
      </c>
      <c r="D41" s="2">
        <v>31879.100000000002</v>
      </c>
      <c r="F41" t="s">
        <v>1902</v>
      </c>
      <c r="L41" s="342" t="s">
        <v>108</v>
      </c>
      <c r="M41" s="342" t="s">
        <v>107</v>
      </c>
      <c r="N41" s="342" t="s">
        <v>863</v>
      </c>
      <c r="O41" s="2">
        <v>31879.100000000002</v>
      </c>
    </row>
    <row r="42" spans="1:15">
      <c r="A42" t="s">
        <v>1903</v>
      </c>
      <c r="B42" s="419">
        <v>2250</v>
      </c>
      <c r="C42" t="s">
        <v>109</v>
      </c>
      <c r="D42" s="2">
        <v>79798.610000000015</v>
      </c>
      <c r="F42" t="s">
        <v>1904</v>
      </c>
      <c r="L42" s="342" t="s">
        <v>110</v>
      </c>
      <c r="M42" s="342" t="s">
        <v>109</v>
      </c>
      <c r="N42" s="342" t="s">
        <v>864</v>
      </c>
      <c r="O42" s="2">
        <v>79798.610000000015</v>
      </c>
    </row>
    <row r="43" spans="1:15">
      <c r="A43" t="s">
        <v>1905</v>
      </c>
      <c r="B43" s="419">
        <v>19404</v>
      </c>
      <c r="C43" t="s">
        <v>111</v>
      </c>
      <c r="D43" s="2">
        <v>37699.960000000006</v>
      </c>
      <c r="F43" t="s">
        <v>1906</v>
      </c>
      <c r="L43" s="342" t="s">
        <v>112</v>
      </c>
      <c r="M43" s="342" t="s">
        <v>111</v>
      </c>
      <c r="N43" s="342" t="s">
        <v>865</v>
      </c>
      <c r="O43" s="2">
        <v>37699.960000000006</v>
      </c>
    </row>
    <row r="44" spans="1:15">
      <c r="A44" t="s">
        <v>1907</v>
      </c>
      <c r="B44" s="419">
        <v>27400</v>
      </c>
      <c r="C44" t="s">
        <v>113</v>
      </c>
      <c r="D44" s="2">
        <v>390096.57</v>
      </c>
      <c r="F44" t="s">
        <v>1908</v>
      </c>
      <c r="L44" s="342" t="s">
        <v>114</v>
      </c>
      <c r="M44" s="342" t="s">
        <v>113</v>
      </c>
      <c r="N44" s="342" t="s">
        <v>866</v>
      </c>
      <c r="O44" s="2">
        <v>390096.57</v>
      </c>
    </row>
    <row r="45" spans="1:15">
      <c r="A45" t="s">
        <v>1909</v>
      </c>
      <c r="B45" s="419">
        <v>38300</v>
      </c>
      <c r="C45" t="s">
        <v>115</v>
      </c>
      <c r="D45" s="2">
        <v>26923.57</v>
      </c>
      <c r="F45" t="s">
        <v>1910</v>
      </c>
      <c r="L45" s="342" t="s">
        <v>116</v>
      </c>
      <c r="M45" s="342" t="s">
        <v>115</v>
      </c>
      <c r="N45" s="342" t="s">
        <v>867</v>
      </c>
      <c r="O45" s="2">
        <v>26923.57</v>
      </c>
    </row>
    <row r="46" spans="1:15">
      <c r="A46" t="s">
        <v>1911</v>
      </c>
      <c r="B46" s="419">
        <v>36250</v>
      </c>
      <c r="C46" t="s">
        <v>117</v>
      </c>
      <c r="D46" s="2">
        <v>57926.8</v>
      </c>
      <c r="F46" t="s">
        <v>1912</v>
      </c>
      <c r="L46" s="342" t="s">
        <v>118</v>
      </c>
      <c r="M46" s="342" t="s">
        <v>117</v>
      </c>
      <c r="N46" s="342" t="s">
        <v>868</v>
      </c>
      <c r="O46" s="2">
        <v>57926.8</v>
      </c>
    </row>
    <row r="47" spans="1:15">
      <c r="A47" t="s">
        <v>1913</v>
      </c>
      <c r="B47" s="419">
        <v>38306</v>
      </c>
      <c r="C47" t="s">
        <v>119</v>
      </c>
      <c r="D47" s="2">
        <v>14730.65</v>
      </c>
      <c r="F47" t="s">
        <v>1914</v>
      </c>
      <c r="L47" s="342" t="s">
        <v>120</v>
      </c>
      <c r="M47" s="342" t="s">
        <v>119</v>
      </c>
      <c r="N47" s="342" t="s">
        <v>869</v>
      </c>
      <c r="O47" s="2">
        <v>14730.65</v>
      </c>
    </row>
    <row r="48" spans="1:15">
      <c r="A48" t="s">
        <v>1915</v>
      </c>
      <c r="B48" s="419">
        <v>33206</v>
      </c>
      <c r="C48" t="s">
        <v>121</v>
      </c>
      <c r="D48" s="2">
        <v>13763.920000000002</v>
      </c>
      <c r="F48" t="s">
        <v>1916</v>
      </c>
      <c r="L48" s="342" t="s">
        <v>122</v>
      </c>
      <c r="M48" s="342" t="s">
        <v>121</v>
      </c>
      <c r="N48" s="342" t="s">
        <v>870</v>
      </c>
      <c r="O48" s="2">
        <v>13763.920000000002</v>
      </c>
    </row>
    <row r="49" spans="1:15">
      <c r="A49" t="s">
        <v>1917</v>
      </c>
      <c r="B49" s="419">
        <v>36400</v>
      </c>
      <c r="C49" t="s">
        <v>123</v>
      </c>
      <c r="D49" s="2">
        <v>33235.79</v>
      </c>
      <c r="F49" t="s">
        <v>1918</v>
      </c>
      <c r="L49" s="342" t="s">
        <v>871</v>
      </c>
      <c r="M49" s="342" t="s">
        <v>123</v>
      </c>
      <c r="N49" s="342" t="s">
        <v>872</v>
      </c>
      <c r="O49" s="2">
        <v>33235.79</v>
      </c>
    </row>
    <row r="50" spans="1:15">
      <c r="A50" t="s">
        <v>1919</v>
      </c>
      <c r="B50" s="419">
        <v>33115</v>
      </c>
      <c r="C50" t="s">
        <v>125</v>
      </c>
      <c r="D50" s="2">
        <v>36117.9</v>
      </c>
      <c r="F50" t="s">
        <v>1920</v>
      </c>
      <c r="L50" s="342" t="s">
        <v>126</v>
      </c>
      <c r="M50" s="342" t="s">
        <v>125</v>
      </c>
      <c r="N50" s="342" t="s">
        <v>873</v>
      </c>
      <c r="O50" s="2">
        <v>36117.9</v>
      </c>
    </row>
    <row r="51" spans="1:15">
      <c r="A51" t="s">
        <v>1921</v>
      </c>
      <c r="B51" s="419">
        <v>29011</v>
      </c>
      <c r="C51" t="s">
        <v>127</v>
      </c>
      <c r="D51" s="2">
        <v>29081.16</v>
      </c>
      <c r="F51" t="s">
        <v>1922</v>
      </c>
      <c r="L51" s="342" t="s">
        <v>128</v>
      </c>
      <c r="M51" s="342" t="s">
        <v>127</v>
      </c>
      <c r="N51" s="342" t="s">
        <v>874</v>
      </c>
      <c r="O51" s="2">
        <v>29081.16</v>
      </c>
    </row>
    <row r="52" spans="1:15">
      <c r="A52" t="s">
        <v>1923</v>
      </c>
      <c r="B52" s="419">
        <v>29317</v>
      </c>
      <c r="C52" t="s">
        <v>129</v>
      </c>
      <c r="D52" s="2">
        <v>24528.66</v>
      </c>
      <c r="F52" t="s">
        <v>1924</v>
      </c>
      <c r="L52" s="342" t="s">
        <v>130</v>
      </c>
      <c r="M52" s="342" t="s">
        <v>129</v>
      </c>
      <c r="N52" s="342" t="s">
        <v>875</v>
      </c>
      <c r="O52" s="2">
        <v>24528.66</v>
      </c>
    </row>
    <row r="53" spans="1:15">
      <c r="A53" t="s">
        <v>1925</v>
      </c>
      <c r="B53" s="419">
        <v>14099</v>
      </c>
      <c r="C53" t="s">
        <v>131</v>
      </c>
      <c r="D53" s="2">
        <v>15204.77</v>
      </c>
      <c r="F53" t="s">
        <v>1926</v>
      </c>
      <c r="L53" s="342" t="s">
        <v>132</v>
      </c>
      <c r="M53" s="342" t="s">
        <v>131</v>
      </c>
      <c r="N53" s="342" t="s">
        <v>876</v>
      </c>
      <c r="O53" s="2">
        <v>15204.77</v>
      </c>
    </row>
    <row r="54" spans="1:15">
      <c r="A54" t="s">
        <v>1927</v>
      </c>
      <c r="B54" s="419">
        <v>13151</v>
      </c>
      <c r="C54" t="s">
        <v>133</v>
      </c>
      <c r="D54" s="2">
        <v>15723.650000000001</v>
      </c>
      <c r="F54" t="s">
        <v>1928</v>
      </c>
      <c r="L54" s="342" t="s">
        <v>877</v>
      </c>
      <c r="M54" s="342" t="s">
        <v>133</v>
      </c>
      <c r="N54" s="342" t="s">
        <v>878</v>
      </c>
      <c r="O54" s="2">
        <v>15723.650000000001</v>
      </c>
    </row>
    <row r="55" spans="1:15">
      <c r="A55" t="s">
        <v>1929</v>
      </c>
      <c r="B55" s="419">
        <v>15204</v>
      </c>
      <c r="C55" t="s">
        <v>135</v>
      </c>
      <c r="D55" s="2">
        <v>39375.18</v>
      </c>
      <c r="F55" t="s">
        <v>1930</v>
      </c>
      <c r="L55" s="342" t="s">
        <v>136</v>
      </c>
      <c r="M55" s="342" t="s">
        <v>135</v>
      </c>
      <c r="N55" s="342" t="s">
        <v>879</v>
      </c>
      <c r="O55" s="2">
        <v>39375.18</v>
      </c>
    </row>
    <row r="56" spans="1:15">
      <c r="A56" t="s">
        <v>1931</v>
      </c>
      <c r="B56" s="419">
        <v>5313</v>
      </c>
      <c r="C56" t="s">
        <v>137</v>
      </c>
      <c r="D56" s="2">
        <v>16665.259999999998</v>
      </c>
      <c r="F56" t="s">
        <v>1932</v>
      </c>
      <c r="L56" s="342" t="s">
        <v>138</v>
      </c>
      <c r="M56" s="342" t="s">
        <v>137</v>
      </c>
      <c r="N56" s="342" t="s">
        <v>880</v>
      </c>
      <c r="O56" s="2">
        <v>16665.259999999998</v>
      </c>
    </row>
    <row r="57" spans="1:15">
      <c r="A57" t="s">
        <v>1933</v>
      </c>
      <c r="B57" s="419">
        <v>22073</v>
      </c>
      <c r="C57" t="s">
        <v>139</v>
      </c>
      <c r="D57" s="2">
        <v>12812.720000000001</v>
      </c>
      <c r="F57" t="s">
        <v>1934</v>
      </c>
      <c r="L57" s="342" t="s">
        <v>140</v>
      </c>
      <c r="M57" s="342" t="s">
        <v>139</v>
      </c>
      <c r="N57" s="342" t="s">
        <v>881</v>
      </c>
      <c r="O57" s="2">
        <v>12812.720000000001</v>
      </c>
    </row>
    <row r="58" spans="1:15">
      <c r="A58" t="s">
        <v>1935</v>
      </c>
      <c r="B58" s="419">
        <v>10050</v>
      </c>
      <c r="C58" t="s">
        <v>141</v>
      </c>
      <c r="D58" s="2">
        <v>15910.4</v>
      </c>
      <c r="F58" t="s">
        <v>1936</v>
      </c>
      <c r="L58" s="342" t="s">
        <v>142</v>
      </c>
      <c r="M58" s="342" t="s">
        <v>141</v>
      </c>
      <c r="N58" s="342" t="s">
        <v>882</v>
      </c>
      <c r="O58" s="2">
        <v>15910.4</v>
      </c>
    </row>
    <row r="59" spans="1:15">
      <c r="A59" t="s">
        <v>1937</v>
      </c>
      <c r="B59" s="419">
        <v>26059</v>
      </c>
      <c r="C59" t="s">
        <v>143</v>
      </c>
      <c r="D59" s="2">
        <v>17662.379999999997</v>
      </c>
      <c r="F59" t="s">
        <v>1938</v>
      </c>
      <c r="L59" s="342" t="s">
        <v>144</v>
      </c>
      <c r="M59" s="342" t="s">
        <v>143</v>
      </c>
      <c r="N59" s="342" t="s">
        <v>883</v>
      </c>
      <c r="O59" s="2">
        <v>17662.379999999997</v>
      </c>
    </row>
    <row r="60" spans="1:15">
      <c r="B60" s="419"/>
      <c r="D60" s="2"/>
      <c r="L60" s="342" t="s">
        <v>146</v>
      </c>
      <c r="M60" s="342" t="s">
        <v>145</v>
      </c>
      <c r="N60" s="342" t="s">
        <v>884</v>
      </c>
      <c r="O60" s="2"/>
    </row>
    <row r="61" spans="1:15">
      <c r="A61" t="s">
        <v>1939</v>
      </c>
      <c r="B61" s="419">
        <v>31330</v>
      </c>
      <c r="C61" t="s">
        <v>147</v>
      </c>
      <c r="D61" s="2">
        <v>23022.6</v>
      </c>
      <c r="F61" t="s">
        <v>1940</v>
      </c>
      <c r="L61" s="342" t="s">
        <v>148</v>
      </c>
      <c r="M61" s="342" t="s">
        <v>147</v>
      </c>
      <c r="N61" s="342" t="s">
        <v>885</v>
      </c>
      <c r="O61" s="2">
        <v>23022.6</v>
      </c>
    </row>
    <row r="62" spans="1:15">
      <c r="A62" t="s">
        <v>1941</v>
      </c>
      <c r="B62" s="419">
        <v>22207</v>
      </c>
      <c r="C62" t="s">
        <v>149</v>
      </c>
      <c r="D62" s="2">
        <v>28668.480000000003</v>
      </c>
      <c r="F62" t="s">
        <v>1942</v>
      </c>
      <c r="L62" s="342" t="s">
        <v>150</v>
      </c>
      <c r="M62" s="342" t="s">
        <v>149</v>
      </c>
      <c r="N62" s="342" t="s">
        <v>886</v>
      </c>
      <c r="O62" s="2">
        <v>28668.480000000003</v>
      </c>
    </row>
    <row r="63" spans="1:15">
      <c r="A63" t="s">
        <v>1943</v>
      </c>
      <c r="B63" s="419">
        <v>7002</v>
      </c>
      <c r="C63" t="s">
        <v>151</v>
      </c>
      <c r="D63" s="2">
        <v>21655.300000000003</v>
      </c>
      <c r="F63" t="s">
        <v>1944</v>
      </c>
      <c r="L63" s="342" t="s">
        <v>152</v>
      </c>
      <c r="M63" s="342" t="s">
        <v>151</v>
      </c>
      <c r="N63" s="342" t="s">
        <v>887</v>
      </c>
      <c r="O63" s="2">
        <v>21655.300000000003</v>
      </c>
    </row>
    <row r="64" spans="1:15">
      <c r="A64" t="s">
        <v>1945</v>
      </c>
      <c r="B64" s="419">
        <v>32414</v>
      </c>
      <c r="C64" t="s">
        <v>153</v>
      </c>
      <c r="D64" s="2">
        <v>75288.87</v>
      </c>
      <c r="F64" t="s">
        <v>1946</v>
      </c>
      <c r="L64" s="342" t="s">
        <v>154</v>
      </c>
      <c r="M64" s="342" t="s">
        <v>153</v>
      </c>
      <c r="N64" s="342" t="s">
        <v>888</v>
      </c>
      <c r="O64" s="2">
        <v>75288.87</v>
      </c>
    </row>
    <row r="65" spans="1:15">
      <c r="A65" t="s">
        <v>1947</v>
      </c>
      <c r="B65" s="419">
        <v>27343</v>
      </c>
      <c r="C65" t="s">
        <v>155</v>
      </c>
      <c r="D65" s="2">
        <v>53699.86</v>
      </c>
      <c r="F65" t="s">
        <v>1948</v>
      </c>
      <c r="L65" s="342" t="s">
        <v>156</v>
      </c>
      <c r="M65" s="342" t="s">
        <v>155</v>
      </c>
      <c r="N65" s="342" t="s">
        <v>889</v>
      </c>
      <c r="O65" s="2">
        <v>53699.86</v>
      </c>
    </row>
    <row r="66" spans="1:15">
      <c r="A66" t="s">
        <v>1949</v>
      </c>
      <c r="B66" s="419">
        <v>36101</v>
      </c>
      <c r="C66" t="s">
        <v>157</v>
      </c>
      <c r="D66" s="2">
        <v>10519.69</v>
      </c>
      <c r="F66" t="s">
        <v>1950</v>
      </c>
      <c r="L66" s="342" t="s">
        <v>158</v>
      </c>
      <c r="M66" s="342" t="s">
        <v>157</v>
      </c>
      <c r="N66" s="342" t="s">
        <v>890</v>
      </c>
      <c r="O66" s="2">
        <v>10519.69</v>
      </c>
    </row>
    <row r="67" spans="1:15">
      <c r="A67" t="s">
        <v>1951</v>
      </c>
      <c r="B67" s="419">
        <v>32361</v>
      </c>
      <c r="C67" t="s">
        <v>159</v>
      </c>
      <c r="D67" s="2">
        <v>122976.12</v>
      </c>
      <c r="F67" t="s">
        <v>1952</v>
      </c>
      <c r="L67" s="342" t="s">
        <v>891</v>
      </c>
      <c r="M67" s="342" t="s">
        <v>159</v>
      </c>
      <c r="N67" s="342" t="s">
        <v>892</v>
      </c>
      <c r="O67" s="2">
        <v>122976.12</v>
      </c>
    </row>
    <row r="68" spans="1:15">
      <c r="A68" t="s">
        <v>1953</v>
      </c>
      <c r="B68" s="419">
        <v>39090</v>
      </c>
      <c r="C68" t="s">
        <v>161</v>
      </c>
      <c r="D68" s="2">
        <v>111590.06</v>
      </c>
      <c r="F68" t="s">
        <v>1954</v>
      </c>
      <c r="L68" s="342" t="s">
        <v>162</v>
      </c>
      <c r="M68" s="342" t="s">
        <v>161</v>
      </c>
      <c r="N68" s="342" t="s">
        <v>893</v>
      </c>
      <c r="O68" s="2">
        <v>111590.06</v>
      </c>
    </row>
    <row r="69" spans="1:15">
      <c r="A69" t="s">
        <v>1955</v>
      </c>
      <c r="B69" s="419">
        <v>9206</v>
      </c>
      <c r="C69" t="s">
        <v>163</v>
      </c>
      <c r="D69" s="2">
        <v>189111.7</v>
      </c>
      <c r="F69" t="s">
        <v>1956</v>
      </c>
      <c r="L69" s="342" t="s">
        <v>164</v>
      </c>
      <c r="M69" s="342" t="s">
        <v>163</v>
      </c>
      <c r="N69" s="342" t="s">
        <v>894</v>
      </c>
      <c r="O69" s="2">
        <v>189111.7</v>
      </c>
    </row>
    <row r="70" spans="1:15">
      <c r="A70" t="s">
        <v>1957</v>
      </c>
      <c r="B70" s="419">
        <v>19028</v>
      </c>
      <c r="C70" t="s">
        <v>165</v>
      </c>
      <c r="D70" s="2">
        <v>12709.119999999999</v>
      </c>
      <c r="F70" t="s">
        <v>1958</v>
      </c>
      <c r="L70" s="342" t="s">
        <v>166</v>
      </c>
      <c r="M70" s="342" t="s">
        <v>165</v>
      </c>
      <c r="N70" s="342" t="s">
        <v>895</v>
      </c>
      <c r="O70" s="2">
        <v>12709.119999999999</v>
      </c>
    </row>
    <row r="71" spans="1:15">
      <c r="A71" t="s">
        <v>1959</v>
      </c>
      <c r="B71" s="419">
        <v>27404</v>
      </c>
      <c r="C71" t="s">
        <v>167</v>
      </c>
      <c r="D71" s="2">
        <v>70816.56</v>
      </c>
      <c r="F71" t="s">
        <v>1960</v>
      </c>
      <c r="L71" s="342" t="s">
        <v>168</v>
      </c>
      <c r="M71" s="342" t="s">
        <v>167</v>
      </c>
      <c r="N71" s="342" t="s">
        <v>896</v>
      </c>
      <c r="O71" s="2">
        <v>70816.56</v>
      </c>
    </row>
    <row r="72" spans="1:15">
      <c r="A72" t="s">
        <v>1961</v>
      </c>
      <c r="B72" s="419">
        <v>31015</v>
      </c>
      <c r="C72" t="s">
        <v>169</v>
      </c>
      <c r="D72" s="2">
        <v>609508.41</v>
      </c>
      <c r="F72" t="s">
        <v>1962</v>
      </c>
      <c r="L72" s="342" t="s">
        <v>170</v>
      </c>
      <c r="M72" s="342" t="s">
        <v>169</v>
      </c>
      <c r="N72" s="342" t="s">
        <v>897</v>
      </c>
      <c r="O72" s="2">
        <v>609508.41</v>
      </c>
    </row>
    <row r="73" spans="1:15">
      <c r="A73" t="s">
        <v>1963</v>
      </c>
      <c r="B73" s="419">
        <v>19401</v>
      </c>
      <c r="C73" t="s">
        <v>171</v>
      </c>
      <c r="D73" s="2">
        <v>110276.68000000001</v>
      </c>
      <c r="F73" t="s">
        <v>1964</v>
      </c>
      <c r="L73" s="342" t="s">
        <v>172</v>
      </c>
      <c r="M73" s="342" t="s">
        <v>171</v>
      </c>
      <c r="N73" s="342" t="s">
        <v>898</v>
      </c>
      <c r="O73" s="2">
        <v>110276.68000000001</v>
      </c>
    </row>
    <row r="74" spans="1:15">
      <c r="A74" t="s">
        <v>1965</v>
      </c>
      <c r="B74" s="419">
        <v>14068</v>
      </c>
      <c r="C74" t="s">
        <v>173</v>
      </c>
      <c r="D74" s="2">
        <v>57998.44</v>
      </c>
      <c r="F74" t="s">
        <v>1966</v>
      </c>
      <c r="L74" s="342" t="s">
        <v>174</v>
      </c>
      <c r="M74" s="342" t="s">
        <v>173</v>
      </c>
      <c r="N74" s="342" t="s">
        <v>899</v>
      </c>
      <c r="O74" s="2">
        <v>57998.44</v>
      </c>
    </row>
    <row r="75" spans="1:15">
      <c r="A75" t="s">
        <v>1967</v>
      </c>
      <c r="B75" s="419">
        <v>38308</v>
      </c>
      <c r="C75" t="s">
        <v>175</v>
      </c>
      <c r="D75" s="2">
        <v>12655.66</v>
      </c>
      <c r="F75" t="s">
        <v>1968</v>
      </c>
      <c r="L75" s="342" t="s">
        <v>176</v>
      </c>
      <c r="M75" s="342" t="s">
        <v>175</v>
      </c>
      <c r="N75" s="342" t="s">
        <v>900</v>
      </c>
      <c r="O75" s="2">
        <v>12655.66</v>
      </c>
    </row>
    <row r="76" spans="1:15">
      <c r="A76" t="s">
        <v>1969</v>
      </c>
      <c r="B76" s="419">
        <v>4127</v>
      </c>
      <c r="C76" t="s">
        <v>177</v>
      </c>
      <c r="D76" s="2">
        <v>20513.580000000002</v>
      </c>
      <c r="F76" t="s">
        <v>1970</v>
      </c>
      <c r="L76" s="342" t="s">
        <v>178</v>
      </c>
      <c r="M76" s="342" t="s">
        <v>177</v>
      </c>
      <c r="N76" s="342" t="s">
        <v>901</v>
      </c>
      <c r="O76" s="2">
        <v>20513.580000000002</v>
      </c>
    </row>
    <row r="77" spans="1:15">
      <c r="A77" t="s">
        <v>1971</v>
      </c>
      <c r="B77" s="419">
        <v>17216</v>
      </c>
      <c r="C77" t="s">
        <v>179</v>
      </c>
      <c r="D77" s="2">
        <v>138676.94</v>
      </c>
      <c r="F77" t="s">
        <v>1972</v>
      </c>
      <c r="L77" s="342" t="s">
        <v>180</v>
      </c>
      <c r="M77" s="342" t="s">
        <v>179</v>
      </c>
      <c r="N77" s="342" t="s">
        <v>902</v>
      </c>
      <c r="O77" s="2">
        <v>138676.94</v>
      </c>
    </row>
    <row r="78" spans="1:15">
      <c r="A78" t="s">
        <v>1973</v>
      </c>
      <c r="B78" s="419">
        <v>13165</v>
      </c>
      <c r="C78" t="s">
        <v>181</v>
      </c>
      <c r="D78" s="2">
        <v>93298.74</v>
      </c>
      <c r="F78" t="s">
        <v>1974</v>
      </c>
      <c r="L78" s="342" t="s">
        <v>182</v>
      </c>
      <c r="M78" s="342" t="s">
        <v>181</v>
      </c>
      <c r="N78" s="342" t="s">
        <v>903</v>
      </c>
      <c r="O78" s="2">
        <v>93298.74</v>
      </c>
    </row>
    <row r="79" spans="1:15">
      <c r="B79" s="419"/>
      <c r="D79" s="2"/>
      <c r="L79" s="342" t="s">
        <v>184</v>
      </c>
      <c r="M79" s="344" t="s">
        <v>183</v>
      </c>
      <c r="N79" s="345" t="s">
        <v>904</v>
      </c>
      <c r="O79" s="2"/>
    </row>
    <row r="80" spans="1:15">
      <c r="B80" s="419"/>
      <c r="D80" s="2"/>
      <c r="L80" s="342" t="s">
        <v>186</v>
      </c>
      <c r="M80" s="342" t="s">
        <v>185</v>
      </c>
      <c r="N80" s="345" t="s">
        <v>905</v>
      </c>
      <c r="O80" s="2"/>
    </row>
    <row r="81" spans="1:15">
      <c r="B81" s="419"/>
      <c r="D81" s="2"/>
      <c r="L81" s="342" t="s">
        <v>188</v>
      </c>
      <c r="M81" s="344" t="s">
        <v>187</v>
      </c>
      <c r="N81" s="345" t="s">
        <v>906</v>
      </c>
      <c r="O81" s="2"/>
    </row>
    <row r="82" spans="1:15">
      <c r="B82" s="419"/>
      <c r="D82" s="2"/>
      <c r="L82" s="342" t="s">
        <v>190</v>
      </c>
      <c r="M82" s="344" t="s">
        <v>189</v>
      </c>
      <c r="N82" s="345" t="s">
        <v>907</v>
      </c>
      <c r="O82" s="2"/>
    </row>
    <row r="83" spans="1:15">
      <c r="B83" s="419"/>
      <c r="D83" s="2"/>
      <c r="L83" s="342" t="s">
        <v>192</v>
      </c>
      <c r="M83" s="342" t="s">
        <v>191</v>
      </c>
      <c r="N83" s="345" t="s">
        <v>908</v>
      </c>
      <c r="O83" s="2"/>
    </row>
    <row r="84" spans="1:15">
      <c r="B84" s="419"/>
      <c r="D84" s="2"/>
      <c r="L84" s="342" t="s">
        <v>194</v>
      </c>
      <c r="M84" s="344" t="s">
        <v>193</v>
      </c>
      <c r="N84" s="345" t="s">
        <v>909</v>
      </c>
      <c r="O84" s="2"/>
    </row>
    <row r="85" spans="1:15">
      <c r="B85" s="419"/>
      <c r="D85" s="2"/>
      <c r="L85" s="342" t="s">
        <v>196</v>
      </c>
      <c r="M85" s="344" t="s">
        <v>195</v>
      </c>
      <c r="N85" s="345" t="s">
        <v>910</v>
      </c>
      <c r="O85" s="2"/>
    </row>
    <row r="86" spans="1:15">
      <c r="B86" s="419"/>
      <c r="D86" s="2"/>
      <c r="L86" s="342" t="s">
        <v>198</v>
      </c>
      <c r="M86" s="344" t="s">
        <v>197</v>
      </c>
      <c r="N86" s="345" t="s">
        <v>911</v>
      </c>
      <c r="O86" s="2"/>
    </row>
    <row r="87" spans="1:15">
      <c r="B87" s="419"/>
      <c r="D87" s="2"/>
      <c r="L87" s="342" t="s">
        <v>200</v>
      </c>
      <c r="M87" s="344" t="s">
        <v>199</v>
      </c>
      <c r="N87" s="345" t="s">
        <v>912</v>
      </c>
      <c r="O87" s="2"/>
    </row>
    <row r="88" spans="1:15">
      <c r="B88" s="419"/>
      <c r="D88" s="2"/>
      <c r="L88" s="342" t="s">
        <v>202</v>
      </c>
      <c r="M88" s="342" t="s">
        <v>201</v>
      </c>
      <c r="N88" s="345" t="s">
        <v>913</v>
      </c>
      <c r="O88" s="2"/>
    </row>
    <row r="89" spans="1:15">
      <c r="B89" s="419"/>
      <c r="D89" s="2"/>
      <c r="L89" s="342" t="s">
        <v>204</v>
      </c>
      <c r="M89" s="342" t="s">
        <v>203</v>
      </c>
      <c r="N89" s="342" t="s">
        <v>914</v>
      </c>
      <c r="O89" s="2"/>
    </row>
    <row r="90" spans="1:15">
      <c r="A90" t="s">
        <v>1975</v>
      </c>
      <c r="B90" s="419">
        <v>31002</v>
      </c>
      <c r="C90" t="s">
        <v>205</v>
      </c>
      <c r="D90" s="2">
        <v>613503.38</v>
      </c>
      <c r="F90" t="s">
        <v>1976</v>
      </c>
      <c r="L90" s="342" t="s">
        <v>206</v>
      </c>
      <c r="M90" s="342" t="s">
        <v>205</v>
      </c>
      <c r="N90" s="342" t="s">
        <v>915</v>
      </c>
      <c r="O90" s="2">
        <v>613503.38</v>
      </c>
    </row>
    <row r="91" spans="1:15">
      <c r="A91" t="s">
        <v>1977</v>
      </c>
      <c r="B91" s="419">
        <v>6114</v>
      </c>
      <c r="C91" t="s">
        <v>207</v>
      </c>
      <c r="D91" s="2">
        <v>696703.25</v>
      </c>
      <c r="F91" t="s">
        <v>1978</v>
      </c>
      <c r="L91" s="342" t="s">
        <v>208</v>
      </c>
      <c r="M91" s="342" t="s">
        <v>207</v>
      </c>
      <c r="N91" s="342" t="s">
        <v>916</v>
      </c>
      <c r="O91" s="2">
        <v>696703.25</v>
      </c>
    </row>
    <row r="92" spans="1:15">
      <c r="A92" t="s">
        <v>1979</v>
      </c>
      <c r="B92" s="419">
        <v>33205</v>
      </c>
      <c r="C92" t="s">
        <v>209</v>
      </c>
      <c r="D92" s="2">
        <v>10998.830000000002</v>
      </c>
      <c r="F92" t="s">
        <v>1980</v>
      </c>
      <c r="L92" s="342" t="s">
        <v>210</v>
      </c>
      <c r="M92" s="342" t="s">
        <v>209</v>
      </c>
      <c r="N92" s="342" t="s">
        <v>917</v>
      </c>
      <c r="O92" s="2">
        <v>10998.830000000002</v>
      </c>
    </row>
    <row r="93" spans="1:15">
      <c r="A93" t="s">
        <v>1981</v>
      </c>
      <c r="B93" s="419">
        <v>17210</v>
      </c>
      <c r="C93" t="s">
        <v>211</v>
      </c>
      <c r="D93" s="2">
        <v>636419.89999999991</v>
      </c>
      <c r="F93" t="s">
        <v>1982</v>
      </c>
      <c r="L93" s="342" t="s">
        <v>212</v>
      </c>
      <c r="M93" s="342" t="s">
        <v>211</v>
      </c>
      <c r="N93" s="342" t="s">
        <v>918</v>
      </c>
      <c r="O93" s="2">
        <v>636419.89999999991</v>
      </c>
    </row>
    <row r="94" spans="1:15">
      <c r="A94" t="s">
        <v>1983</v>
      </c>
      <c r="B94" s="419">
        <v>37502</v>
      </c>
      <c r="C94" t="s">
        <v>213</v>
      </c>
      <c r="D94" s="2">
        <v>145394.96000000002</v>
      </c>
      <c r="F94" t="s">
        <v>1984</v>
      </c>
      <c r="L94" s="342" t="s">
        <v>214</v>
      </c>
      <c r="M94" s="342" t="s">
        <v>213</v>
      </c>
      <c r="N94" s="342" t="s">
        <v>919</v>
      </c>
      <c r="O94" s="2">
        <v>145394.96000000002</v>
      </c>
    </row>
    <row r="95" spans="1:15">
      <c r="A95" t="s">
        <v>1985</v>
      </c>
      <c r="B95" s="419">
        <v>27417</v>
      </c>
      <c r="C95" t="s">
        <v>215</v>
      </c>
      <c r="D95" s="2">
        <v>128168.58</v>
      </c>
      <c r="F95" t="s">
        <v>1986</v>
      </c>
      <c r="L95" s="342" t="s">
        <v>216</v>
      </c>
      <c r="M95" s="342" t="s">
        <v>215</v>
      </c>
      <c r="N95" s="342" t="s">
        <v>920</v>
      </c>
      <c r="O95" s="2">
        <v>128168.58</v>
      </c>
    </row>
    <row r="96" spans="1:15">
      <c r="A96" t="s">
        <v>1987</v>
      </c>
      <c r="B96" s="419">
        <v>3053</v>
      </c>
      <c r="C96" t="s">
        <v>217</v>
      </c>
      <c r="D96" s="2">
        <v>37857.020000000004</v>
      </c>
      <c r="F96" t="s">
        <v>1988</v>
      </c>
      <c r="L96" s="342" t="s">
        <v>218</v>
      </c>
      <c r="M96" s="342" t="s">
        <v>217</v>
      </c>
      <c r="N96" s="342" t="s">
        <v>921</v>
      </c>
      <c r="O96" s="2">
        <v>37857.020000000004</v>
      </c>
    </row>
    <row r="97" spans="1:15">
      <c r="A97" t="s">
        <v>1989</v>
      </c>
      <c r="B97" s="419">
        <v>27402</v>
      </c>
      <c r="C97" t="s">
        <v>219</v>
      </c>
      <c r="D97" s="2">
        <v>242969.90000000002</v>
      </c>
      <c r="F97" t="s">
        <v>1990</v>
      </c>
      <c r="L97" s="342" t="s">
        <v>220</v>
      </c>
      <c r="M97" s="342" t="s">
        <v>219</v>
      </c>
      <c r="N97" s="342" t="s">
        <v>922</v>
      </c>
      <c r="O97" s="2">
        <v>242969.90000000002</v>
      </c>
    </row>
    <row r="98" spans="1:15">
      <c r="A98" t="s">
        <v>1991</v>
      </c>
      <c r="B98" s="419">
        <v>32358</v>
      </c>
      <c r="C98" t="s">
        <v>221</v>
      </c>
      <c r="D98" s="2">
        <v>37215.800000000003</v>
      </c>
      <c r="F98" t="s">
        <v>1992</v>
      </c>
      <c r="L98" s="342" t="s">
        <v>222</v>
      </c>
      <c r="M98" s="342" t="s">
        <v>221</v>
      </c>
      <c r="N98" s="342" t="s">
        <v>923</v>
      </c>
      <c r="O98" s="2">
        <v>37215.800000000003</v>
      </c>
    </row>
    <row r="99" spans="1:15">
      <c r="A99" t="s">
        <v>1993</v>
      </c>
      <c r="B99" s="419">
        <v>38302</v>
      </c>
      <c r="C99" t="s">
        <v>223</v>
      </c>
      <c r="D99" s="2">
        <v>13533.77</v>
      </c>
      <c r="F99" t="s">
        <v>1994</v>
      </c>
      <c r="L99" s="342" t="s">
        <v>224</v>
      </c>
      <c r="M99" s="342" t="s">
        <v>223</v>
      </c>
      <c r="N99" s="342" t="s">
        <v>924</v>
      </c>
      <c r="O99" s="2">
        <v>13533.77</v>
      </c>
    </row>
    <row r="100" spans="1:15">
      <c r="A100" t="s">
        <v>1995</v>
      </c>
      <c r="B100" s="419">
        <v>20401</v>
      </c>
      <c r="C100" t="s">
        <v>225</v>
      </c>
      <c r="D100" s="2">
        <v>11820.970000000001</v>
      </c>
      <c r="F100" t="s">
        <v>1996</v>
      </c>
      <c r="L100" s="342" t="s">
        <v>226</v>
      </c>
      <c r="M100" s="342" t="s">
        <v>225</v>
      </c>
      <c r="N100" s="342" t="s">
        <v>925</v>
      </c>
      <c r="O100" s="2">
        <v>11820.970000000001</v>
      </c>
    </row>
    <row r="101" spans="1:15">
      <c r="A101" t="s">
        <v>1997</v>
      </c>
      <c r="B101" s="419">
        <v>20404</v>
      </c>
      <c r="C101" t="s">
        <v>227</v>
      </c>
      <c r="D101" s="2">
        <v>36296.339999999997</v>
      </c>
      <c r="F101" t="s">
        <v>1998</v>
      </c>
      <c r="L101" s="342" t="s">
        <v>228</v>
      </c>
      <c r="M101" s="342" t="s">
        <v>227</v>
      </c>
      <c r="N101" s="342" t="s">
        <v>926</v>
      </c>
      <c r="O101" s="2">
        <v>36296.339999999997</v>
      </c>
    </row>
    <row r="102" spans="1:15">
      <c r="A102" t="s">
        <v>1999</v>
      </c>
      <c r="B102" s="419">
        <v>13301</v>
      </c>
      <c r="C102" t="s">
        <v>229</v>
      </c>
      <c r="D102" s="2">
        <v>32516.9</v>
      </c>
      <c r="F102" t="s">
        <v>2000</v>
      </c>
      <c r="L102" s="342" t="s">
        <v>230</v>
      </c>
      <c r="M102" s="342" t="s">
        <v>229</v>
      </c>
      <c r="N102" s="342" t="s">
        <v>927</v>
      </c>
      <c r="O102" s="2">
        <v>32516.9</v>
      </c>
    </row>
    <row r="103" spans="1:15">
      <c r="A103" t="s">
        <v>2001</v>
      </c>
      <c r="B103" s="419">
        <v>39200</v>
      </c>
      <c r="C103" t="s">
        <v>231</v>
      </c>
      <c r="D103" s="2">
        <v>119330.22</v>
      </c>
      <c r="F103" t="s">
        <v>2002</v>
      </c>
      <c r="L103" s="342" t="s">
        <v>232</v>
      </c>
      <c r="M103" s="342" t="s">
        <v>231</v>
      </c>
      <c r="N103" s="342" t="s">
        <v>928</v>
      </c>
      <c r="O103" s="2">
        <v>119330.22</v>
      </c>
    </row>
    <row r="104" spans="1:15">
      <c r="A104" t="s">
        <v>2003</v>
      </c>
      <c r="B104" s="419">
        <v>39204</v>
      </c>
      <c r="C104" t="s">
        <v>233</v>
      </c>
      <c r="D104" s="2">
        <v>56172.2</v>
      </c>
      <c r="F104" t="s">
        <v>2004</v>
      </c>
      <c r="L104" s="342" t="s">
        <v>234</v>
      </c>
      <c r="M104" s="342" t="s">
        <v>233</v>
      </c>
      <c r="N104" s="342" t="s">
        <v>929</v>
      </c>
      <c r="O104" s="2">
        <v>56172.2</v>
      </c>
    </row>
    <row r="105" spans="1:15">
      <c r="A105" t="s">
        <v>2005</v>
      </c>
      <c r="B105" s="419">
        <v>31332</v>
      </c>
      <c r="C105" t="s">
        <v>235</v>
      </c>
      <c r="D105" s="2">
        <v>80769.61</v>
      </c>
      <c r="F105" t="s">
        <v>2006</v>
      </c>
      <c r="L105" s="342" t="s">
        <v>236</v>
      </c>
      <c r="M105" s="342" t="s">
        <v>235</v>
      </c>
      <c r="N105" s="342" t="s">
        <v>930</v>
      </c>
      <c r="O105" s="2">
        <v>80769.61</v>
      </c>
    </row>
    <row r="106" spans="1:15">
      <c r="A106" t="s">
        <v>2007</v>
      </c>
      <c r="B106" s="419">
        <v>23054</v>
      </c>
      <c r="C106" t="s">
        <v>237</v>
      </c>
      <c r="D106" s="2">
        <v>16997.75</v>
      </c>
      <c r="F106" t="s">
        <v>2008</v>
      </c>
      <c r="L106" s="342" t="s">
        <v>238</v>
      </c>
      <c r="M106" s="342" t="s">
        <v>237</v>
      </c>
      <c r="N106" s="342" t="s">
        <v>931</v>
      </c>
      <c r="O106" s="2">
        <v>16997.75</v>
      </c>
    </row>
    <row r="107" spans="1:15">
      <c r="A107" t="s">
        <v>2009</v>
      </c>
      <c r="B107" s="419">
        <v>32312</v>
      </c>
      <c r="C107" t="s">
        <v>239</v>
      </c>
      <c r="D107" s="2">
        <v>14376.05</v>
      </c>
      <c r="F107" t="s">
        <v>2010</v>
      </c>
      <c r="L107" s="342" t="s">
        <v>240</v>
      </c>
      <c r="M107" s="342" t="s">
        <v>239</v>
      </c>
      <c r="N107" s="342" t="s">
        <v>932</v>
      </c>
      <c r="O107" s="2">
        <v>14376.05</v>
      </c>
    </row>
    <row r="108" spans="1:15">
      <c r="A108" t="s">
        <v>2011</v>
      </c>
      <c r="B108" s="419">
        <v>6103</v>
      </c>
      <c r="C108" t="s">
        <v>241</v>
      </c>
      <c r="D108" s="2">
        <v>14959.54</v>
      </c>
      <c r="F108" t="s">
        <v>2012</v>
      </c>
      <c r="L108" s="342" t="s">
        <v>242</v>
      </c>
      <c r="M108" s="342" t="s">
        <v>241</v>
      </c>
      <c r="N108" s="342" t="s">
        <v>933</v>
      </c>
      <c r="O108" s="2">
        <v>14959.54</v>
      </c>
    </row>
    <row r="109" spans="1:15">
      <c r="A109" t="s">
        <v>2013</v>
      </c>
      <c r="B109" s="419">
        <v>34324</v>
      </c>
      <c r="C109" t="s">
        <v>243</v>
      </c>
      <c r="D109" s="2">
        <v>29847.620000000003</v>
      </c>
      <c r="F109" t="s">
        <v>2014</v>
      </c>
      <c r="L109" s="342" t="s">
        <v>244</v>
      </c>
      <c r="M109" s="342" t="s">
        <v>243</v>
      </c>
      <c r="N109" s="342" t="s">
        <v>934</v>
      </c>
      <c r="O109" s="2">
        <v>29847.620000000003</v>
      </c>
    </row>
    <row r="110" spans="1:15">
      <c r="A110" t="s">
        <v>2015</v>
      </c>
      <c r="B110" s="419">
        <v>22204</v>
      </c>
      <c r="C110" t="s">
        <v>245</v>
      </c>
      <c r="D110" s="2">
        <v>13781.86</v>
      </c>
      <c r="F110" t="s">
        <v>2016</v>
      </c>
      <c r="L110" s="342" t="s">
        <v>246</v>
      </c>
      <c r="M110" s="342" t="s">
        <v>245</v>
      </c>
      <c r="N110" s="342" t="s">
        <v>935</v>
      </c>
      <c r="O110" s="2">
        <v>13781.86</v>
      </c>
    </row>
    <row r="111" spans="1:15">
      <c r="A111" t="s">
        <v>2017</v>
      </c>
      <c r="B111" s="419">
        <v>39203</v>
      </c>
      <c r="C111" t="s">
        <v>247</v>
      </c>
      <c r="D111" s="2">
        <v>42109.32</v>
      </c>
      <c r="F111" t="s">
        <v>2018</v>
      </c>
      <c r="L111" s="342" t="s">
        <v>248</v>
      </c>
      <c r="M111" s="342" t="s">
        <v>247</v>
      </c>
      <c r="N111" s="342" t="s">
        <v>936</v>
      </c>
      <c r="O111" s="2">
        <v>42109.32</v>
      </c>
    </row>
    <row r="112" spans="1:15">
      <c r="A112" t="s">
        <v>2019</v>
      </c>
      <c r="B112" s="419">
        <v>17401</v>
      </c>
      <c r="C112" t="s">
        <v>249</v>
      </c>
      <c r="D112" s="2">
        <v>556196.82000000007</v>
      </c>
      <c r="F112" t="s">
        <v>2020</v>
      </c>
      <c r="L112" s="342" t="s">
        <v>250</v>
      </c>
      <c r="M112" s="342" t="s">
        <v>249</v>
      </c>
      <c r="N112" s="342" t="s">
        <v>937</v>
      </c>
      <c r="O112" s="2">
        <v>556196.82000000007</v>
      </c>
    </row>
    <row r="113" spans="1:15">
      <c r="A113" t="s">
        <v>2021</v>
      </c>
      <c r="B113" s="419">
        <v>6098</v>
      </c>
      <c r="C113" t="s">
        <v>251</v>
      </c>
      <c r="D113" s="2">
        <v>70735.820000000007</v>
      </c>
      <c r="F113" t="s">
        <v>2022</v>
      </c>
      <c r="L113" s="342" t="s">
        <v>252</v>
      </c>
      <c r="M113" s="342" t="s">
        <v>251</v>
      </c>
      <c r="N113" s="342" t="s">
        <v>938</v>
      </c>
      <c r="O113" s="2">
        <v>70735.820000000007</v>
      </c>
    </row>
    <row r="114" spans="1:15">
      <c r="A114" t="s">
        <v>2023</v>
      </c>
      <c r="B114" s="419">
        <v>23404</v>
      </c>
      <c r="C114" t="s">
        <v>253</v>
      </c>
      <c r="D114" s="2">
        <v>20028.96</v>
      </c>
      <c r="F114" t="s">
        <v>2024</v>
      </c>
      <c r="L114" s="342" t="s">
        <v>254</v>
      </c>
      <c r="M114" s="342" t="s">
        <v>253</v>
      </c>
      <c r="N114" s="342" t="s">
        <v>939</v>
      </c>
      <c r="O114" s="2">
        <v>20028.96</v>
      </c>
    </row>
    <row r="115" spans="1:15">
      <c r="A115" t="s">
        <v>2025</v>
      </c>
      <c r="B115" s="419">
        <v>14028</v>
      </c>
      <c r="C115" t="s">
        <v>255</v>
      </c>
      <c r="D115" s="2">
        <v>60478.770000000004</v>
      </c>
      <c r="F115" t="s">
        <v>2026</v>
      </c>
      <c r="L115" s="342" t="s">
        <v>256</v>
      </c>
      <c r="M115" s="342" t="s">
        <v>255</v>
      </c>
      <c r="N115" s="342" t="s">
        <v>940</v>
      </c>
      <c r="O115" s="2">
        <v>60478.770000000004</v>
      </c>
    </row>
    <row r="116" spans="1:15">
      <c r="A116" t="s">
        <v>2027</v>
      </c>
      <c r="B116" s="419">
        <v>27902</v>
      </c>
      <c r="C116" t="s">
        <v>257</v>
      </c>
      <c r="D116" s="2">
        <v>19001.239999999998</v>
      </c>
      <c r="F116" t="s">
        <v>2028</v>
      </c>
      <c r="L116" s="342" t="s">
        <v>941</v>
      </c>
      <c r="M116" s="343" t="s">
        <v>257</v>
      </c>
      <c r="N116" s="343" t="s">
        <v>942</v>
      </c>
      <c r="O116" s="2">
        <v>19001.239999999998</v>
      </c>
    </row>
    <row r="117" spans="1:15">
      <c r="A117" t="s">
        <v>2029</v>
      </c>
      <c r="B117" s="419">
        <v>17911</v>
      </c>
      <c r="C117" t="s">
        <v>259</v>
      </c>
      <c r="D117" s="2">
        <v>28410.79</v>
      </c>
      <c r="F117" t="s">
        <v>2030</v>
      </c>
      <c r="L117" s="342" t="s">
        <v>260</v>
      </c>
      <c r="M117" s="343" t="s">
        <v>259</v>
      </c>
      <c r="N117" s="343" t="s">
        <v>943</v>
      </c>
      <c r="O117" s="2">
        <v>28410.79</v>
      </c>
    </row>
    <row r="118" spans="1:15">
      <c r="A118" t="s">
        <v>2031</v>
      </c>
      <c r="B118" s="419">
        <v>17916</v>
      </c>
      <c r="C118" t="s">
        <v>261</v>
      </c>
      <c r="D118" s="2">
        <v>19688.48</v>
      </c>
      <c r="F118" t="s">
        <v>2032</v>
      </c>
      <c r="L118" s="342" t="s">
        <v>262</v>
      </c>
      <c r="M118" s="343" t="s">
        <v>261</v>
      </c>
      <c r="N118" s="343" t="s">
        <v>944</v>
      </c>
      <c r="O118" s="2">
        <v>19688.48</v>
      </c>
    </row>
    <row r="119" spans="1:15">
      <c r="A119" t="s">
        <v>2033</v>
      </c>
      <c r="B119" s="419">
        <v>10070</v>
      </c>
      <c r="C119" t="s">
        <v>263</v>
      </c>
      <c r="D119" s="2">
        <v>16531.62</v>
      </c>
      <c r="F119" t="s">
        <v>2034</v>
      </c>
      <c r="L119" s="342" t="s">
        <v>264</v>
      </c>
      <c r="M119" s="342" t="s">
        <v>263</v>
      </c>
      <c r="N119" s="342" t="s">
        <v>945</v>
      </c>
      <c r="O119" s="2">
        <v>16531.62</v>
      </c>
    </row>
    <row r="120" spans="1:15">
      <c r="A120" t="s">
        <v>2035</v>
      </c>
      <c r="B120" s="419">
        <v>31063</v>
      </c>
      <c r="C120" t="s">
        <v>265</v>
      </c>
      <c r="D120" s="2">
        <v>10657.550000000001</v>
      </c>
      <c r="F120" t="s">
        <v>2036</v>
      </c>
      <c r="L120" s="342" t="s">
        <v>266</v>
      </c>
      <c r="M120" s="342" t="s">
        <v>265</v>
      </c>
      <c r="N120" s="342" t="s">
        <v>946</v>
      </c>
      <c r="O120" s="2">
        <v>10657.550000000001</v>
      </c>
    </row>
    <row r="121" spans="1:15">
      <c r="A121" t="s">
        <v>2037</v>
      </c>
      <c r="B121" s="419">
        <v>17411</v>
      </c>
      <c r="C121" t="s">
        <v>267</v>
      </c>
      <c r="D121" s="2">
        <v>603853.73</v>
      </c>
      <c r="F121" t="s">
        <v>2038</v>
      </c>
      <c r="L121" s="342" t="s">
        <v>268</v>
      </c>
      <c r="M121" s="342" t="s">
        <v>267</v>
      </c>
      <c r="N121" s="342" t="s">
        <v>947</v>
      </c>
      <c r="O121" s="2">
        <v>603853.73</v>
      </c>
    </row>
    <row r="122" spans="1:15">
      <c r="A122" t="s">
        <v>2039</v>
      </c>
      <c r="B122" s="419">
        <v>11056</v>
      </c>
      <c r="C122" t="s">
        <v>269</v>
      </c>
      <c r="D122" s="2">
        <v>12137.130000000001</v>
      </c>
      <c r="F122" t="s">
        <v>2040</v>
      </c>
      <c r="L122" s="342" t="s">
        <v>270</v>
      </c>
      <c r="M122" s="342" t="s">
        <v>269</v>
      </c>
      <c r="N122" s="342" t="s">
        <v>948</v>
      </c>
      <c r="O122" s="2">
        <v>12137.130000000001</v>
      </c>
    </row>
    <row r="123" spans="1:15">
      <c r="A123" t="s">
        <v>2041</v>
      </c>
      <c r="B123" s="419">
        <v>8402</v>
      </c>
      <c r="C123" t="s">
        <v>271</v>
      </c>
      <c r="D123" s="2">
        <v>44939.979999999996</v>
      </c>
      <c r="F123" t="s">
        <v>2042</v>
      </c>
      <c r="L123" s="342" t="s">
        <v>272</v>
      </c>
      <c r="M123" s="342" t="s">
        <v>271</v>
      </c>
      <c r="N123" s="342" t="s">
        <v>949</v>
      </c>
      <c r="O123" s="2">
        <v>44939.979999999996</v>
      </c>
    </row>
    <row r="124" spans="1:15">
      <c r="A124" t="s">
        <v>2043</v>
      </c>
      <c r="B124" s="419">
        <v>10003</v>
      </c>
      <c r="C124" t="s">
        <v>273</v>
      </c>
      <c r="D124" s="2">
        <v>11020.99</v>
      </c>
      <c r="F124" t="s">
        <v>2044</v>
      </c>
      <c r="L124" s="342" t="s">
        <v>274</v>
      </c>
      <c r="M124" s="342" t="s">
        <v>273</v>
      </c>
      <c r="N124" s="342" t="s">
        <v>950</v>
      </c>
      <c r="O124" s="2">
        <v>11020.99</v>
      </c>
    </row>
    <row r="125" spans="1:15">
      <c r="A125" t="s">
        <v>2045</v>
      </c>
      <c r="B125" s="419">
        <v>8458</v>
      </c>
      <c r="C125" t="s">
        <v>275</v>
      </c>
      <c r="D125" s="2">
        <v>153856.87</v>
      </c>
      <c r="F125" t="s">
        <v>2046</v>
      </c>
      <c r="L125" s="342" t="s">
        <v>276</v>
      </c>
      <c r="M125" s="342" t="s">
        <v>275</v>
      </c>
      <c r="N125" s="342" t="s">
        <v>951</v>
      </c>
      <c r="O125" s="2">
        <v>153856.87</v>
      </c>
    </row>
    <row r="126" spans="1:15">
      <c r="A126" t="s">
        <v>2047</v>
      </c>
      <c r="B126" s="419">
        <v>3017</v>
      </c>
      <c r="C126" t="s">
        <v>277</v>
      </c>
      <c r="D126" s="2">
        <v>567466.53</v>
      </c>
      <c r="F126" t="s">
        <v>2048</v>
      </c>
      <c r="L126" s="342" t="s">
        <v>278</v>
      </c>
      <c r="M126" s="342" t="s">
        <v>277</v>
      </c>
      <c r="N126" s="342" t="s">
        <v>952</v>
      </c>
      <c r="O126" s="2">
        <v>567466.53</v>
      </c>
    </row>
    <row r="127" spans="1:15">
      <c r="A127" t="s">
        <v>2049</v>
      </c>
      <c r="B127" s="419">
        <v>17415</v>
      </c>
      <c r="C127" t="s">
        <v>279</v>
      </c>
      <c r="D127" s="2">
        <v>784651.4</v>
      </c>
      <c r="F127" t="s">
        <v>2050</v>
      </c>
      <c r="L127" s="342" t="s">
        <v>280</v>
      </c>
      <c r="M127" s="342" t="s">
        <v>279</v>
      </c>
      <c r="N127" s="342" t="s">
        <v>953</v>
      </c>
      <c r="O127" s="2">
        <v>784651.4</v>
      </c>
    </row>
    <row r="128" spans="1:15">
      <c r="A128" t="s">
        <v>2051</v>
      </c>
      <c r="B128" s="419">
        <v>33212</v>
      </c>
      <c r="C128" t="s">
        <v>281</v>
      </c>
      <c r="D128" s="2">
        <v>36312.570000000007</v>
      </c>
      <c r="F128" t="s">
        <v>2052</v>
      </c>
      <c r="L128" s="342" t="s">
        <v>282</v>
      </c>
      <c r="M128" s="342" t="s">
        <v>281</v>
      </c>
      <c r="N128" s="342" t="s">
        <v>954</v>
      </c>
      <c r="O128" s="2">
        <v>36312.570000000007</v>
      </c>
    </row>
    <row r="129" spans="1:15">
      <c r="A129" t="s">
        <v>2053</v>
      </c>
      <c r="B129" s="419">
        <v>3052</v>
      </c>
      <c r="C129" t="s">
        <v>283</v>
      </c>
      <c r="D129" s="2">
        <v>51590.720000000001</v>
      </c>
      <c r="F129" t="s">
        <v>2054</v>
      </c>
      <c r="L129" s="342" t="s">
        <v>284</v>
      </c>
      <c r="M129" s="342" t="s">
        <v>283</v>
      </c>
      <c r="N129" s="342" t="s">
        <v>955</v>
      </c>
      <c r="O129" s="2">
        <v>51590.720000000001</v>
      </c>
    </row>
    <row r="130" spans="1:15">
      <c r="A130" t="s">
        <v>2055</v>
      </c>
      <c r="B130" s="419">
        <v>19403</v>
      </c>
      <c r="C130" t="s">
        <v>285</v>
      </c>
      <c r="D130" s="2">
        <v>28194.81</v>
      </c>
      <c r="F130" t="s">
        <v>2056</v>
      </c>
      <c r="L130" s="342" t="s">
        <v>286</v>
      </c>
      <c r="M130" s="342" t="s">
        <v>285</v>
      </c>
      <c r="N130" s="342" t="s">
        <v>956</v>
      </c>
      <c r="O130" s="2">
        <v>28194.81</v>
      </c>
    </row>
    <row r="131" spans="1:15">
      <c r="A131" t="s">
        <v>2057</v>
      </c>
      <c r="B131" s="419">
        <v>20402</v>
      </c>
      <c r="C131" t="s">
        <v>287</v>
      </c>
      <c r="D131" s="2">
        <v>42118.729999999996</v>
      </c>
      <c r="F131" t="s">
        <v>2058</v>
      </c>
      <c r="L131" s="342" t="s">
        <v>288</v>
      </c>
      <c r="M131" s="342" t="s">
        <v>287</v>
      </c>
      <c r="N131" s="342" t="s">
        <v>957</v>
      </c>
      <c r="O131" s="2">
        <v>42118.729999999996</v>
      </c>
    </row>
    <row r="132" spans="1:15">
      <c r="A132" t="s">
        <v>2059</v>
      </c>
      <c r="B132" s="419">
        <v>29311</v>
      </c>
      <c r="C132" t="s">
        <v>289</v>
      </c>
      <c r="D132" s="2">
        <v>27154.28</v>
      </c>
      <c r="F132" t="s">
        <v>2060</v>
      </c>
      <c r="L132" s="342" t="s">
        <v>290</v>
      </c>
      <c r="M132" s="342" t="s">
        <v>289</v>
      </c>
      <c r="N132" s="342" t="s">
        <v>958</v>
      </c>
      <c r="O132" s="2">
        <v>27154.28</v>
      </c>
    </row>
    <row r="133" spans="1:15">
      <c r="A133" t="s">
        <v>2061</v>
      </c>
      <c r="B133" s="419">
        <v>6101</v>
      </c>
      <c r="C133" t="s">
        <v>291</v>
      </c>
      <c r="D133" s="2">
        <v>60921.39</v>
      </c>
      <c r="F133" t="s">
        <v>2062</v>
      </c>
      <c r="L133" s="342" t="s">
        <v>292</v>
      </c>
      <c r="M133" s="342" t="s">
        <v>291</v>
      </c>
      <c r="N133" s="342" t="s">
        <v>959</v>
      </c>
      <c r="O133" s="2">
        <v>60921.39</v>
      </c>
    </row>
    <row r="134" spans="1:15">
      <c r="B134" s="419"/>
      <c r="D134" s="2"/>
      <c r="L134" s="342" t="s">
        <v>294</v>
      </c>
      <c r="M134" s="342" t="s">
        <v>293</v>
      </c>
      <c r="N134" s="342" t="s">
        <v>960</v>
      </c>
      <c r="O134" s="2"/>
    </row>
    <row r="135" spans="1:15">
      <c r="A135" t="s">
        <v>2063</v>
      </c>
      <c r="B135" s="419">
        <v>4129</v>
      </c>
      <c r="C135" t="s">
        <v>295</v>
      </c>
      <c r="D135" s="2">
        <v>49844</v>
      </c>
      <c r="F135" t="s">
        <v>2064</v>
      </c>
      <c r="L135" s="342" t="s">
        <v>296</v>
      </c>
      <c r="M135" s="342" t="s">
        <v>295</v>
      </c>
      <c r="N135" s="342" t="s">
        <v>961</v>
      </c>
      <c r="O135" s="2">
        <v>49844</v>
      </c>
    </row>
    <row r="136" spans="1:15">
      <c r="A136" t="s">
        <v>2065</v>
      </c>
      <c r="B136" s="419">
        <v>31004</v>
      </c>
      <c r="C136" t="s">
        <v>297</v>
      </c>
      <c r="D136" s="2">
        <v>304245.76000000001</v>
      </c>
      <c r="F136" t="s">
        <v>2066</v>
      </c>
      <c r="L136" s="342" t="s">
        <v>298</v>
      </c>
      <c r="M136" s="342" t="s">
        <v>297</v>
      </c>
      <c r="N136" s="342" t="s">
        <v>962</v>
      </c>
      <c r="O136" s="2">
        <v>304245.76000000001</v>
      </c>
    </row>
    <row r="137" spans="1:15">
      <c r="A137" t="s">
        <v>2067</v>
      </c>
      <c r="B137" s="419">
        <v>17414</v>
      </c>
      <c r="C137" t="s">
        <v>299</v>
      </c>
      <c r="D137" s="2">
        <v>918866.36</v>
      </c>
      <c r="F137" t="s">
        <v>2068</v>
      </c>
      <c r="L137" s="342" t="s">
        <v>300</v>
      </c>
      <c r="M137" s="342" t="s">
        <v>299</v>
      </c>
      <c r="N137" s="342" t="s">
        <v>963</v>
      </c>
      <c r="O137" s="2">
        <v>918866.36</v>
      </c>
    </row>
    <row r="138" spans="1:15">
      <c r="A138" t="s">
        <v>2069</v>
      </c>
      <c r="B138" s="419">
        <v>31306</v>
      </c>
      <c r="C138" t="s">
        <v>301</v>
      </c>
      <c r="D138" s="2">
        <v>90536.97</v>
      </c>
      <c r="F138" t="s">
        <v>2070</v>
      </c>
      <c r="L138" s="342" t="s">
        <v>302</v>
      </c>
      <c r="M138" s="342" t="s">
        <v>301</v>
      </c>
      <c r="N138" s="342" t="s">
        <v>964</v>
      </c>
      <c r="O138" s="2">
        <v>90536.97</v>
      </c>
    </row>
    <row r="139" spans="1:15">
      <c r="A139" t="s">
        <v>2071</v>
      </c>
      <c r="B139" s="419">
        <v>38264</v>
      </c>
      <c r="C139" t="s">
        <v>303</v>
      </c>
      <c r="D139" s="2">
        <v>11041.89</v>
      </c>
      <c r="F139" t="s">
        <v>2072</v>
      </c>
      <c r="L139" s="342" t="s">
        <v>304</v>
      </c>
      <c r="M139" s="342" t="s">
        <v>303</v>
      </c>
      <c r="N139" s="342" t="s">
        <v>965</v>
      </c>
      <c r="O139" s="2">
        <v>11041.89</v>
      </c>
    </row>
    <row r="140" spans="1:15">
      <c r="A140" t="s">
        <v>2073</v>
      </c>
      <c r="B140" s="419">
        <v>32362</v>
      </c>
      <c r="C140" t="s">
        <v>305</v>
      </c>
      <c r="D140" s="2">
        <v>28112.11</v>
      </c>
      <c r="F140" t="s">
        <v>2074</v>
      </c>
      <c r="L140" s="342" t="s">
        <v>306</v>
      </c>
      <c r="M140" s="342" t="s">
        <v>305</v>
      </c>
      <c r="N140" s="342" t="s">
        <v>966</v>
      </c>
      <c r="O140" s="2">
        <v>28112.11</v>
      </c>
    </row>
    <row r="141" spans="1:15">
      <c r="A141" t="s">
        <v>2075</v>
      </c>
      <c r="B141" s="419">
        <v>1158</v>
      </c>
      <c r="C141" t="s">
        <v>307</v>
      </c>
      <c r="D141" s="2">
        <v>16570</v>
      </c>
      <c r="F141" t="s">
        <v>2076</v>
      </c>
      <c r="L141" s="342" t="s">
        <v>308</v>
      </c>
      <c r="M141" s="342" t="s">
        <v>307</v>
      </c>
      <c r="N141" s="342" t="s">
        <v>967</v>
      </c>
      <c r="O141" s="2">
        <v>16570</v>
      </c>
    </row>
    <row r="142" spans="1:15">
      <c r="A142" t="s">
        <v>2077</v>
      </c>
      <c r="B142" s="419">
        <v>8122</v>
      </c>
      <c r="C142" t="s">
        <v>309</v>
      </c>
      <c r="D142" s="2">
        <v>195946.82</v>
      </c>
      <c r="F142" t="s">
        <v>2078</v>
      </c>
      <c r="L142" s="342" t="s">
        <v>310</v>
      </c>
      <c r="M142" s="342" t="s">
        <v>309</v>
      </c>
      <c r="N142" s="342" t="s">
        <v>968</v>
      </c>
      <c r="O142" s="2">
        <v>195946.82</v>
      </c>
    </row>
    <row r="143" spans="1:15">
      <c r="A143" t="s">
        <v>2079</v>
      </c>
      <c r="B143" s="419">
        <v>33183</v>
      </c>
      <c r="C143" t="s">
        <v>311</v>
      </c>
      <c r="D143" s="2">
        <v>14207.19</v>
      </c>
      <c r="F143" t="s">
        <v>2080</v>
      </c>
      <c r="L143" s="342" t="s">
        <v>312</v>
      </c>
      <c r="M143" s="342" t="s">
        <v>311</v>
      </c>
      <c r="N143" s="342" t="s">
        <v>969</v>
      </c>
      <c r="O143" s="2">
        <v>14207.19</v>
      </c>
    </row>
    <row r="144" spans="1:15">
      <c r="A144" t="s">
        <v>2081</v>
      </c>
      <c r="B144" s="419">
        <v>28144</v>
      </c>
      <c r="C144" t="s">
        <v>313</v>
      </c>
      <c r="D144" s="2">
        <v>17631.54</v>
      </c>
      <c r="F144" t="s">
        <v>2082</v>
      </c>
      <c r="L144" s="342" t="s">
        <v>314</v>
      </c>
      <c r="M144" s="342" t="s">
        <v>313</v>
      </c>
      <c r="N144" s="342" t="s">
        <v>970</v>
      </c>
      <c r="O144" s="2">
        <v>17631.54</v>
      </c>
    </row>
    <row r="145" spans="1:15">
      <c r="A145" t="s">
        <v>2083</v>
      </c>
      <c r="B145" s="419">
        <v>32903</v>
      </c>
      <c r="C145" t="s">
        <v>315</v>
      </c>
      <c r="D145" s="2">
        <v>11067.36</v>
      </c>
      <c r="F145" t="s">
        <v>2084</v>
      </c>
      <c r="L145" s="342" t="s">
        <v>316</v>
      </c>
      <c r="M145" s="261" t="s">
        <v>315</v>
      </c>
      <c r="N145" s="343" t="s">
        <v>971</v>
      </c>
      <c r="O145" s="2">
        <v>11067.36</v>
      </c>
    </row>
    <row r="146" spans="1:15">
      <c r="A146" t="s">
        <v>2085</v>
      </c>
      <c r="B146" s="419">
        <v>37903</v>
      </c>
      <c r="C146" t="s">
        <v>317</v>
      </c>
      <c r="D146" s="2">
        <v>22085.21</v>
      </c>
      <c r="F146" t="s">
        <v>2086</v>
      </c>
      <c r="L146" s="342" t="s">
        <v>972</v>
      </c>
      <c r="M146" s="342" t="s">
        <v>317</v>
      </c>
      <c r="N146" s="345" t="s">
        <v>973</v>
      </c>
      <c r="O146" s="2">
        <v>22085.21</v>
      </c>
    </row>
    <row r="147" spans="1:15">
      <c r="B147" s="419"/>
      <c r="D147" s="2"/>
      <c r="L147" s="342" t="s">
        <v>320</v>
      </c>
      <c r="M147" s="342" t="s">
        <v>319</v>
      </c>
      <c r="N147" s="342" t="s">
        <v>974</v>
      </c>
      <c r="O147" s="2"/>
    </row>
    <row r="148" spans="1:15">
      <c r="A148" t="s">
        <v>2087</v>
      </c>
      <c r="B148" s="419">
        <v>37504</v>
      </c>
      <c r="C148" t="s">
        <v>321</v>
      </c>
      <c r="D148" s="2">
        <v>101926.5</v>
      </c>
      <c r="F148" t="s">
        <v>2088</v>
      </c>
      <c r="L148" s="342" t="s">
        <v>322</v>
      </c>
      <c r="M148" s="342" t="s">
        <v>321</v>
      </c>
      <c r="N148" s="342" t="s">
        <v>975</v>
      </c>
      <c r="O148" s="2">
        <v>101926.5</v>
      </c>
    </row>
    <row r="149" spans="1:15">
      <c r="A149" t="s">
        <v>2089</v>
      </c>
      <c r="B149" s="419">
        <v>39120</v>
      </c>
      <c r="C149" t="s">
        <v>323</v>
      </c>
      <c r="D149" s="2">
        <v>34448.65</v>
      </c>
      <c r="F149" t="s">
        <v>2090</v>
      </c>
      <c r="L149" s="342" t="s">
        <v>324</v>
      </c>
      <c r="M149" s="342" t="s">
        <v>323</v>
      </c>
      <c r="N149" s="342" t="s">
        <v>976</v>
      </c>
      <c r="O149" s="2">
        <v>34448.65</v>
      </c>
    </row>
    <row r="150" spans="1:15">
      <c r="A150" t="s">
        <v>2091</v>
      </c>
      <c r="B150" s="419">
        <v>9207</v>
      </c>
      <c r="C150" t="s">
        <v>325</v>
      </c>
      <c r="D150" s="2">
        <v>13122.7</v>
      </c>
      <c r="F150" t="s">
        <v>2092</v>
      </c>
      <c r="L150" s="342" t="s">
        <v>326</v>
      </c>
      <c r="M150" s="342" t="s">
        <v>325</v>
      </c>
      <c r="N150" s="342" t="s">
        <v>977</v>
      </c>
      <c r="O150" s="2">
        <v>13122.7</v>
      </c>
    </row>
    <row r="151" spans="1:15">
      <c r="A151" t="s">
        <v>2093</v>
      </c>
      <c r="B151" s="419">
        <v>4019</v>
      </c>
      <c r="C151" t="s">
        <v>327</v>
      </c>
      <c r="D151" s="2">
        <v>29254.28</v>
      </c>
      <c r="F151" t="s">
        <v>2094</v>
      </c>
      <c r="L151" s="342" t="s">
        <v>328</v>
      </c>
      <c r="M151" s="342" t="s">
        <v>327</v>
      </c>
      <c r="N151" s="342" t="s">
        <v>978</v>
      </c>
      <c r="O151" s="2">
        <v>29254.28</v>
      </c>
    </row>
    <row r="152" spans="1:15">
      <c r="A152" t="s">
        <v>2095</v>
      </c>
      <c r="B152" s="419">
        <v>23311</v>
      </c>
      <c r="C152" t="s">
        <v>329</v>
      </c>
      <c r="D152" s="2">
        <v>15029.33</v>
      </c>
      <c r="F152" t="s">
        <v>2096</v>
      </c>
      <c r="L152" s="342" t="s">
        <v>330</v>
      </c>
      <c r="M152" s="342" t="s">
        <v>329</v>
      </c>
      <c r="N152" s="342" t="s">
        <v>979</v>
      </c>
      <c r="O152" s="2">
        <v>15029.33</v>
      </c>
    </row>
    <row r="153" spans="1:15">
      <c r="A153" t="s">
        <v>2097</v>
      </c>
      <c r="B153" s="419">
        <v>33207</v>
      </c>
      <c r="C153" t="s">
        <v>331</v>
      </c>
      <c r="D153" s="2">
        <v>23383.17</v>
      </c>
      <c r="F153" t="s">
        <v>2098</v>
      </c>
      <c r="L153" s="342" t="s">
        <v>332</v>
      </c>
      <c r="M153" s="342" t="s">
        <v>331</v>
      </c>
      <c r="N153" s="342" t="s">
        <v>980</v>
      </c>
      <c r="O153" s="2">
        <v>23383.17</v>
      </c>
    </row>
    <row r="154" spans="1:15">
      <c r="A154" t="s">
        <v>2099</v>
      </c>
      <c r="B154" s="419">
        <v>31025</v>
      </c>
      <c r="C154" t="s">
        <v>333</v>
      </c>
      <c r="D154" s="2">
        <v>316620.25</v>
      </c>
      <c r="F154" t="s">
        <v>2100</v>
      </c>
      <c r="L154" s="342" t="s">
        <v>334</v>
      </c>
      <c r="M154" s="342" t="s">
        <v>333</v>
      </c>
      <c r="N154" s="342" t="s">
        <v>981</v>
      </c>
      <c r="O154" s="2">
        <v>316620.25</v>
      </c>
    </row>
    <row r="155" spans="1:15">
      <c r="A155" t="s">
        <v>2101</v>
      </c>
      <c r="B155" s="419">
        <v>14065</v>
      </c>
      <c r="C155" t="s">
        <v>335</v>
      </c>
      <c r="D155" s="2">
        <v>19077.760000000002</v>
      </c>
      <c r="F155" t="s">
        <v>2102</v>
      </c>
      <c r="L155" s="342" t="s">
        <v>336</v>
      </c>
      <c r="M155" s="342" t="s">
        <v>335</v>
      </c>
      <c r="N155" s="342" t="s">
        <v>982</v>
      </c>
      <c r="O155" s="2">
        <v>19077.760000000002</v>
      </c>
    </row>
    <row r="156" spans="1:15">
      <c r="A156" t="s">
        <v>2103</v>
      </c>
      <c r="B156" s="419">
        <v>32354</v>
      </c>
      <c r="C156" t="s">
        <v>337</v>
      </c>
      <c r="D156" s="2">
        <v>328564.43</v>
      </c>
      <c r="F156" t="s">
        <v>2104</v>
      </c>
      <c r="L156" s="342" t="s">
        <v>338</v>
      </c>
      <c r="M156" s="342" t="s">
        <v>337</v>
      </c>
      <c r="N156" s="342" t="s">
        <v>983</v>
      </c>
      <c r="O156" s="2">
        <v>328564.43</v>
      </c>
    </row>
    <row r="157" spans="1:15">
      <c r="A157" t="s">
        <v>2105</v>
      </c>
      <c r="B157" s="419">
        <v>32326</v>
      </c>
      <c r="C157" t="s">
        <v>339</v>
      </c>
      <c r="D157" s="2">
        <v>67503.7</v>
      </c>
      <c r="F157" t="s">
        <v>2106</v>
      </c>
      <c r="L157" s="342" t="s">
        <v>340</v>
      </c>
      <c r="M157" s="342" t="s">
        <v>339</v>
      </c>
      <c r="N157" s="342" t="s">
        <v>984</v>
      </c>
      <c r="O157" s="2">
        <v>67503.7</v>
      </c>
    </row>
    <row r="158" spans="1:15">
      <c r="A158" t="s">
        <v>2107</v>
      </c>
      <c r="B158" s="419">
        <v>17400</v>
      </c>
      <c r="C158" t="s">
        <v>341</v>
      </c>
      <c r="D158" s="2">
        <v>86315.16</v>
      </c>
      <c r="F158" t="s">
        <v>2108</v>
      </c>
      <c r="L158" s="342" t="s">
        <v>342</v>
      </c>
      <c r="M158" s="342" t="s">
        <v>341</v>
      </c>
      <c r="N158" s="342" t="s">
        <v>985</v>
      </c>
      <c r="O158" s="2">
        <v>86315.16</v>
      </c>
    </row>
    <row r="159" spans="1:15">
      <c r="A159" t="s">
        <v>2109</v>
      </c>
      <c r="B159" s="419">
        <v>37505</v>
      </c>
      <c r="C159" t="s">
        <v>343</v>
      </c>
      <c r="D159" s="2">
        <v>73575.820000000007</v>
      </c>
      <c r="F159" t="s">
        <v>2110</v>
      </c>
      <c r="L159" s="342" t="s">
        <v>344</v>
      </c>
      <c r="M159" s="342" t="s">
        <v>343</v>
      </c>
      <c r="N159" s="342" t="s">
        <v>986</v>
      </c>
      <c r="O159" s="2">
        <v>73575.820000000007</v>
      </c>
    </row>
    <row r="160" spans="1:15">
      <c r="A160" t="s">
        <v>2111</v>
      </c>
      <c r="B160" s="419">
        <v>24350</v>
      </c>
      <c r="C160" t="s">
        <v>345</v>
      </c>
      <c r="D160" s="2">
        <v>31870.2</v>
      </c>
      <c r="F160" t="s">
        <v>2112</v>
      </c>
      <c r="L160" s="342" t="s">
        <v>346</v>
      </c>
      <c r="M160" s="342" t="s">
        <v>345</v>
      </c>
      <c r="N160" s="342" t="s">
        <v>987</v>
      </c>
      <c r="O160" s="2">
        <v>31870.2</v>
      </c>
    </row>
    <row r="161" spans="1:15">
      <c r="A161" t="s">
        <v>2113</v>
      </c>
      <c r="B161" s="419">
        <v>30031</v>
      </c>
      <c r="C161" t="s">
        <v>347</v>
      </c>
      <c r="D161" s="2">
        <v>11911.2</v>
      </c>
      <c r="F161" t="s">
        <v>2114</v>
      </c>
      <c r="L161" s="342" t="s">
        <v>348</v>
      </c>
      <c r="M161" s="342" t="s">
        <v>347</v>
      </c>
      <c r="N161" s="342" t="s">
        <v>988</v>
      </c>
      <c r="O161" s="2">
        <v>11911.2</v>
      </c>
    </row>
    <row r="162" spans="1:15">
      <c r="A162" t="s">
        <v>2115</v>
      </c>
      <c r="B162" s="419">
        <v>31103</v>
      </c>
      <c r="C162" t="s">
        <v>349</v>
      </c>
      <c r="D162" s="2">
        <v>156383.92000000001</v>
      </c>
      <c r="F162" t="s">
        <v>2116</v>
      </c>
      <c r="L162" s="342" t="s">
        <v>350</v>
      </c>
      <c r="M162" s="342" t="s">
        <v>349</v>
      </c>
      <c r="N162" s="342" t="s">
        <v>989</v>
      </c>
      <c r="O162" s="2">
        <v>156383.92000000001</v>
      </c>
    </row>
    <row r="163" spans="1:15">
      <c r="A163" t="s">
        <v>2117</v>
      </c>
      <c r="B163" s="419">
        <v>14066</v>
      </c>
      <c r="C163" t="s">
        <v>351</v>
      </c>
      <c r="D163" s="2">
        <v>52538.05</v>
      </c>
      <c r="F163" t="s">
        <v>2118</v>
      </c>
      <c r="L163" s="342" t="s">
        <v>352</v>
      </c>
      <c r="M163" s="342" t="s">
        <v>351</v>
      </c>
      <c r="N163" s="342" t="s">
        <v>990</v>
      </c>
      <c r="O163" s="2">
        <v>52538.05</v>
      </c>
    </row>
    <row r="164" spans="1:15">
      <c r="A164" t="s">
        <v>2119</v>
      </c>
      <c r="B164" s="419">
        <v>21214</v>
      </c>
      <c r="C164" t="s">
        <v>353</v>
      </c>
      <c r="D164" s="2">
        <v>22285.67</v>
      </c>
      <c r="F164" t="s">
        <v>2120</v>
      </c>
      <c r="L164" s="342" t="s">
        <v>354</v>
      </c>
      <c r="M164" s="342" t="s">
        <v>353</v>
      </c>
      <c r="N164" s="342" t="s">
        <v>991</v>
      </c>
      <c r="O164" s="2">
        <v>22285.67</v>
      </c>
    </row>
    <row r="165" spans="1:15">
      <c r="A165" t="s">
        <v>2121</v>
      </c>
      <c r="B165" s="419">
        <v>13161</v>
      </c>
      <c r="C165" t="s">
        <v>355</v>
      </c>
      <c r="D165" s="2">
        <v>262527.08</v>
      </c>
      <c r="F165" t="s">
        <v>2122</v>
      </c>
      <c r="L165" s="342" t="s">
        <v>356</v>
      </c>
      <c r="M165" s="342" t="s">
        <v>355</v>
      </c>
      <c r="N165" s="342" t="s">
        <v>992</v>
      </c>
      <c r="O165" s="2">
        <v>262527.08</v>
      </c>
    </row>
    <row r="166" spans="1:15">
      <c r="A166" t="s">
        <v>2123</v>
      </c>
      <c r="B166" s="419">
        <v>21206</v>
      </c>
      <c r="C166" t="s">
        <v>357</v>
      </c>
      <c r="D166" s="2">
        <v>28211.489999999998</v>
      </c>
      <c r="F166" t="s">
        <v>2124</v>
      </c>
      <c r="L166" s="342" t="s">
        <v>358</v>
      </c>
      <c r="M166" s="342" t="s">
        <v>357</v>
      </c>
      <c r="N166" s="342" t="s">
        <v>993</v>
      </c>
      <c r="O166" s="2">
        <v>28211.489999999998</v>
      </c>
    </row>
    <row r="167" spans="1:15">
      <c r="A167" t="s">
        <v>2125</v>
      </c>
      <c r="B167" s="419">
        <v>39209</v>
      </c>
      <c r="C167" t="s">
        <v>359</v>
      </c>
      <c r="D167" s="2">
        <v>36003.39</v>
      </c>
      <c r="F167" t="s">
        <v>2126</v>
      </c>
      <c r="L167" s="342" t="s">
        <v>360</v>
      </c>
      <c r="M167" s="342" t="s">
        <v>359</v>
      </c>
      <c r="N167" s="342" t="s">
        <v>994</v>
      </c>
      <c r="O167" s="2">
        <v>36003.39</v>
      </c>
    </row>
    <row r="168" spans="1:15">
      <c r="A168" t="s">
        <v>2127</v>
      </c>
      <c r="B168" s="419">
        <v>37507</v>
      </c>
      <c r="C168" t="s">
        <v>361</v>
      </c>
      <c r="D168" s="2">
        <v>59562.18</v>
      </c>
      <c r="F168" t="s">
        <v>2128</v>
      </c>
      <c r="L168" s="342" t="s">
        <v>362</v>
      </c>
      <c r="M168" s="342" t="s">
        <v>361</v>
      </c>
      <c r="N168" s="342" t="s">
        <v>995</v>
      </c>
      <c r="O168" s="2">
        <v>59562.18</v>
      </c>
    </row>
    <row r="169" spans="1:15">
      <c r="B169" s="419"/>
      <c r="D169" s="2"/>
      <c r="L169" s="342" t="s">
        <v>364</v>
      </c>
      <c r="M169" s="342" t="s">
        <v>363</v>
      </c>
      <c r="N169" s="342" t="s">
        <v>996</v>
      </c>
      <c r="O169" s="2"/>
    </row>
    <row r="170" spans="1:15">
      <c r="A170" t="s">
        <v>2129</v>
      </c>
      <c r="B170" s="419">
        <v>29320</v>
      </c>
      <c r="C170" t="s">
        <v>365</v>
      </c>
      <c r="D170" s="2">
        <v>189531.01</v>
      </c>
      <c r="F170" t="s">
        <v>2130</v>
      </c>
      <c r="L170" s="342" t="s">
        <v>366</v>
      </c>
      <c r="M170" s="342" t="s">
        <v>365</v>
      </c>
      <c r="N170" s="342" t="s">
        <v>997</v>
      </c>
      <c r="O170" s="2">
        <v>189531.01</v>
      </c>
    </row>
    <row r="171" spans="1:15">
      <c r="B171" s="419"/>
      <c r="D171" s="2"/>
      <c r="L171" s="342" t="s">
        <v>998</v>
      </c>
      <c r="M171" s="342" t="s">
        <v>367</v>
      </c>
      <c r="N171" s="345" t="s">
        <v>999</v>
      </c>
      <c r="O171" s="2"/>
    </row>
    <row r="172" spans="1:15">
      <c r="A172" t="s">
        <v>2131</v>
      </c>
      <c r="B172" s="419">
        <v>31006</v>
      </c>
      <c r="C172" t="s">
        <v>369</v>
      </c>
      <c r="D172" s="2">
        <v>462628.47</v>
      </c>
      <c r="F172" t="s">
        <v>2132</v>
      </c>
      <c r="L172" s="342" t="s">
        <v>370</v>
      </c>
      <c r="M172" s="342" t="s">
        <v>369</v>
      </c>
      <c r="N172" s="342" t="s">
        <v>1000</v>
      </c>
      <c r="O172" s="2">
        <v>462628.47</v>
      </c>
    </row>
    <row r="173" spans="1:15">
      <c r="A173" t="s">
        <v>2133</v>
      </c>
      <c r="B173" s="419">
        <v>39003</v>
      </c>
      <c r="C173" t="s">
        <v>371</v>
      </c>
      <c r="D173" s="2">
        <v>49929.21</v>
      </c>
      <c r="F173" t="s">
        <v>2134</v>
      </c>
      <c r="L173" s="342" t="s">
        <v>372</v>
      </c>
      <c r="M173" s="342" t="s">
        <v>371</v>
      </c>
      <c r="N173" s="342" t="s">
        <v>1001</v>
      </c>
      <c r="O173" s="2">
        <v>49929.21</v>
      </c>
    </row>
    <row r="174" spans="1:15">
      <c r="A174" t="s">
        <v>2135</v>
      </c>
      <c r="B174" s="419">
        <v>21014</v>
      </c>
      <c r="C174" t="s">
        <v>373</v>
      </c>
      <c r="D174" s="2">
        <v>33722.92</v>
      </c>
      <c r="F174" t="s">
        <v>2136</v>
      </c>
      <c r="L174" s="342" t="s">
        <v>374</v>
      </c>
      <c r="M174" s="342" t="s">
        <v>373</v>
      </c>
      <c r="N174" s="342" t="s">
        <v>1002</v>
      </c>
      <c r="O174" s="2">
        <v>33722.92</v>
      </c>
    </row>
    <row r="175" spans="1:15">
      <c r="A175" t="s">
        <v>2137</v>
      </c>
      <c r="B175" s="419">
        <v>25155</v>
      </c>
      <c r="C175" t="s">
        <v>375</v>
      </c>
      <c r="D175" s="2">
        <v>19408.64</v>
      </c>
      <c r="F175" t="s">
        <v>2138</v>
      </c>
      <c r="L175" s="342" t="s">
        <v>376</v>
      </c>
      <c r="M175" s="342" t="s">
        <v>375</v>
      </c>
      <c r="N175" s="342" t="s">
        <v>1003</v>
      </c>
      <c r="O175" s="2">
        <v>19408.64</v>
      </c>
    </row>
    <row r="176" spans="1:15">
      <c r="A176" t="s">
        <v>2139</v>
      </c>
      <c r="B176" s="419">
        <v>24014</v>
      </c>
      <c r="C176" t="s">
        <v>377</v>
      </c>
      <c r="D176" s="2">
        <v>14013.36</v>
      </c>
      <c r="F176" t="s">
        <v>2140</v>
      </c>
      <c r="L176" s="342" t="s">
        <v>378</v>
      </c>
      <c r="M176" s="342" t="s">
        <v>377</v>
      </c>
      <c r="N176" s="342" t="s">
        <v>1004</v>
      </c>
      <c r="O176" s="2">
        <v>14013.36</v>
      </c>
    </row>
    <row r="177" spans="1:15">
      <c r="A177" t="s">
        <v>2141</v>
      </c>
      <c r="B177" s="419">
        <v>26056</v>
      </c>
      <c r="C177" t="s">
        <v>379</v>
      </c>
      <c r="D177" s="2">
        <v>41875.760000000002</v>
      </c>
      <c r="F177" t="s">
        <v>2142</v>
      </c>
      <c r="L177" s="342" t="s">
        <v>380</v>
      </c>
      <c r="M177" s="342" t="s">
        <v>379</v>
      </c>
      <c r="N177" s="342" t="s">
        <v>1005</v>
      </c>
      <c r="O177" s="2">
        <v>41875.760000000002</v>
      </c>
    </row>
    <row r="178" spans="1:15">
      <c r="A178" t="s">
        <v>2143</v>
      </c>
      <c r="B178" s="419">
        <v>32325</v>
      </c>
      <c r="C178" t="s">
        <v>381</v>
      </c>
      <c r="D178" s="2">
        <v>49179.369999999995</v>
      </c>
      <c r="F178" t="s">
        <v>2144</v>
      </c>
      <c r="L178" s="342" t="s">
        <v>382</v>
      </c>
      <c r="M178" s="342" t="s">
        <v>381</v>
      </c>
      <c r="N178" s="342" t="s">
        <v>1006</v>
      </c>
      <c r="O178" s="2">
        <v>49179.369999999995</v>
      </c>
    </row>
    <row r="179" spans="1:15">
      <c r="A179" t="s">
        <v>2145</v>
      </c>
      <c r="B179" s="419">
        <v>37506</v>
      </c>
      <c r="C179" t="s">
        <v>383</v>
      </c>
      <c r="D179" s="2">
        <v>67866.69</v>
      </c>
      <c r="F179" t="s">
        <v>2146</v>
      </c>
      <c r="L179" s="342" t="s">
        <v>384</v>
      </c>
      <c r="M179" s="342" t="s">
        <v>383</v>
      </c>
      <c r="N179" s="342" t="s">
        <v>1007</v>
      </c>
      <c r="O179" s="2">
        <v>67866.69</v>
      </c>
    </row>
    <row r="180" spans="1:15">
      <c r="A180" t="s">
        <v>2147</v>
      </c>
      <c r="B180" s="419">
        <v>14064</v>
      </c>
      <c r="C180" t="s">
        <v>385</v>
      </c>
      <c r="D180" s="2">
        <v>31142.17</v>
      </c>
      <c r="F180" t="s">
        <v>2148</v>
      </c>
      <c r="L180" s="342" t="s">
        <v>386</v>
      </c>
      <c r="M180" s="342" t="s">
        <v>385</v>
      </c>
      <c r="N180" s="342" t="s">
        <v>1008</v>
      </c>
      <c r="O180" s="2">
        <v>31142.17</v>
      </c>
    </row>
    <row r="181" spans="1:15">
      <c r="A181" t="s">
        <v>2149</v>
      </c>
      <c r="B181" s="419">
        <v>11051</v>
      </c>
      <c r="C181" t="s">
        <v>387</v>
      </c>
      <c r="D181" s="2">
        <v>70905.180000000008</v>
      </c>
      <c r="F181" t="s">
        <v>2150</v>
      </c>
      <c r="L181" s="342" t="s">
        <v>388</v>
      </c>
      <c r="M181" s="342" t="s">
        <v>387</v>
      </c>
      <c r="N181" s="342" t="s">
        <v>1009</v>
      </c>
      <c r="O181" s="2">
        <v>70905.180000000008</v>
      </c>
    </row>
    <row r="182" spans="1:15">
      <c r="A182" t="s">
        <v>2151</v>
      </c>
      <c r="B182" s="419">
        <v>18400</v>
      </c>
      <c r="C182" t="s">
        <v>389</v>
      </c>
      <c r="D182" s="2">
        <v>170642.43</v>
      </c>
      <c r="F182" t="s">
        <v>2152</v>
      </c>
      <c r="L182" s="342" t="s">
        <v>390</v>
      </c>
      <c r="M182" s="342" t="s">
        <v>389</v>
      </c>
      <c r="N182" s="342" t="s">
        <v>1010</v>
      </c>
      <c r="O182" s="2">
        <v>170642.43</v>
      </c>
    </row>
    <row r="183" spans="1:15">
      <c r="A183" t="s">
        <v>2153</v>
      </c>
      <c r="B183" s="419">
        <v>23403</v>
      </c>
      <c r="C183" t="s">
        <v>391</v>
      </c>
      <c r="D183" s="2">
        <v>74731.399999999994</v>
      </c>
      <c r="F183" t="s">
        <v>2154</v>
      </c>
      <c r="L183" s="342" t="s">
        <v>392</v>
      </c>
      <c r="M183" s="342" t="s">
        <v>391</v>
      </c>
      <c r="N183" s="342" t="s">
        <v>1011</v>
      </c>
      <c r="O183" s="2">
        <v>74731.399999999994</v>
      </c>
    </row>
    <row r="184" spans="1:15">
      <c r="A184" t="s">
        <v>2155</v>
      </c>
      <c r="B184" s="419">
        <v>25200</v>
      </c>
      <c r="C184" t="s">
        <v>393</v>
      </c>
      <c r="D184" s="2">
        <v>12534.94</v>
      </c>
      <c r="F184" t="s">
        <v>2156</v>
      </c>
      <c r="L184" s="342" t="s">
        <v>394</v>
      </c>
      <c r="M184" s="342" t="s">
        <v>393</v>
      </c>
      <c r="N184" s="342" t="s">
        <v>1012</v>
      </c>
      <c r="O184" s="2">
        <v>12534.94</v>
      </c>
    </row>
    <row r="185" spans="1:15">
      <c r="A185" t="s">
        <v>2157</v>
      </c>
      <c r="B185" s="419">
        <v>34003</v>
      </c>
      <c r="C185" t="s">
        <v>395</v>
      </c>
      <c r="D185" s="2">
        <v>455467.13</v>
      </c>
      <c r="F185" t="s">
        <v>2158</v>
      </c>
      <c r="L185" s="342" t="s">
        <v>396</v>
      </c>
      <c r="M185" s="342" t="s">
        <v>395</v>
      </c>
      <c r="N185" s="342" t="s">
        <v>1013</v>
      </c>
      <c r="O185" s="2">
        <v>455467.13</v>
      </c>
    </row>
    <row r="186" spans="1:15">
      <c r="A186" t="s">
        <v>2159</v>
      </c>
      <c r="B186" s="419">
        <v>33211</v>
      </c>
      <c r="C186" t="s">
        <v>397</v>
      </c>
      <c r="D186" s="2">
        <v>15037.67</v>
      </c>
      <c r="F186" t="s">
        <v>2160</v>
      </c>
      <c r="L186" s="342" t="s">
        <v>398</v>
      </c>
      <c r="M186" s="342" t="s">
        <v>397</v>
      </c>
      <c r="N186" s="342" t="s">
        <v>1014</v>
      </c>
      <c r="O186" s="2">
        <v>15037.67</v>
      </c>
    </row>
    <row r="187" spans="1:15">
      <c r="A187" t="s">
        <v>2161</v>
      </c>
      <c r="B187" s="419">
        <v>17417</v>
      </c>
      <c r="C187" t="s">
        <v>399</v>
      </c>
      <c r="D187" s="2">
        <v>691956.02</v>
      </c>
      <c r="F187" t="s">
        <v>2162</v>
      </c>
      <c r="L187" s="342" t="s">
        <v>400</v>
      </c>
      <c r="M187" s="342" t="s">
        <v>399</v>
      </c>
      <c r="N187" s="342" t="s">
        <v>1015</v>
      </c>
      <c r="O187" s="2">
        <v>691956.02</v>
      </c>
    </row>
    <row r="188" spans="1:15">
      <c r="A188" t="s">
        <v>2163</v>
      </c>
      <c r="B188" s="419">
        <v>15201</v>
      </c>
      <c r="C188" t="s">
        <v>401</v>
      </c>
      <c r="D188" s="2">
        <v>188401.65000000002</v>
      </c>
      <c r="F188" t="s">
        <v>2164</v>
      </c>
      <c r="L188" s="342" t="s">
        <v>402</v>
      </c>
      <c r="M188" s="342" t="s">
        <v>401</v>
      </c>
      <c r="N188" s="342" t="s">
        <v>1016</v>
      </c>
      <c r="O188" s="2">
        <v>188401.65000000002</v>
      </c>
    </row>
    <row r="189" spans="1:15">
      <c r="B189" s="419"/>
      <c r="D189" s="2"/>
      <c r="L189" s="342" t="s">
        <v>404</v>
      </c>
      <c r="M189" s="342" t="s">
        <v>403</v>
      </c>
      <c r="N189" s="342" t="s">
        <v>1017</v>
      </c>
      <c r="O189" s="2"/>
    </row>
    <row r="190" spans="1:15">
      <c r="A190" t="s">
        <v>2165</v>
      </c>
      <c r="B190" s="419">
        <v>14400</v>
      </c>
      <c r="C190" t="s">
        <v>405</v>
      </c>
      <c r="D190" s="2">
        <v>21442.28</v>
      </c>
      <c r="F190" t="s">
        <v>2166</v>
      </c>
      <c r="L190" s="342" t="s">
        <v>406</v>
      </c>
      <c r="M190" s="342" t="s">
        <v>405</v>
      </c>
      <c r="N190" s="342" t="s">
        <v>1018</v>
      </c>
      <c r="O190" s="2">
        <v>21442.28</v>
      </c>
    </row>
    <row r="191" spans="1:15">
      <c r="A191" t="s">
        <v>2167</v>
      </c>
      <c r="B191" s="419">
        <v>25101</v>
      </c>
      <c r="C191" t="s">
        <v>407</v>
      </c>
      <c r="D191" s="2">
        <v>42695.93</v>
      </c>
      <c r="F191" t="s">
        <v>2168</v>
      </c>
      <c r="L191" s="342" t="s">
        <v>408</v>
      </c>
      <c r="M191" s="342" t="s">
        <v>407</v>
      </c>
      <c r="N191" s="342" t="s">
        <v>1019</v>
      </c>
      <c r="O191" s="2">
        <v>42695.93</v>
      </c>
    </row>
    <row r="192" spans="1:15">
      <c r="A192" t="s">
        <v>2169</v>
      </c>
      <c r="B192" s="419">
        <v>14172</v>
      </c>
      <c r="C192" t="s">
        <v>409</v>
      </c>
      <c r="D192" s="2">
        <v>26478.690000000002</v>
      </c>
      <c r="F192" t="s">
        <v>2170</v>
      </c>
      <c r="L192" s="342" t="s">
        <v>410</v>
      </c>
      <c r="M192" s="342" t="s">
        <v>409</v>
      </c>
      <c r="N192" s="342" t="s">
        <v>1020</v>
      </c>
      <c r="O192" s="2">
        <v>26478.690000000002</v>
      </c>
    </row>
    <row r="193" spans="1:15">
      <c r="A193" t="s">
        <v>2171</v>
      </c>
      <c r="B193" s="419">
        <v>22105</v>
      </c>
      <c r="C193" t="s">
        <v>411</v>
      </c>
      <c r="D193" s="2">
        <v>16969.769999999997</v>
      </c>
      <c r="F193" t="s">
        <v>2172</v>
      </c>
      <c r="L193" s="342" t="s">
        <v>412</v>
      </c>
      <c r="M193" s="342" t="s">
        <v>411</v>
      </c>
      <c r="N193" s="342" t="s">
        <v>1021</v>
      </c>
      <c r="O193" s="2">
        <v>16969.769999999997</v>
      </c>
    </row>
    <row r="194" spans="1:15">
      <c r="A194" t="s">
        <v>2173</v>
      </c>
      <c r="B194" s="419">
        <v>24105</v>
      </c>
      <c r="C194" t="s">
        <v>413</v>
      </c>
      <c r="D194" s="2">
        <v>41062.76</v>
      </c>
      <c r="F194" t="s">
        <v>2174</v>
      </c>
      <c r="L194" s="342" t="s">
        <v>414</v>
      </c>
      <c r="M194" s="342" t="s">
        <v>413</v>
      </c>
      <c r="N194" s="342" t="s">
        <v>1022</v>
      </c>
      <c r="O194" s="2">
        <v>41062.76</v>
      </c>
    </row>
    <row r="195" spans="1:15">
      <c r="A195" t="s">
        <v>2175</v>
      </c>
      <c r="B195" s="419">
        <v>34111</v>
      </c>
      <c r="C195" t="s">
        <v>415</v>
      </c>
      <c r="D195" s="2">
        <v>309702.38</v>
      </c>
      <c r="F195" t="s">
        <v>2176</v>
      </c>
      <c r="L195" s="342" t="s">
        <v>416</v>
      </c>
      <c r="M195" s="342" t="s">
        <v>415</v>
      </c>
      <c r="N195" s="342" t="s">
        <v>1023</v>
      </c>
      <c r="O195" s="2">
        <v>309702.38</v>
      </c>
    </row>
    <row r="196" spans="1:15">
      <c r="A196" t="s">
        <v>2177</v>
      </c>
      <c r="B196" s="419">
        <v>24019</v>
      </c>
      <c r="C196" t="s">
        <v>417</v>
      </c>
      <c r="D196" s="2">
        <v>56655.210000000006</v>
      </c>
      <c r="F196" t="s">
        <v>2178</v>
      </c>
      <c r="L196" s="342" t="s">
        <v>418</v>
      </c>
      <c r="M196" s="342" t="s">
        <v>417</v>
      </c>
      <c r="N196" s="342" t="s">
        <v>1024</v>
      </c>
      <c r="O196" s="2">
        <v>56655.210000000006</v>
      </c>
    </row>
    <row r="197" spans="1:15">
      <c r="A197" t="s">
        <v>2179</v>
      </c>
      <c r="B197" s="419">
        <v>21300</v>
      </c>
      <c r="C197" t="s">
        <v>419</v>
      </c>
      <c r="D197" s="2">
        <v>35282.79</v>
      </c>
      <c r="F197" t="s">
        <v>2180</v>
      </c>
      <c r="L197" s="342" t="s">
        <v>420</v>
      </c>
      <c r="M197" s="342" t="s">
        <v>419</v>
      </c>
      <c r="N197" s="342" t="s">
        <v>1025</v>
      </c>
      <c r="O197" s="2">
        <v>35282.79</v>
      </c>
    </row>
    <row r="198" spans="1:15">
      <c r="A198" t="s">
        <v>2181</v>
      </c>
      <c r="B198" s="419">
        <v>33030</v>
      </c>
      <c r="C198" t="s">
        <v>421</v>
      </c>
      <c r="D198" s="2">
        <v>11449.19</v>
      </c>
      <c r="F198" t="s">
        <v>2182</v>
      </c>
      <c r="L198" s="342" t="s">
        <v>422</v>
      </c>
      <c r="M198" s="344" t="s">
        <v>421</v>
      </c>
      <c r="N198" s="342" t="s">
        <v>1026</v>
      </c>
      <c r="O198" s="2">
        <v>11449.19</v>
      </c>
    </row>
    <row r="199" spans="1:15">
      <c r="A199" t="s">
        <v>2183</v>
      </c>
      <c r="B199" s="419">
        <v>28137</v>
      </c>
      <c r="C199" t="s">
        <v>423</v>
      </c>
      <c r="D199" s="2">
        <v>22675.480000000003</v>
      </c>
      <c r="F199" t="s">
        <v>2184</v>
      </c>
      <c r="L199" s="342" t="s">
        <v>424</v>
      </c>
      <c r="M199" s="342" t="s">
        <v>423</v>
      </c>
      <c r="N199" s="342" t="s">
        <v>1027</v>
      </c>
      <c r="O199" s="2">
        <v>22675.480000000003</v>
      </c>
    </row>
    <row r="200" spans="1:15">
      <c r="B200" s="419"/>
      <c r="D200" s="2"/>
      <c r="L200" s="342" t="s">
        <v>426</v>
      </c>
      <c r="M200" s="342" t="s">
        <v>425</v>
      </c>
      <c r="N200" s="342" t="s">
        <v>1028</v>
      </c>
      <c r="O200" s="2"/>
    </row>
    <row r="201" spans="1:15">
      <c r="A201" t="s">
        <v>2185</v>
      </c>
      <c r="B201" s="419">
        <v>10065</v>
      </c>
      <c r="C201" t="s">
        <v>427</v>
      </c>
      <c r="D201" s="2">
        <v>11261.19</v>
      </c>
      <c r="F201" t="s">
        <v>2186</v>
      </c>
      <c r="L201" s="342" t="s">
        <v>428</v>
      </c>
      <c r="M201" s="342" t="s">
        <v>427</v>
      </c>
      <c r="N201" s="342" t="s">
        <v>1029</v>
      </c>
      <c r="O201" s="2">
        <v>11261.19</v>
      </c>
    </row>
    <row r="202" spans="1:15">
      <c r="A202" t="s">
        <v>2187</v>
      </c>
      <c r="B202" s="419">
        <v>9013</v>
      </c>
      <c r="C202" t="s">
        <v>429</v>
      </c>
      <c r="D202" s="2">
        <v>15092.83</v>
      </c>
      <c r="F202" t="s">
        <v>2188</v>
      </c>
      <c r="L202" s="342" t="s">
        <v>430</v>
      </c>
      <c r="M202" s="342" t="s">
        <v>429</v>
      </c>
      <c r="N202" s="342" t="s">
        <v>1030</v>
      </c>
      <c r="O202" s="2">
        <v>15092.83</v>
      </c>
    </row>
    <row r="203" spans="1:15">
      <c r="A203" t="s">
        <v>2189</v>
      </c>
      <c r="B203" s="419">
        <v>24410</v>
      </c>
      <c r="C203" t="s">
        <v>431</v>
      </c>
      <c r="D203" s="2">
        <v>25540.85</v>
      </c>
      <c r="F203" t="s">
        <v>2190</v>
      </c>
      <c r="L203" s="342" t="s">
        <v>432</v>
      </c>
      <c r="M203" s="342" t="s">
        <v>431</v>
      </c>
      <c r="N203" s="342" t="s">
        <v>1031</v>
      </c>
      <c r="O203" s="2">
        <v>25540.85</v>
      </c>
    </row>
    <row r="204" spans="1:15">
      <c r="A204" t="s">
        <v>2191</v>
      </c>
      <c r="B204" s="419">
        <v>27344</v>
      </c>
      <c r="C204" t="s">
        <v>433</v>
      </c>
      <c r="D204" s="2">
        <v>97025.040000000008</v>
      </c>
      <c r="F204" t="s">
        <v>2192</v>
      </c>
      <c r="L204" s="342" t="s">
        <v>434</v>
      </c>
      <c r="M204" s="342" t="s">
        <v>433</v>
      </c>
      <c r="N204" s="342" t="s">
        <v>1032</v>
      </c>
      <c r="O204" s="2">
        <v>97025.040000000008</v>
      </c>
    </row>
    <row r="205" spans="1:15">
      <c r="A205" t="s">
        <v>2193</v>
      </c>
      <c r="B205" s="419">
        <v>1147</v>
      </c>
      <c r="C205" t="s">
        <v>435</v>
      </c>
      <c r="D205" s="2">
        <v>152343.57</v>
      </c>
      <c r="F205" t="s">
        <v>2194</v>
      </c>
      <c r="L205" s="342" t="s">
        <v>436</v>
      </c>
      <c r="M205" s="342" t="s">
        <v>435</v>
      </c>
      <c r="N205" s="342" t="s">
        <v>1033</v>
      </c>
      <c r="O205" s="2">
        <v>152343.57</v>
      </c>
    </row>
    <row r="206" spans="1:15">
      <c r="A206" t="s">
        <v>2195</v>
      </c>
      <c r="B206" s="419">
        <v>9102</v>
      </c>
      <c r="C206" t="s">
        <v>437</v>
      </c>
      <c r="D206" s="2">
        <v>10729.39</v>
      </c>
      <c r="F206" t="s">
        <v>2196</v>
      </c>
      <c r="L206" s="342" t="s">
        <v>438</v>
      </c>
      <c r="M206" s="342" t="s">
        <v>437</v>
      </c>
      <c r="N206" s="342" t="s">
        <v>1034</v>
      </c>
      <c r="O206" s="2">
        <v>10729.39</v>
      </c>
    </row>
    <row r="207" spans="1:15">
      <c r="A207" t="s">
        <v>2197</v>
      </c>
      <c r="B207" s="419">
        <v>38301</v>
      </c>
      <c r="C207" t="s">
        <v>439</v>
      </c>
      <c r="D207" s="2">
        <v>15202.71</v>
      </c>
      <c r="F207" t="s">
        <v>2198</v>
      </c>
      <c r="L207" s="342" t="s">
        <v>440</v>
      </c>
      <c r="M207" s="342" t="s">
        <v>439</v>
      </c>
      <c r="N207" s="342" t="s">
        <v>1035</v>
      </c>
      <c r="O207" s="2">
        <v>15202.71</v>
      </c>
    </row>
    <row r="208" spans="1:15">
      <c r="A208" t="s">
        <v>2199</v>
      </c>
      <c r="B208" s="419">
        <v>11001</v>
      </c>
      <c r="C208" t="s">
        <v>441</v>
      </c>
      <c r="D208" s="2">
        <v>628215.34</v>
      </c>
      <c r="F208" t="s">
        <v>2200</v>
      </c>
      <c r="L208" s="342" t="s">
        <v>442</v>
      </c>
      <c r="M208" s="342" t="s">
        <v>441</v>
      </c>
      <c r="N208" s="342" t="s">
        <v>1036</v>
      </c>
      <c r="O208" s="2">
        <v>628215.34</v>
      </c>
    </row>
    <row r="209" spans="1:15">
      <c r="A209" t="s">
        <v>2201</v>
      </c>
      <c r="B209" s="419">
        <v>24122</v>
      </c>
      <c r="C209" t="s">
        <v>443</v>
      </c>
      <c r="D209" s="2">
        <v>18428.2</v>
      </c>
      <c r="F209" t="s">
        <v>2202</v>
      </c>
      <c r="L209" s="342" t="s">
        <v>444</v>
      </c>
      <c r="M209" s="342" t="s">
        <v>443</v>
      </c>
      <c r="N209" s="342" t="s">
        <v>1037</v>
      </c>
      <c r="O209" s="2">
        <v>18428.2</v>
      </c>
    </row>
    <row r="210" spans="1:15">
      <c r="A210" t="s">
        <v>2203</v>
      </c>
      <c r="B210" s="419">
        <v>3050</v>
      </c>
      <c r="C210" t="s">
        <v>445</v>
      </c>
      <c r="D210" s="2">
        <v>14331.69</v>
      </c>
      <c r="F210" t="s">
        <v>2204</v>
      </c>
      <c r="L210" s="342" t="s">
        <v>446</v>
      </c>
      <c r="M210" s="342" t="s">
        <v>445</v>
      </c>
      <c r="N210" s="342" t="s">
        <v>1038</v>
      </c>
      <c r="O210" s="2">
        <v>14331.69</v>
      </c>
    </row>
    <row r="211" spans="1:15">
      <c r="A211" t="s">
        <v>2205</v>
      </c>
      <c r="B211" s="419">
        <v>21301</v>
      </c>
      <c r="C211" t="s">
        <v>447</v>
      </c>
      <c r="D211" s="2">
        <v>18126.560000000001</v>
      </c>
      <c r="F211" t="s">
        <v>2206</v>
      </c>
      <c r="L211" s="342" t="s">
        <v>448</v>
      </c>
      <c r="M211" s="342" t="s">
        <v>447</v>
      </c>
      <c r="N211" s="342" t="s">
        <v>1039</v>
      </c>
      <c r="O211" s="2">
        <v>18126.560000000001</v>
      </c>
    </row>
    <row r="212" spans="1:15">
      <c r="A212" t="s">
        <v>2207</v>
      </c>
      <c r="B212" s="419">
        <v>27401</v>
      </c>
      <c r="C212" t="s">
        <v>449</v>
      </c>
      <c r="D212" s="2">
        <v>251928.49</v>
      </c>
      <c r="F212" t="s">
        <v>2208</v>
      </c>
      <c r="L212" s="342" t="s">
        <v>450</v>
      </c>
      <c r="M212" s="342" t="s">
        <v>449</v>
      </c>
      <c r="N212" s="342" t="s">
        <v>1040</v>
      </c>
      <c r="O212" s="2">
        <v>251928.49</v>
      </c>
    </row>
    <row r="213" spans="1:15">
      <c r="A213" t="s">
        <v>2209</v>
      </c>
      <c r="B213" s="419">
        <v>4901</v>
      </c>
      <c r="C213" t="s">
        <v>451</v>
      </c>
      <c r="D213" s="2">
        <v>14236.78</v>
      </c>
      <c r="F213" t="s">
        <v>2210</v>
      </c>
      <c r="L213" s="342" t="s">
        <v>452</v>
      </c>
      <c r="M213" s="343" t="s">
        <v>451</v>
      </c>
      <c r="N213" s="343" t="s">
        <v>1041</v>
      </c>
      <c r="O213" s="2">
        <v>14236.78</v>
      </c>
    </row>
    <row r="214" spans="1:15">
      <c r="A214" t="s">
        <v>2211</v>
      </c>
      <c r="B214" s="419">
        <v>23402</v>
      </c>
      <c r="C214" t="s">
        <v>453</v>
      </c>
      <c r="D214" s="2">
        <v>31645.43</v>
      </c>
      <c r="F214" t="s">
        <v>2212</v>
      </c>
      <c r="L214" s="342" t="s">
        <v>454</v>
      </c>
      <c r="M214" s="342" t="s">
        <v>453</v>
      </c>
      <c r="N214" s="342" t="s">
        <v>1042</v>
      </c>
      <c r="O214" s="2">
        <v>31645.43</v>
      </c>
    </row>
    <row r="215" spans="1:15">
      <c r="A215" t="s">
        <v>2213</v>
      </c>
      <c r="B215" s="419">
        <v>12110</v>
      </c>
      <c r="C215" t="s">
        <v>455</v>
      </c>
      <c r="D215" s="2">
        <v>20756.75</v>
      </c>
      <c r="F215" t="s">
        <v>2214</v>
      </c>
      <c r="L215" s="342" t="s">
        <v>456</v>
      </c>
      <c r="M215" s="342" t="s">
        <v>455</v>
      </c>
      <c r="N215" s="342" t="s">
        <v>1043</v>
      </c>
      <c r="O215" s="2">
        <v>20756.75</v>
      </c>
    </row>
    <row r="216" spans="1:15">
      <c r="A216" t="s">
        <v>2215</v>
      </c>
      <c r="B216" s="419">
        <v>5121</v>
      </c>
      <c r="C216" t="s">
        <v>457</v>
      </c>
      <c r="D216" s="2">
        <v>110062.55</v>
      </c>
      <c r="F216" t="s">
        <v>2216</v>
      </c>
      <c r="L216" s="342" t="s">
        <v>458</v>
      </c>
      <c r="M216" s="342" t="s">
        <v>457</v>
      </c>
      <c r="N216" s="342" t="s">
        <v>1044</v>
      </c>
      <c r="O216" s="2">
        <v>110062.55</v>
      </c>
    </row>
    <row r="217" spans="1:15">
      <c r="A217" t="s">
        <v>2217</v>
      </c>
      <c r="B217" s="419">
        <v>16050</v>
      </c>
      <c r="C217" t="s">
        <v>459</v>
      </c>
      <c r="D217" s="2">
        <v>47229.39</v>
      </c>
      <c r="F217" t="s">
        <v>2218</v>
      </c>
      <c r="L217" s="342" t="s">
        <v>460</v>
      </c>
      <c r="M217" s="342" t="s">
        <v>459</v>
      </c>
      <c r="N217" s="342" t="s">
        <v>1045</v>
      </c>
      <c r="O217" s="2">
        <v>47229.39</v>
      </c>
    </row>
    <row r="218" spans="1:15">
      <c r="A218" t="s">
        <v>2219</v>
      </c>
      <c r="B218" s="419">
        <v>36402</v>
      </c>
      <c r="C218" t="s">
        <v>461</v>
      </c>
      <c r="D218" s="2">
        <v>18048.43</v>
      </c>
      <c r="F218" t="s">
        <v>2220</v>
      </c>
      <c r="L218" s="342" t="s">
        <v>462</v>
      </c>
      <c r="M218" s="342" t="s">
        <v>461</v>
      </c>
      <c r="N218" s="342" t="s">
        <v>1046</v>
      </c>
      <c r="O218" s="2">
        <v>18048.43</v>
      </c>
    </row>
    <row r="219" spans="1:15">
      <c r="A219" t="s">
        <v>2221</v>
      </c>
      <c r="B219" s="419">
        <v>32907</v>
      </c>
      <c r="C219" t="s">
        <v>463</v>
      </c>
      <c r="D219" s="2">
        <v>27552.080000000002</v>
      </c>
      <c r="F219" t="s">
        <v>2222</v>
      </c>
      <c r="L219" s="342" t="s">
        <v>1047</v>
      </c>
      <c r="M219" s="342" t="s">
        <v>463</v>
      </c>
      <c r="N219" s="342" t="s">
        <v>1048</v>
      </c>
      <c r="O219" s="2">
        <v>27552.080000000002</v>
      </c>
    </row>
    <row r="220" spans="1:15">
      <c r="A220" t="s">
        <v>2223</v>
      </c>
      <c r="B220" s="419">
        <v>3116</v>
      </c>
      <c r="C220" t="s">
        <v>465</v>
      </c>
      <c r="D220" s="2">
        <v>87408.9</v>
      </c>
      <c r="F220" t="s">
        <v>2224</v>
      </c>
      <c r="L220" s="342" t="s">
        <v>466</v>
      </c>
      <c r="M220" s="342" t="s">
        <v>465</v>
      </c>
      <c r="N220" s="342" t="s">
        <v>1049</v>
      </c>
      <c r="O220" s="2">
        <v>87408.9</v>
      </c>
    </row>
    <row r="221" spans="1:15">
      <c r="A221" t="s">
        <v>2225</v>
      </c>
      <c r="B221" s="419">
        <v>38267</v>
      </c>
      <c r="C221" t="s">
        <v>467</v>
      </c>
      <c r="D221" s="2">
        <v>92140.25</v>
      </c>
      <c r="F221" t="s">
        <v>2226</v>
      </c>
      <c r="L221" s="342" t="s">
        <v>468</v>
      </c>
      <c r="M221" s="342" t="s">
        <v>467</v>
      </c>
      <c r="N221" s="342" t="s">
        <v>1050</v>
      </c>
      <c r="O221" s="2">
        <v>92140.25</v>
      </c>
    </row>
    <row r="222" spans="1:15">
      <c r="A222" t="s">
        <v>2227</v>
      </c>
      <c r="B222" s="419">
        <v>38901</v>
      </c>
      <c r="C222" t="s">
        <v>469</v>
      </c>
      <c r="D222" s="2">
        <v>12580.86</v>
      </c>
      <c r="F222" t="s">
        <v>2228</v>
      </c>
      <c r="L222" s="342" t="s">
        <v>470</v>
      </c>
      <c r="M222" s="343" t="s">
        <v>469</v>
      </c>
      <c r="N222" s="343" t="s">
        <v>1051</v>
      </c>
      <c r="O222" s="2">
        <v>12580.86</v>
      </c>
    </row>
    <row r="223" spans="1:15">
      <c r="A223" t="s">
        <v>2229</v>
      </c>
      <c r="B223" s="419">
        <v>27003</v>
      </c>
      <c r="C223" t="s">
        <v>471</v>
      </c>
      <c r="D223" s="2">
        <v>689167.43</v>
      </c>
      <c r="F223" t="s">
        <v>2230</v>
      </c>
      <c r="L223" s="342" t="s">
        <v>472</v>
      </c>
      <c r="M223" s="342" t="s">
        <v>471</v>
      </c>
      <c r="N223" s="342" t="s">
        <v>1052</v>
      </c>
      <c r="O223" s="2">
        <v>689167.43</v>
      </c>
    </row>
    <row r="224" spans="1:15">
      <c r="A224" t="s">
        <v>2231</v>
      </c>
      <c r="B224" s="419">
        <v>16020</v>
      </c>
      <c r="C224" t="s">
        <v>473</v>
      </c>
      <c r="D224" s="2">
        <v>11395.73</v>
      </c>
      <c r="F224" t="s">
        <v>2232</v>
      </c>
      <c r="L224" s="342" t="s">
        <v>474</v>
      </c>
      <c r="M224" s="342" t="s">
        <v>473</v>
      </c>
      <c r="N224" s="342" t="s">
        <v>1053</v>
      </c>
      <c r="O224" s="2">
        <v>11395.73</v>
      </c>
    </row>
    <row r="225" spans="1:15">
      <c r="A225" t="s">
        <v>2233</v>
      </c>
      <c r="B225" s="419">
        <v>16048</v>
      </c>
      <c r="C225" t="s">
        <v>475</v>
      </c>
      <c r="D225" s="2">
        <v>16975.599999999999</v>
      </c>
      <c r="F225" t="s">
        <v>2234</v>
      </c>
      <c r="L225" s="342" t="s">
        <v>476</v>
      </c>
      <c r="M225" s="342" t="s">
        <v>475</v>
      </c>
      <c r="N225" s="342" t="s">
        <v>1054</v>
      </c>
      <c r="O225" s="2">
        <v>16975.599999999999</v>
      </c>
    </row>
    <row r="226" spans="1:15">
      <c r="A226" t="s">
        <v>2235</v>
      </c>
      <c r="B226" s="419">
        <v>5903</v>
      </c>
      <c r="C226" t="s">
        <v>477</v>
      </c>
      <c r="D226" s="2">
        <v>13981.16</v>
      </c>
      <c r="F226" t="s">
        <v>2236</v>
      </c>
      <c r="L226" s="342" t="s">
        <v>1055</v>
      </c>
      <c r="M226" s="342" t="s">
        <v>477</v>
      </c>
      <c r="N226" s="345" t="s">
        <v>1056</v>
      </c>
      <c r="O226" s="2">
        <v>13981.16</v>
      </c>
    </row>
    <row r="227" spans="1:15">
      <c r="A227" t="s">
        <v>2237</v>
      </c>
      <c r="B227" s="419">
        <v>5402</v>
      </c>
      <c r="C227" t="s">
        <v>479</v>
      </c>
      <c r="D227" s="2">
        <v>39802.58</v>
      </c>
      <c r="F227" t="s">
        <v>2238</v>
      </c>
      <c r="L227" s="342" t="s">
        <v>480</v>
      </c>
      <c r="M227" s="342" t="s">
        <v>479</v>
      </c>
      <c r="N227" s="342" t="s">
        <v>1057</v>
      </c>
      <c r="O227" s="2">
        <v>39802.58</v>
      </c>
    </row>
    <row r="228" spans="1:15">
      <c r="A228" t="s">
        <v>2239</v>
      </c>
      <c r="B228" s="419">
        <v>14097</v>
      </c>
      <c r="C228" t="s">
        <v>481</v>
      </c>
      <c r="D228" s="2">
        <v>15739.080000000002</v>
      </c>
      <c r="F228" t="s">
        <v>2240</v>
      </c>
      <c r="L228" s="342" t="s">
        <v>482</v>
      </c>
      <c r="M228" s="342" t="s">
        <v>481</v>
      </c>
      <c r="N228" s="342" t="s">
        <v>1058</v>
      </c>
      <c r="O228" s="2">
        <v>15739.080000000002</v>
      </c>
    </row>
    <row r="229" spans="1:15">
      <c r="A229" t="s">
        <v>2241</v>
      </c>
      <c r="B229" s="419">
        <v>13144</v>
      </c>
      <c r="C229" t="s">
        <v>483</v>
      </c>
      <c r="D229" s="2">
        <v>107617.70000000001</v>
      </c>
      <c r="F229" t="s">
        <v>2242</v>
      </c>
      <c r="L229" s="342" t="s">
        <v>484</v>
      </c>
      <c r="M229" s="342" t="s">
        <v>483</v>
      </c>
      <c r="N229" s="342" t="s">
        <v>1059</v>
      </c>
      <c r="O229" s="2">
        <v>107617.70000000001</v>
      </c>
    </row>
    <row r="230" spans="1:15">
      <c r="A230" t="s">
        <v>2243</v>
      </c>
      <c r="B230" s="419">
        <v>34307</v>
      </c>
      <c r="C230" t="s">
        <v>485</v>
      </c>
      <c r="D230" s="2">
        <v>37410.880000000005</v>
      </c>
      <c r="F230" t="s">
        <v>2244</v>
      </c>
      <c r="L230" s="342" t="s">
        <v>486</v>
      </c>
      <c r="M230" s="342" t="s">
        <v>485</v>
      </c>
      <c r="N230" s="342" t="s">
        <v>1060</v>
      </c>
      <c r="O230" s="2">
        <v>37410.880000000005</v>
      </c>
    </row>
    <row r="231" spans="1:15">
      <c r="A231" t="s">
        <v>2245</v>
      </c>
      <c r="B231" s="419">
        <v>17908</v>
      </c>
      <c r="C231" t="s">
        <v>487</v>
      </c>
      <c r="D231" s="2">
        <v>20183.150000000001</v>
      </c>
      <c r="F231" t="s">
        <v>2246</v>
      </c>
      <c r="L231" s="342" t="s">
        <v>1061</v>
      </c>
      <c r="M231" s="342" t="s">
        <v>487</v>
      </c>
      <c r="N231" s="345" t="s">
        <v>1062</v>
      </c>
      <c r="O231" s="2">
        <v>20183.150000000001</v>
      </c>
    </row>
    <row r="232" spans="1:15">
      <c r="B232" s="419"/>
      <c r="D232" s="2"/>
      <c r="L232" s="342" t="s">
        <v>490</v>
      </c>
      <c r="M232" s="342" t="s">
        <v>489</v>
      </c>
      <c r="N232" s="345" t="s">
        <v>1063</v>
      </c>
      <c r="O232" s="2"/>
    </row>
    <row r="233" spans="1:15">
      <c r="A233" t="s">
        <v>2247</v>
      </c>
      <c r="B233" s="419">
        <v>25116</v>
      </c>
      <c r="C233" t="s">
        <v>491</v>
      </c>
      <c r="D233" s="2">
        <v>25835.760000000002</v>
      </c>
      <c r="F233" t="s">
        <v>2248</v>
      </c>
      <c r="L233" s="342" t="s">
        <v>492</v>
      </c>
      <c r="M233" s="342" t="s">
        <v>491</v>
      </c>
      <c r="N233" s="342" t="s">
        <v>1064</v>
      </c>
      <c r="O233" s="2">
        <v>25835.760000000002</v>
      </c>
    </row>
    <row r="234" spans="1:15">
      <c r="A234" t="s">
        <v>2249</v>
      </c>
      <c r="B234" s="419">
        <v>22009</v>
      </c>
      <c r="C234" t="s">
        <v>493</v>
      </c>
      <c r="D234" s="2">
        <v>32938.82</v>
      </c>
      <c r="F234" t="s">
        <v>2250</v>
      </c>
      <c r="L234" s="342" t="s">
        <v>494</v>
      </c>
      <c r="M234" s="342" t="s">
        <v>493</v>
      </c>
      <c r="N234" s="342" t="s">
        <v>1065</v>
      </c>
      <c r="O234" s="2">
        <v>32938.82</v>
      </c>
    </row>
    <row r="235" spans="1:15">
      <c r="A235" t="s">
        <v>2251</v>
      </c>
      <c r="B235" s="419">
        <v>17403</v>
      </c>
      <c r="C235" t="s">
        <v>495</v>
      </c>
      <c r="D235" s="2">
        <v>470664.89</v>
      </c>
      <c r="F235" t="s">
        <v>2252</v>
      </c>
      <c r="L235" s="342" t="s">
        <v>496</v>
      </c>
      <c r="M235" s="342" t="s">
        <v>495</v>
      </c>
      <c r="N235" s="342" t="s">
        <v>1066</v>
      </c>
      <c r="O235" s="2">
        <v>470664.89</v>
      </c>
    </row>
    <row r="236" spans="1:15">
      <c r="A236" t="s">
        <v>2253</v>
      </c>
      <c r="B236" s="419">
        <v>10309</v>
      </c>
      <c r="C236" t="s">
        <v>497</v>
      </c>
      <c r="D236" s="2">
        <v>19678.89</v>
      </c>
      <c r="F236" t="s">
        <v>2254</v>
      </c>
      <c r="L236" s="342" t="s">
        <v>498</v>
      </c>
      <c r="M236" s="342" t="s">
        <v>497</v>
      </c>
      <c r="N236" s="342" t="s">
        <v>1067</v>
      </c>
      <c r="O236" s="2">
        <v>19678.89</v>
      </c>
    </row>
    <row r="237" spans="1:15">
      <c r="A237" t="s">
        <v>2255</v>
      </c>
      <c r="B237" s="419">
        <v>3400</v>
      </c>
      <c r="C237" t="s">
        <v>499</v>
      </c>
      <c r="D237" s="2">
        <v>428441.85</v>
      </c>
      <c r="F237" t="s">
        <v>2256</v>
      </c>
      <c r="L237" s="342" t="s">
        <v>500</v>
      </c>
      <c r="M237" s="342" t="s">
        <v>499</v>
      </c>
      <c r="N237" s="342" t="s">
        <v>1068</v>
      </c>
      <c r="O237" s="2">
        <v>428441.85</v>
      </c>
    </row>
    <row r="238" spans="1:15">
      <c r="A238" t="s">
        <v>2257</v>
      </c>
      <c r="B238" s="419">
        <v>6122</v>
      </c>
      <c r="C238" t="s">
        <v>501</v>
      </c>
      <c r="D238" s="2">
        <v>122575.16</v>
      </c>
      <c r="F238" t="s">
        <v>2258</v>
      </c>
      <c r="L238" s="342" t="s">
        <v>502</v>
      </c>
      <c r="M238" s="342" t="s">
        <v>501</v>
      </c>
      <c r="N238" s="342" t="s">
        <v>1069</v>
      </c>
      <c r="O238" s="2">
        <v>122575.16</v>
      </c>
    </row>
    <row r="239" spans="1:15">
      <c r="A239" t="s">
        <v>2259</v>
      </c>
      <c r="B239" s="419">
        <v>1160</v>
      </c>
      <c r="C239" t="s">
        <v>503</v>
      </c>
      <c r="D239" s="2">
        <v>21831.190000000002</v>
      </c>
      <c r="F239" t="s">
        <v>2260</v>
      </c>
      <c r="L239" s="342" t="s">
        <v>504</v>
      </c>
      <c r="M239" s="342" t="s">
        <v>503</v>
      </c>
      <c r="N239" s="342" t="s">
        <v>1070</v>
      </c>
      <c r="O239" s="2">
        <v>21831.190000000002</v>
      </c>
    </row>
    <row r="240" spans="1:15">
      <c r="A240" t="s">
        <v>2261</v>
      </c>
      <c r="B240" s="419">
        <v>32416</v>
      </c>
      <c r="C240" t="s">
        <v>505</v>
      </c>
      <c r="D240" s="2">
        <v>57220.270000000004</v>
      </c>
      <c r="F240" t="s">
        <v>2262</v>
      </c>
      <c r="L240" s="342" t="s">
        <v>506</v>
      </c>
      <c r="M240" s="342" t="s">
        <v>505</v>
      </c>
      <c r="N240" s="342" t="s">
        <v>1071</v>
      </c>
      <c r="O240" s="2">
        <v>57220.270000000004</v>
      </c>
    </row>
    <row r="241" spans="1:15">
      <c r="A241" t="s">
        <v>2263</v>
      </c>
      <c r="B241" s="419">
        <v>17407</v>
      </c>
      <c r="C241" t="s">
        <v>507</v>
      </c>
      <c r="D241" s="2">
        <v>105889.98000000001</v>
      </c>
      <c r="F241" t="s">
        <v>2264</v>
      </c>
      <c r="L241" s="342" t="s">
        <v>508</v>
      </c>
      <c r="M241" s="342" t="s">
        <v>507</v>
      </c>
      <c r="N241" s="342" t="s">
        <v>1072</v>
      </c>
      <c r="O241" s="2">
        <v>105889.98000000001</v>
      </c>
    </row>
    <row r="242" spans="1:15">
      <c r="A242" t="s">
        <v>2265</v>
      </c>
      <c r="B242" s="419">
        <v>34401</v>
      </c>
      <c r="C242" t="s">
        <v>509</v>
      </c>
      <c r="D242" s="2">
        <v>74988.58</v>
      </c>
      <c r="F242" t="s">
        <v>2266</v>
      </c>
      <c r="L242" s="342" t="s">
        <v>510</v>
      </c>
      <c r="M242" s="342" t="s">
        <v>509</v>
      </c>
      <c r="N242" s="342" t="s">
        <v>1073</v>
      </c>
      <c r="O242" s="2">
        <v>74988.58</v>
      </c>
    </row>
    <row r="243" spans="1:15">
      <c r="B243" s="419"/>
      <c r="D243" s="2"/>
      <c r="L243" s="342" t="s">
        <v>512</v>
      </c>
      <c r="M243" s="342" t="s">
        <v>511</v>
      </c>
      <c r="N243" s="342" t="s">
        <v>1074</v>
      </c>
      <c r="O243" s="2"/>
    </row>
    <row r="244" spans="1:15">
      <c r="A244" t="s">
        <v>2267</v>
      </c>
      <c r="B244" s="419">
        <v>38320</v>
      </c>
      <c r="C244" t="s">
        <v>513</v>
      </c>
      <c r="D244" s="2">
        <v>15231.95</v>
      </c>
      <c r="F244" t="s">
        <v>2268</v>
      </c>
      <c r="L244" s="342" t="s">
        <v>514</v>
      </c>
      <c r="M244" s="342" t="s">
        <v>513</v>
      </c>
      <c r="N244" s="342" t="s">
        <v>1075</v>
      </c>
      <c r="O244" s="2">
        <v>15231.95</v>
      </c>
    </row>
    <row r="245" spans="1:15">
      <c r="A245" t="s">
        <v>2269</v>
      </c>
      <c r="B245" s="419">
        <v>13160</v>
      </c>
      <c r="C245" t="s">
        <v>515</v>
      </c>
      <c r="D245" s="2">
        <v>61844.91</v>
      </c>
      <c r="F245" t="s">
        <v>2270</v>
      </c>
      <c r="L245" s="342" t="s">
        <v>516</v>
      </c>
      <c r="M245" s="342" t="s">
        <v>515</v>
      </c>
      <c r="N245" s="342" t="s">
        <v>1076</v>
      </c>
      <c r="O245" s="2">
        <v>61844.91</v>
      </c>
    </row>
    <row r="246" spans="1:15">
      <c r="A246" t="s">
        <v>2271</v>
      </c>
      <c r="B246" s="419">
        <v>28149</v>
      </c>
      <c r="C246" t="s">
        <v>517</v>
      </c>
      <c r="D246" s="2">
        <v>34065.11</v>
      </c>
      <c r="F246" t="s">
        <v>2272</v>
      </c>
      <c r="L246" s="342" t="s">
        <v>518</v>
      </c>
      <c r="M246" s="342" t="s">
        <v>517</v>
      </c>
      <c r="N246" s="342" t="s">
        <v>1077</v>
      </c>
      <c r="O246" s="2">
        <v>34065.11</v>
      </c>
    </row>
    <row r="247" spans="1:15">
      <c r="A247" t="s">
        <v>2273</v>
      </c>
      <c r="B247" s="419">
        <v>14104</v>
      </c>
      <c r="C247" t="s">
        <v>519</v>
      </c>
      <c r="D247" s="2">
        <v>11617.54</v>
      </c>
      <c r="F247" t="s">
        <v>2274</v>
      </c>
      <c r="L247" s="342" t="s">
        <v>520</v>
      </c>
      <c r="M247" s="342" t="s">
        <v>519</v>
      </c>
      <c r="N247" s="342" t="s">
        <v>1078</v>
      </c>
      <c r="O247" s="2">
        <v>11617.54</v>
      </c>
    </row>
    <row r="248" spans="1:15">
      <c r="A248" t="s">
        <v>2275</v>
      </c>
      <c r="B248" s="419">
        <v>17001</v>
      </c>
      <c r="C248" t="s">
        <v>521</v>
      </c>
      <c r="D248" s="2">
        <v>1586828.9900000002</v>
      </c>
      <c r="F248" t="s">
        <v>2276</v>
      </c>
      <c r="L248" s="342" t="s">
        <v>522</v>
      </c>
      <c r="M248" s="342" t="s">
        <v>521</v>
      </c>
      <c r="N248" s="342" t="s">
        <v>1079</v>
      </c>
      <c r="O248" s="2">
        <v>1586828.9900000002</v>
      </c>
    </row>
    <row r="249" spans="1:15">
      <c r="A249" t="s">
        <v>2277</v>
      </c>
      <c r="B249" s="419">
        <v>29101</v>
      </c>
      <c r="C249" t="s">
        <v>523</v>
      </c>
      <c r="D249" s="2">
        <v>142933.47</v>
      </c>
      <c r="F249" t="s">
        <v>2278</v>
      </c>
      <c r="L249" s="342" t="s">
        <v>524</v>
      </c>
      <c r="M249" s="342" t="s">
        <v>523</v>
      </c>
      <c r="N249" s="342" t="s">
        <v>1080</v>
      </c>
      <c r="O249" s="2">
        <v>142933.47</v>
      </c>
    </row>
    <row r="250" spans="1:15">
      <c r="A250" t="s">
        <v>2279</v>
      </c>
      <c r="B250" s="419">
        <v>39119</v>
      </c>
      <c r="C250" t="s">
        <v>525</v>
      </c>
      <c r="D250" s="2">
        <v>129196.40000000001</v>
      </c>
      <c r="F250" t="s">
        <v>2280</v>
      </c>
      <c r="L250" s="342" t="s">
        <v>526</v>
      </c>
      <c r="M250" s="342" t="s">
        <v>525</v>
      </c>
      <c r="N250" s="342" t="s">
        <v>1081</v>
      </c>
      <c r="O250" s="2">
        <v>129196.40000000001</v>
      </c>
    </row>
    <row r="251" spans="1:15">
      <c r="A251" t="s">
        <v>2281</v>
      </c>
      <c r="B251" s="419">
        <v>26070</v>
      </c>
      <c r="C251" t="s">
        <v>527</v>
      </c>
      <c r="D251" s="2">
        <v>17716.29</v>
      </c>
      <c r="F251" t="s">
        <v>2282</v>
      </c>
      <c r="L251" s="342" t="s">
        <v>528</v>
      </c>
      <c r="M251" s="342" t="s">
        <v>527</v>
      </c>
      <c r="N251" s="342" t="s">
        <v>1082</v>
      </c>
      <c r="O251" s="2">
        <v>17716.29</v>
      </c>
    </row>
    <row r="252" spans="1:15">
      <c r="A252" t="s">
        <v>2283</v>
      </c>
      <c r="B252" s="419">
        <v>5323</v>
      </c>
      <c r="C252" t="s">
        <v>529</v>
      </c>
      <c r="D252" s="2">
        <v>87391.66</v>
      </c>
      <c r="F252" t="s">
        <v>2284</v>
      </c>
      <c r="L252" s="342" t="s">
        <v>530</v>
      </c>
      <c r="M252" s="342" t="s">
        <v>529</v>
      </c>
      <c r="N252" s="342" t="s">
        <v>1083</v>
      </c>
      <c r="O252" s="2">
        <v>87391.66</v>
      </c>
    </row>
    <row r="253" spans="1:15">
      <c r="B253" s="419"/>
      <c r="D253" s="2"/>
      <c r="L253" s="342" t="s">
        <v>532</v>
      </c>
      <c r="M253" s="342" t="s">
        <v>531</v>
      </c>
      <c r="N253" s="342" t="s">
        <v>1084</v>
      </c>
      <c r="O253" s="2"/>
    </row>
    <row r="254" spans="1:15">
      <c r="A254" t="s">
        <v>2285</v>
      </c>
      <c r="B254" s="419">
        <v>23309</v>
      </c>
      <c r="C254" t="s">
        <v>533</v>
      </c>
      <c r="D254" s="2">
        <v>72885.78</v>
      </c>
      <c r="F254" t="s">
        <v>2286</v>
      </c>
      <c r="L254" s="342" t="s">
        <v>534</v>
      </c>
      <c r="M254" s="342" t="s">
        <v>533</v>
      </c>
      <c r="N254" s="342" t="s">
        <v>1085</v>
      </c>
      <c r="O254" s="2">
        <v>72885.78</v>
      </c>
    </row>
    <row r="255" spans="1:15">
      <c r="A255" t="s">
        <v>2287</v>
      </c>
      <c r="B255" s="419">
        <v>17412</v>
      </c>
      <c r="C255" t="s">
        <v>535</v>
      </c>
      <c r="D255" s="2">
        <v>294649.11</v>
      </c>
      <c r="F255" t="s">
        <v>2288</v>
      </c>
      <c r="L255" s="342" t="s">
        <v>536</v>
      </c>
      <c r="M255" s="342" t="s">
        <v>535</v>
      </c>
      <c r="N255" s="342" t="s">
        <v>1086</v>
      </c>
      <c r="O255" s="2">
        <v>294649.11</v>
      </c>
    </row>
    <row r="256" spans="1:15">
      <c r="A256" t="s">
        <v>2289</v>
      </c>
      <c r="B256" s="419">
        <v>30002</v>
      </c>
      <c r="C256" t="s">
        <v>537</v>
      </c>
      <c r="D256" s="2">
        <v>12035.7</v>
      </c>
      <c r="F256" t="s">
        <v>2290</v>
      </c>
      <c r="L256" s="342" t="s">
        <v>538</v>
      </c>
      <c r="M256" s="344" t="s">
        <v>537</v>
      </c>
      <c r="N256" s="342" t="s">
        <v>1087</v>
      </c>
      <c r="O256" s="2">
        <v>12035.7</v>
      </c>
    </row>
    <row r="257" spans="1:15">
      <c r="A257" t="s">
        <v>2291</v>
      </c>
      <c r="B257" s="419">
        <v>17404</v>
      </c>
      <c r="C257" t="s">
        <v>539</v>
      </c>
      <c r="D257" s="2">
        <v>11206.48</v>
      </c>
      <c r="F257" t="s">
        <v>2292</v>
      </c>
      <c r="L257" s="342" t="s">
        <v>540</v>
      </c>
      <c r="M257" s="342" t="s">
        <v>539</v>
      </c>
      <c r="N257" s="342" t="s">
        <v>1088</v>
      </c>
      <c r="O257" s="2">
        <v>11206.48</v>
      </c>
    </row>
    <row r="258" spans="1:15">
      <c r="A258" t="s">
        <v>2293</v>
      </c>
      <c r="B258" s="419">
        <v>31201</v>
      </c>
      <c r="C258" t="s">
        <v>541</v>
      </c>
      <c r="D258" s="2">
        <v>286841.58</v>
      </c>
      <c r="F258" t="s">
        <v>2294</v>
      </c>
      <c r="L258" s="342" t="s">
        <v>542</v>
      </c>
      <c r="M258" s="342" t="s">
        <v>541</v>
      </c>
      <c r="N258" s="342" t="s">
        <v>1089</v>
      </c>
      <c r="O258" s="2">
        <v>286841.58</v>
      </c>
    </row>
    <row r="259" spans="1:15">
      <c r="A259" t="s">
        <v>2295</v>
      </c>
      <c r="B259" s="419">
        <v>17410</v>
      </c>
      <c r="C259" t="s">
        <v>543</v>
      </c>
      <c r="D259" s="2">
        <v>214926.39</v>
      </c>
      <c r="F259" t="s">
        <v>2296</v>
      </c>
      <c r="L259" s="342" t="s">
        <v>544</v>
      </c>
      <c r="M259" s="342" t="s">
        <v>543</v>
      </c>
      <c r="N259" s="342" t="s">
        <v>1090</v>
      </c>
      <c r="O259" s="2">
        <v>214926.39</v>
      </c>
    </row>
    <row r="260" spans="1:15">
      <c r="A260" t="s">
        <v>2297</v>
      </c>
      <c r="B260" s="419">
        <v>13156</v>
      </c>
      <c r="C260" t="s">
        <v>545</v>
      </c>
      <c r="D260" s="2">
        <v>25749.4</v>
      </c>
      <c r="F260" t="s">
        <v>2298</v>
      </c>
      <c r="L260" s="342" t="s">
        <v>546</v>
      </c>
      <c r="M260" s="342" t="s">
        <v>545</v>
      </c>
      <c r="N260" s="342" t="s">
        <v>1091</v>
      </c>
      <c r="O260" s="2">
        <v>25749.4</v>
      </c>
    </row>
    <row r="261" spans="1:15">
      <c r="A261" t="s">
        <v>2299</v>
      </c>
      <c r="B261" s="419">
        <v>25118</v>
      </c>
      <c r="C261" t="s">
        <v>547</v>
      </c>
      <c r="D261" s="2">
        <v>26106.010000000002</v>
      </c>
      <c r="F261" t="s">
        <v>2300</v>
      </c>
      <c r="L261" s="342" t="s">
        <v>548</v>
      </c>
      <c r="M261" s="342" t="s">
        <v>547</v>
      </c>
      <c r="N261" s="342" t="s">
        <v>1092</v>
      </c>
      <c r="O261" s="2">
        <v>26106.010000000002</v>
      </c>
    </row>
    <row r="262" spans="1:15">
      <c r="A262" t="s">
        <v>2301</v>
      </c>
      <c r="B262" s="419">
        <v>18402</v>
      </c>
      <c r="C262" t="s">
        <v>549</v>
      </c>
      <c r="D262" s="2">
        <v>288473.2</v>
      </c>
      <c r="F262" t="s">
        <v>2302</v>
      </c>
      <c r="L262" s="342" t="s">
        <v>550</v>
      </c>
      <c r="M262" s="342" t="s">
        <v>549</v>
      </c>
      <c r="N262" s="342" t="s">
        <v>1093</v>
      </c>
      <c r="O262" s="2">
        <v>288473.2</v>
      </c>
    </row>
    <row r="263" spans="1:15">
      <c r="A263" t="s">
        <v>2303</v>
      </c>
      <c r="B263" s="419">
        <v>15206</v>
      </c>
      <c r="C263" t="s">
        <v>551</v>
      </c>
      <c r="D263" s="2">
        <v>46386.75</v>
      </c>
      <c r="F263" t="s">
        <v>2304</v>
      </c>
      <c r="L263" s="342" t="s">
        <v>552</v>
      </c>
      <c r="M263" s="342" t="s">
        <v>551</v>
      </c>
      <c r="N263" s="342" t="s">
        <v>1094</v>
      </c>
      <c r="O263" s="2">
        <v>46386.75</v>
      </c>
    </row>
    <row r="264" spans="1:15">
      <c r="A264" t="s">
        <v>2305</v>
      </c>
      <c r="B264" s="419">
        <v>23042</v>
      </c>
      <c r="C264" t="s">
        <v>553</v>
      </c>
      <c r="D264" s="2">
        <v>15995.6</v>
      </c>
      <c r="F264" t="s">
        <v>2306</v>
      </c>
      <c r="L264" s="342" t="s">
        <v>554</v>
      </c>
      <c r="M264" s="342" t="s">
        <v>553</v>
      </c>
      <c r="N264" s="342" t="s">
        <v>1095</v>
      </c>
      <c r="O264" s="2">
        <v>15995.6</v>
      </c>
    </row>
    <row r="265" spans="1:15">
      <c r="A265" t="s">
        <v>2307</v>
      </c>
      <c r="B265" s="419">
        <v>32081</v>
      </c>
      <c r="C265" t="s">
        <v>555</v>
      </c>
      <c r="D265" s="2">
        <v>892356.54</v>
      </c>
      <c r="F265" t="s">
        <v>2308</v>
      </c>
      <c r="L265" s="342" t="s">
        <v>556</v>
      </c>
      <c r="M265" s="342" t="s">
        <v>555</v>
      </c>
      <c r="N265" s="342" t="s">
        <v>1096</v>
      </c>
      <c r="O265" s="2">
        <v>892356.54</v>
      </c>
    </row>
    <row r="266" spans="1:15">
      <c r="A266" t="s">
        <v>2309</v>
      </c>
      <c r="B266" s="419">
        <v>32901</v>
      </c>
      <c r="C266" t="s">
        <v>557</v>
      </c>
      <c r="D266" s="2">
        <v>31526.760000000002</v>
      </c>
      <c r="F266" t="s">
        <v>2310</v>
      </c>
      <c r="L266" s="342" t="s">
        <v>1097</v>
      </c>
      <c r="M266" s="342" t="s">
        <v>557</v>
      </c>
      <c r="N266" s="345" t="s">
        <v>1098</v>
      </c>
      <c r="O266" s="2">
        <v>31526.760000000002</v>
      </c>
    </row>
    <row r="267" spans="1:15">
      <c r="A267" t="s">
        <v>2311</v>
      </c>
      <c r="B267" s="419">
        <v>22008</v>
      </c>
      <c r="C267" t="s">
        <v>559</v>
      </c>
      <c r="D267" s="2">
        <v>12137.23</v>
      </c>
      <c r="F267" t="s">
        <v>2312</v>
      </c>
      <c r="L267" s="342" t="s">
        <v>560</v>
      </c>
      <c r="M267" s="342" t="s">
        <v>559</v>
      </c>
      <c r="N267" s="342" t="s">
        <v>1099</v>
      </c>
      <c r="O267" s="2">
        <v>12137.23</v>
      </c>
    </row>
    <row r="268" spans="1:15">
      <c r="A268" t="s">
        <v>2313</v>
      </c>
      <c r="B268" s="419">
        <v>38322</v>
      </c>
      <c r="C268" t="s">
        <v>561</v>
      </c>
      <c r="D268" s="2">
        <v>14321.64</v>
      </c>
      <c r="F268" t="s">
        <v>2314</v>
      </c>
      <c r="L268" s="342" t="s">
        <v>562</v>
      </c>
      <c r="M268" s="342" t="s">
        <v>561</v>
      </c>
      <c r="N268" s="342" t="s">
        <v>1100</v>
      </c>
      <c r="O268" s="2">
        <v>14321.64</v>
      </c>
    </row>
    <row r="269" spans="1:15">
      <c r="A269" t="s">
        <v>2315</v>
      </c>
      <c r="B269" s="419">
        <v>31401</v>
      </c>
      <c r="C269" t="s">
        <v>563</v>
      </c>
      <c r="D269" s="2">
        <v>147103.39000000001</v>
      </c>
      <c r="F269" t="s">
        <v>2316</v>
      </c>
      <c r="L269" s="342" t="s">
        <v>564</v>
      </c>
      <c r="M269" s="342" t="s">
        <v>563</v>
      </c>
      <c r="N269" s="342" t="s">
        <v>1101</v>
      </c>
      <c r="O269" s="2">
        <v>147103.39000000001</v>
      </c>
    </row>
    <row r="270" spans="1:15">
      <c r="B270" s="419"/>
      <c r="D270" s="2"/>
      <c r="L270" s="342" t="s">
        <v>566</v>
      </c>
      <c r="M270" s="342" t="s">
        <v>565</v>
      </c>
      <c r="N270" s="342" t="s">
        <v>1102</v>
      </c>
      <c r="O270" s="2"/>
    </row>
    <row r="271" spans="1:15">
      <c r="A271" t="s">
        <v>2317</v>
      </c>
      <c r="B271" s="419">
        <v>7035</v>
      </c>
      <c r="C271" t="s">
        <v>567</v>
      </c>
      <c r="D271" s="2">
        <v>10782.04</v>
      </c>
      <c r="F271" t="s">
        <v>2318</v>
      </c>
      <c r="L271" s="342" t="s">
        <v>568</v>
      </c>
      <c r="M271" s="342" t="s">
        <v>567</v>
      </c>
      <c r="N271" s="342" t="s">
        <v>1103</v>
      </c>
      <c r="O271" s="2">
        <v>10782.04</v>
      </c>
    </row>
    <row r="272" spans="1:15">
      <c r="B272" s="419"/>
      <c r="D272" s="2"/>
      <c r="L272" s="342" t="s">
        <v>570</v>
      </c>
      <c r="M272" s="342" t="s">
        <v>569</v>
      </c>
      <c r="N272" s="342" t="s">
        <v>1104</v>
      </c>
      <c r="O272" s="2"/>
    </row>
    <row r="273" spans="1:15">
      <c r="A273" t="s">
        <v>2319</v>
      </c>
      <c r="B273" s="419">
        <v>27001</v>
      </c>
      <c r="C273" t="s">
        <v>571</v>
      </c>
      <c r="D273" s="2">
        <v>104343.32</v>
      </c>
      <c r="F273" t="s">
        <v>2320</v>
      </c>
      <c r="L273" s="342" t="s">
        <v>572</v>
      </c>
      <c r="M273" s="342" t="s">
        <v>571</v>
      </c>
      <c r="N273" s="342" t="s">
        <v>1105</v>
      </c>
      <c r="O273" s="2">
        <v>104343.32</v>
      </c>
    </row>
    <row r="274" spans="1:15">
      <c r="B274" s="419"/>
      <c r="D274" s="2"/>
      <c r="L274" s="342" t="s">
        <v>574</v>
      </c>
      <c r="M274" s="342" t="s">
        <v>573</v>
      </c>
      <c r="N274" s="342" t="s">
        <v>1106</v>
      </c>
      <c r="O274" s="2"/>
    </row>
    <row r="275" spans="1:15">
      <c r="A275" t="s">
        <v>2321</v>
      </c>
      <c r="B275" s="419">
        <v>30303</v>
      </c>
      <c r="C275" t="s">
        <v>575</v>
      </c>
      <c r="D275" s="2">
        <v>35053.899999999994</v>
      </c>
      <c r="F275" t="s">
        <v>2322</v>
      </c>
      <c r="L275" s="342" t="s">
        <v>576</v>
      </c>
      <c r="M275" s="342" t="s">
        <v>575</v>
      </c>
      <c r="N275" s="342" t="s">
        <v>1107</v>
      </c>
      <c r="O275" s="2">
        <v>35053.899999999994</v>
      </c>
    </row>
    <row r="276" spans="1:15">
      <c r="A276" t="s">
        <v>2323</v>
      </c>
      <c r="B276" s="419">
        <v>31311</v>
      </c>
      <c r="C276" t="s">
        <v>577</v>
      </c>
      <c r="D276" s="2">
        <v>70748.84</v>
      </c>
      <c r="F276" t="s">
        <v>2324</v>
      </c>
      <c r="L276" s="342" t="s">
        <v>578</v>
      </c>
      <c r="M276" s="342" t="s">
        <v>577</v>
      </c>
      <c r="N276" s="342" t="s">
        <v>1108</v>
      </c>
      <c r="O276" s="2">
        <v>70748.84</v>
      </c>
    </row>
    <row r="277" spans="1:15">
      <c r="A277" t="s">
        <v>2325</v>
      </c>
      <c r="B277" s="419">
        <v>33202</v>
      </c>
      <c r="C277" t="s">
        <v>579</v>
      </c>
      <c r="D277" s="2">
        <v>12529.91</v>
      </c>
      <c r="F277" t="s">
        <v>2326</v>
      </c>
      <c r="L277" s="342" t="s">
        <v>580</v>
      </c>
      <c r="M277" s="342" t="s">
        <v>579</v>
      </c>
      <c r="N277" s="342" t="s">
        <v>1109</v>
      </c>
      <c r="O277" s="2">
        <v>12529.91</v>
      </c>
    </row>
    <row r="278" spans="1:15">
      <c r="A278" t="s">
        <v>2327</v>
      </c>
      <c r="B278" s="419">
        <v>17905</v>
      </c>
      <c r="C278" t="s">
        <v>581</v>
      </c>
      <c r="D278" s="2">
        <v>24373.21</v>
      </c>
      <c r="F278" t="s">
        <v>2328</v>
      </c>
      <c r="L278" s="342" t="s">
        <v>1110</v>
      </c>
      <c r="M278" s="343" t="s">
        <v>581</v>
      </c>
      <c r="N278" s="343" t="s">
        <v>1111</v>
      </c>
      <c r="O278" s="2">
        <v>24373.21</v>
      </c>
    </row>
    <row r="279" spans="1:15">
      <c r="A279" t="s">
        <v>2329</v>
      </c>
      <c r="B279" s="419">
        <v>27905</v>
      </c>
      <c r="C279" t="s">
        <v>583</v>
      </c>
      <c r="D279" s="2">
        <v>15550.27</v>
      </c>
      <c r="F279" t="s">
        <v>2330</v>
      </c>
      <c r="L279" s="342" t="s">
        <v>1112</v>
      </c>
      <c r="M279" s="343" t="s">
        <v>583</v>
      </c>
      <c r="N279" s="343" t="s">
        <v>1113</v>
      </c>
      <c r="O279" s="2">
        <v>15550.27</v>
      </c>
    </row>
    <row r="280" spans="1:15">
      <c r="A280" t="s">
        <v>2331</v>
      </c>
      <c r="B280" s="419">
        <v>17902</v>
      </c>
      <c r="C280" t="s">
        <v>585</v>
      </c>
      <c r="D280" s="2">
        <v>18510.54</v>
      </c>
      <c r="F280" t="s">
        <v>2332</v>
      </c>
      <c r="L280" s="342" t="s">
        <v>1114</v>
      </c>
      <c r="M280" s="343" t="s">
        <v>585</v>
      </c>
      <c r="N280" s="343" t="s">
        <v>1115</v>
      </c>
      <c r="O280" s="2">
        <v>18510.54</v>
      </c>
    </row>
    <row r="281" spans="1:15">
      <c r="A281" t="s">
        <v>2333</v>
      </c>
      <c r="B281" s="419">
        <v>27320</v>
      </c>
      <c r="C281" t="s">
        <v>587</v>
      </c>
      <c r="D281" s="2">
        <v>318669.26</v>
      </c>
      <c r="F281" t="s">
        <v>2334</v>
      </c>
      <c r="L281" s="342" t="s">
        <v>1116</v>
      </c>
      <c r="M281" s="342" t="s">
        <v>587</v>
      </c>
      <c r="N281" s="342" t="s">
        <v>1117</v>
      </c>
      <c r="O281" s="2">
        <v>318669.26</v>
      </c>
    </row>
    <row r="282" spans="1:15">
      <c r="A282" t="s">
        <v>2335</v>
      </c>
      <c r="B282" s="419">
        <v>39201</v>
      </c>
      <c r="C282" t="s">
        <v>589</v>
      </c>
      <c r="D282" s="2">
        <v>207041.14</v>
      </c>
      <c r="F282" t="s">
        <v>2336</v>
      </c>
      <c r="L282" s="342" t="s">
        <v>590</v>
      </c>
      <c r="M282" s="342" t="s">
        <v>589</v>
      </c>
      <c r="N282" s="342" t="s">
        <v>1118</v>
      </c>
      <c r="O282" s="2">
        <v>207041.14</v>
      </c>
    </row>
    <row r="283" spans="1:15">
      <c r="B283" s="419"/>
      <c r="D283" s="2"/>
      <c r="L283" s="342" t="s">
        <v>1119</v>
      </c>
      <c r="M283" s="342" t="s">
        <v>591</v>
      </c>
      <c r="N283" s="345" t="s">
        <v>1120</v>
      </c>
      <c r="O283" s="2"/>
    </row>
    <row r="284" spans="1:15">
      <c r="A284" t="s">
        <v>2337</v>
      </c>
      <c r="B284" s="419">
        <v>27010</v>
      </c>
      <c r="C284" t="s">
        <v>593</v>
      </c>
      <c r="D284" s="2">
        <v>858022.23</v>
      </c>
      <c r="F284" t="s">
        <v>2338</v>
      </c>
      <c r="L284" s="342" t="s">
        <v>594</v>
      </c>
      <c r="M284" s="342" t="s">
        <v>593</v>
      </c>
      <c r="N284" s="342" t="s">
        <v>1121</v>
      </c>
      <c r="O284" s="2">
        <v>858022.23</v>
      </c>
    </row>
    <row r="285" spans="1:15">
      <c r="A285" t="s">
        <v>2339</v>
      </c>
      <c r="B285" s="419">
        <v>14077</v>
      </c>
      <c r="C285" t="s">
        <v>595</v>
      </c>
      <c r="D285" s="2">
        <v>15018.48</v>
      </c>
      <c r="F285" t="s">
        <v>2340</v>
      </c>
      <c r="L285" s="342" t="s">
        <v>596</v>
      </c>
      <c r="M285" s="342" t="s">
        <v>595</v>
      </c>
      <c r="N285" s="342" t="s">
        <v>1122</v>
      </c>
      <c r="O285" s="2">
        <v>15018.48</v>
      </c>
    </row>
    <row r="286" spans="1:15">
      <c r="A286" t="s">
        <v>2341</v>
      </c>
      <c r="B286" s="419">
        <v>17409</v>
      </c>
      <c r="C286" t="s">
        <v>597</v>
      </c>
      <c r="D286" s="2">
        <v>280353.07</v>
      </c>
      <c r="F286" t="s">
        <v>2342</v>
      </c>
      <c r="L286" s="342" t="s">
        <v>598</v>
      </c>
      <c r="M286" s="342" t="s">
        <v>597</v>
      </c>
      <c r="N286" s="342" t="s">
        <v>1123</v>
      </c>
      <c r="O286" s="2">
        <v>280353.07</v>
      </c>
    </row>
    <row r="287" spans="1:15">
      <c r="A287" t="s">
        <v>2343</v>
      </c>
      <c r="B287" s="419">
        <v>38265</v>
      </c>
      <c r="C287" t="s">
        <v>599</v>
      </c>
      <c r="D287" s="2">
        <v>17012.02</v>
      </c>
      <c r="F287" t="s">
        <v>2344</v>
      </c>
      <c r="L287" s="342" t="s">
        <v>600</v>
      </c>
      <c r="M287" s="342" t="s">
        <v>599</v>
      </c>
      <c r="N287" s="342" t="s">
        <v>1124</v>
      </c>
      <c r="O287" s="2">
        <v>17012.02</v>
      </c>
    </row>
    <row r="288" spans="1:15">
      <c r="A288" t="s">
        <v>2345</v>
      </c>
      <c r="B288" s="419">
        <v>34402</v>
      </c>
      <c r="C288" t="s">
        <v>601</v>
      </c>
      <c r="D288" s="2">
        <v>48261.979999999996</v>
      </c>
      <c r="F288" t="s">
        <v>2346</v>
      </c>
      <c r="L288" s="342" t="s">
        <v>602</v>
      </c>
      <c r="M288" s="342" t="s">
        <v>601</v>
      </c>
      <c r="N288" s="342" t="s">
        <v>1125</v>
      </c>
      <c r="O288" s="2">
        <v>48261.979999999996</v>
      </c>
    </row>
    <row r="289" spans="1:15">
      <c r="A289" t="s">
        <v>2347</v>
      </c>
      <c r="B289" s="419">
        <v>19400</v>
      </c>
      <c r="C289" t="s">
        <v>603</v>
      </c>
      <c r="D289" s="2">
        <v>17617.27</v>
      </c>
      <c r="F289" t="s">
        <v>2348</v>
      </c>
      <c r="L289" s="342" t="s">
        <v>604</v>
      </c>
      <c r="M289" s="342" t="s">
        <v>603</v>
      </c>
      <c r="N289" s="342" t="s">
        <v>1126</v>
      </c>
      <c r="O289" s="2">
        <v>17617.27</v>
      </c>
    </row>
    <row r="290" spans="1:15">
      <c r="A290" t="s">
        <v>2349</v>
      </c>
      <c r="B290" s="419">
        <v>21237</v>
      </c>
      <c r="C290" t="s">
        <v>605</v>
      </c>
      <c r="D290" s="2">
        <v>34771.899999999994</v>
      </c>
      <c r="F290" t="s">
        <v>2350</v>
      </c>
      <c r="L290" s="342" t="s">
        <v>606</v>
      </c>
      <c r="M290" s="342" t="s">
        <v>605</v>
      </c>
      <c r="N290" s="342" t="s">
        <v>1127</v>
      </c>
      <c r="O290" s="2">
        <v>34771.899999999994</v>
      </c>
    </row>
    <row r="291" spans="1:15">
      <c r="A291" t="s">
        <v>2351</v>
      </c>
      <c r="B291" s="419">
        <v>24404</v>
      </c>
      <c r="C291" t="s">
        <v>607</v>
      </c>
      <c r="D291" s="2">
        <v>43793.340000000004</v>
      </c>
      <c r="F291" t="s">
        <v>2352</v>
      </c>
      <c r="L291" s="342" t="s">
        <v>608</v>
      </c>
      <c r="M291" s="342" t="s">
        <v>607</v>
      </c>
      <c r="N291" s="342" t="s">
        <v>1128</v>
      </c>
      <c r="O291" s="2">
        <v>43793.340000000004</v>
      </c>
    </row>
    <row r="292" spans="1:15">
      <c r="A292" t="s">
        <v>2353</v>
      </c>
      <c r="B292" s="419">
        <v>39202</v>
      </c>
      <c r="C292" t="s">
        <v>609</v>
      </c>
      <c r="D292" s="2">
        <v>127908.84</v>
      </c>
      <c r="F292" t="s">
        <v>2354</v>
      </c>
      <c r="L292" s="342" t="s">
        <v>610</v>
      </c>
      <c r="M292" s="342" t="s">
        <v>609</v>
      </c>
      <c r="N292" s="342" t="s">
        <v>1129</v>
      </c>
      <c r="O292" s="2">
        <v>127908.84</v>
      </c>
    </row>
    <row r="293" spans="1:15">
      <c r="A293" t="s">
        <v>2355</v>
      </c>
      <c r="B293" s="419">
        <v>36300</v>
      </c>
      <c r="C293" t="s">
        <v>611</v>
      </c>
      <c r="D293" s="2">
        <v>16603.82</v>
      </c>
      <c r="F293" t="s">
        <v>2356</v>
      </c>
      <c r="L293" s="342" t="s">
        <v>612</v>
      </c>
      <c r="M293" s="342" t="s">
        <v>611</v>
      </c>
      <c r="N293" s="342" t="s">
        <v>1130</v>
      </c>
      <c r="O293" s="2">
        <v>16603.82</v>
      </c>
    </row>
    <row r="294" spans="1:15">
      <c r="B294" s="419"/>
      <c r="D294" s="2"/>
      <c r="L294" s="342" t="s">
        <v>614</v>
      </c>
      <c r="M294" s="342" t="s">
        <v>613</v>
      </c>
      <c r="N294" s="342" t="s">
        <v>1131</v>
      </c>
      <c r="O294" s="2"/>
    </row>
    <row r="295" spans="1:15">
      <c r="B295" s="419"/>
      <c r="D295" s="2"/>
      <c r="L295" s="342" t="s">
        <v>616</v>
      </c>
      <c r="M295" s="342" t="s">
        <v>615</v>
      </c>
      <c r="N295" s="342" t="s">
        <v>1132</v>
      </c>
      <c r="O295" s="2"/>
    </row>
    <row r="296" spans="1:15">
      <c r="A296" t="s">
        <v>2357</v>
      </c>
      <c r="B296" s="419">
        <v>17406</v>
      </c>
      <c r="C296" t="s">
        <v>617</v>
      </c>
      <c r="D296" s="2">
        <v>90201.459999999992</v>
      </c>
      <c r="F296" t="s">
        <v>2358</v>
      </c>
      <c r="L296" s="342" t="s">
        <v>1133</v>
      </c>
      <c r="M296" s="342" t="s">
        <v>617</v>
      </c>
      <c r="N296" s="342" t="s">
        <v>1134</v>
      </c>
      <c r="O296" s="2">
        <v>90201.459999999992</v>
      </c>
    </row>
    <row r="297" spans="1:15">
      <c r="A297" t="s">
        <v>2359</v>
      </c>
      <c r="B297" s="419">
        <v>34033</v>
      </c>
      <c r="C297" t="s">
        <v>619</v>
      </c>
      <c r="D297" s="2">
        <v>185370.74</v>
      </c>
      <c r="F297" t="s">
        <v>2360</v>
      </c>
      <c r="L297" s="342" t="s">
        <v>620</v>
      </c>
      <c r="M297" s="342" t="s">
        <v>619</v>
      </c>
      <c r="N297" s="342" t="s">
        <v>1135</v>
      </c>
      <c r="O297" s="2">
        <v>185370.74</v>
      </c>
    </row>
    <row r="298" spans="1:15">
      <c r="A298" t="s">
        <v>2361</v>
      </c>
      <c r="B298" s="419">
        <v>39002</v>
      </c>
      <c r="C298" t="s">
        <v>621</v>
      </c>
      <c r="D298" s="2">
        <v>27940.440000000002</v>
      </c>
      <c r="F298" t="s">
        <v>2362</v>
      </c>
      <c r="L298" s="342" t="s">
        <v>622</v>
      </c>
      <c r="M298" s="342" t="s">
        <v>621</v>
      </c>
      <c r="N298" s="342" t="s">
        <v>1136</v>
      </c>
      <c r="O298" s="2">
        <v>27940.440000000002</v>
      </c>
    </row>
    <row r="299" spans="1:15">
      <c r="A299" t="s">
        <v>2363</v>
      </c>
      <c r="B299" s="419">
        <v>27083</v>
      </c>
      <c r="C299" t="s">
        <v>623</v>
      </c>
      <c r="D299" s="2">
        <v>180077.8</v>
      </c>
      <c r="F299" t="s">
        <v>2364</v>
      </c>
      <c r="L299" s="342" t="s">
        <v>624</v>
      </c>
      <c r="M299" s="342" t="s">
        <v>623</v>
      </c>
      <c r="N299" s="342" t="s">
        <v>1137</v>
      </c>
      <c r="O299" s="2">
        <v>180077.8</v>
      </c>
    </row>
    <row r="300" spans="1:15">
      <c r="A300" t="s">
        <v>2365</v>
      </c>
      <c r="B300" s="419">
        <v>33070</v>
      </c>
      <c r="C300" t="s">
        <v>625</v>
      </c>
      <c r="D300" s="2">
        <v>17723.48</v>
      </c>
      <c r="F300" t="s">
        <v>2366</v>
      </c>
      <c r="L300" s="342" t="s">
        <v>626</v>
      </c>
      <c r="M300" s="342" t="s">
        <v>625</v>
      </c>
      <c r="N300" s="342" t="s">
        <v>1138</v>
      </c>
      <c r="O300" s="2">
        <v>17723.48</v>
      </c>
    </row>
    <row r="301" spans="1:15">
      <c r="A301" t="s">
        <v>2367</v>
      </c>
      <c r="B301" s="419">
        <v>6037</v>
      </c>
      <c r="C301" t="s">
        <v>627</v>
      </c>
      <c r="D301" s="2">
        <v>642500.81000000006</v>
      </c>
      <c r="F301" t="s">
        <v>2368</v>
      </c>
      <c r="L301" s="342" t="s">
        <v>628</v>
      </c>
      <c r="M301" s="342" t="s">
        <v>627</v>
      </c>
      <c r="N301" s="342" t="s">
        <v>1139</v>
      </c>
      <c r="O301" s="2">
        <v>642500.81000000006</v>
      </c>
    </row>
    <row r="302" spans="1:15">
      <c r="A302" t="s">
        <v>2369</v>
      </c>
      <c r="B302" s="419">
        <v>17402</v>
      </c>
      <c r="C302" t="s">
        <v>629</v>
      </c>
      <c r="D302" s="2">
        <v>56893.25</v>
      </c>
      <c r="F302" t="s">
        <v>2370</v>
      </c>
      <c r="L302" s="342" t="s">
        <v>630</v>
      </c>
      <c r="M302" s="342" t="s">
        <v>629</v>
      </c>
      <c r="N302" s="342" t="s">
        <v>1140</v>
      </c>
      <c r="O302" s="2">
        <v>56893.25</v>
      </c>
    </row>
    <row r="303" spans="1:15">
      <c r="A303" t="s">
        <v>2371</v>
      </c>
      <c r="B303" s="419">
        <v>34901</v>
      </c>
      <c r="C303" t="s">
        <v>631</v>
      </c>
      <c r="D303" s="2">
        <v>7127.38</v>
      </c>
      <c r="F303" t="s">
        <v>2372</v>
      </c>
      <c r="L303" s="342" t="s">
        <v>632</v>
      </c>
      <c r="M303" s="342" t="s">
        <v>631</v>
      </c>
      <c r="N303" s="345" t="s">
        <v>1141</v>
      </c>
      <c r="O303" s="2">
        <v>7127.38</v>
      </c>
    </row>
    <row r="304" spans="1:15">
      <c r="A304" t="s">
        <v>2373</v>
      </c>
      <c r="B304" s="419">
        <v>35200</v>
      </c>
      <c r="C304" t="s">
        <v>633</v>
      </c>
      <c r="D304" s="2">
        <v>23205.67</v>
      </c>
      <c r="F304" t="s">
        <v>2374</v>
      </c>
      <c r="L304" s="342" t="s">
        <v>634</v>
      </c>
      <c r="M304" s="344" t="s">
        <v>633</v>
      </c>
      <c r="N304" s="342" t="s">
        <v>1142</v>
      </c>
      <c r="O304" s="2">
        <v>23205.67</v>
      </c>
    </row>
    <row r="305" spans="1:15">
      <c r="A305" t="s">
        <v>2375</v>
      </c>
      <c r="B305" s="419">
        <v>13073</v>
      </c>
      <c r="C305" t="s">
        <v>635</v>
      </c>
      <c r="D305" s="2">
        <v>85607.37</v>
      </c>
      <c r="F305" t="s">
        <v>2376</v>
      </c>
      <c r="L305" s="342" t="s">
        <v>636</v>
      </c>
      <c r="M305" s="342" t="s">
        <v>635</v>
      </c>
      <c r="N305" s="342" t="s">
        <v>1143</v>
      </c>
      <c r="O305" s="2">
        <v>85607.37</v>
      </c>
    </row>
    <row r="306" spans="1:15">
      <c r="A306" t="s">
        <v>2377</v>
      </c>
      <c r="B306" s="419">
        <v>36401</v>
      </c>
      <c r="C306" t="s">
        <v>637</v>
      </c>
      <c r="D306" s="2">
        <v>16895.310000000001</v>
      </c>
      <c r="F306" t="s">
        <v>2378</v>
      </c>
      <c r="L306" s="342" t="s">
        <v>638</v>
      </c>
      <c r="M306" s="342" t="s">
        <v>637</v>
      </c>
      <c r="N306" s="342" t="s">
        <v>1144</v>
      </c>
      <c r="O306" s="2">
        <v>16895.310000000001</v>
      </c>
    </row>
    <row r="307" spans="1:15">
      <c r="A307" t="s">
        <v>2379</v>
      </c>
      <c r="B307" s="419">
        <v>36140</v>
      </c>
      <c r="C307" t="s">
        <v>639</v>
      </c>
      <c r="D307" s="2">
        <v>177528.24</v>
      </c>
      <c r="F307" t="s">
        <v>2380</v>
      </c>
      <c r="L307" s="342" t="s">
        <v>640</v>
      </c>
      <c r="M307" s="342" t="s">
        <v>639</v>
      </c>
      <c r="N307" s="342" t="s">
        <v>1145</v>
      </c>
      <c r="O307" s="2">
        <v>177528.24</v>
      </c>
    </row>
    <row r="308" spans="1:15">
      <c r="A308" t="s">
        <v>2381</v>
      </c>
      <c r="B308" s="419">
        <v>39207</v>
      </c>
      <c r="C308" t="s">
        <v>641</v>
      </c>
      <c r="D308" s="2">
        <v>108059.81</v>
      </c>
      <c r="F308" t="s">
        <v>2382</v>
      </c>
      <c r="L308" s="342" t="s">
        <v>642</v>
      </c>
      <c r="M308" s="342" t="s">
        <v>641</v>
      </c>
      <c r="N308" s="342" t="s">
        <v>1146</v>
      </c>
      <c r="O308" s="2">
        <v>108059.81</v>
      </c>
    </row>
    <row r="309" spans="1:15">
      <c r="A309" t="s">
        <v>2383</v>
      </c>
      <c r="B309" s="419">
        <v>13146</v>
      </c>
      <c r="C309" t="s">
        <v>643</v>
      </c>
      <c r="D309" s="2">
        <v>37134.36</v>
      </c>
      <c r="F309" t="s">
        <v>2384</v>
      </c>
      <c r="L309" s="342" t="s">
        <v>644</v>
      </c>
      <c r="M309" s="342" t="s">
        <v>643</v>
      </c>
      <c r="N309" s="342" t="s">
        <v>1147</v>
      </c>
      <c r="O309" s="2">
        <v>37134.36</v>
      </c>
    </row>
    <row r="310" spans="1:15">
      <c r="A310" t="s">
        <v>2385</v>
      </c>
      <c r="B310" s="419">
        <v>6112</v>
      </c>
      <c r="C310" t="s">
        <v>645</v>
      </c>
      <c r="D310" s="2">
        <v>93155.31</v>
      </c>
      <c r="F310" t="s">
        <v>2386</v>
      </c>
      <c r="L310" s="342" t="s">
        <v>646</v>
      </c>
      <c r="M310" s="342" t="s">
        <v>645</v>
      </c>
      <c r="N310" s="342" t="s">
        <v>1148</v>
      </c>
      <c r="O310" s="2">
        <v>93155.31</v>
      </c>
    </row>
    <row r="311" spans="1:15">
      <c r="A311" t="s">
        <v>2387</v>
      </c>
      <c r="B311" s="419">
        <v>1109</v>
      </c>
      <c r="C311" t="s">
        <v>647</v>
      </c>
      <c r="D311" s="2">
        <v>12389.99</v>
      </c>
      <c r="F311" t="s">
        <v>2388</v>
      </c>
      <c r="L311" s="342" t="s">
        <v>648</v>
      </c>
      <c r="M311" s="342" t="s">
        <v>647</v>
      </c>
      <c r="N311" s="342" t="s">
        <v>1149</v>
      </c>
      <c r="O311" s="2">
        <v>12389.99</v>
      </c>
    </row>
    <row r="312" spans="1:15">
      <c r="A312" t="s">
        <v>2389</v>
      </c>
      <c r="B312" s="419">
        <v>9209</v>
      </c>
      <c r="C312" t="s">
        <v>649</v>
      </c>
      <c r="D312" s="2">
        <v>17898.46</v>
      </c>
      <c r="F312" t="s">
        <v>2390</v>
      </c>
      <c r="L312" s="342" t="s">
        <v>650</v>
      </c>
      <c r="M312" s="342" t="s">
        <v>649</v>
      </c>
      <c r="N312" s="342" t="s">
        <v>1150</v>
      </c>
      <c r="O312" s="2">
        <v>17898.46</v>
      </c>
    </row>
    <row r="313" spans="1:15">
      <c r="A313" t="s">
        <v>2391</v>
      </c>
      <c r="B313" s="419">
        <v>33049</v>
      </c>
      <c r="C313" t="s">
        <v>651</v>
      </c>
      <c r="D313" s="2">
        <v>21004.940000000002</v>
      </c>
      <c r="F313" t="s">
        <v>2392</v>
      </c>
      <c r="L313" s="342" t="s">
        <v>652</v>
      </c>
      <c r="M313" s="342" t="s">
        <v>651</v>
      </c>
      <c r="N313" s="342" t="s">
        <v>1151</v>
      </c>
      <c r="O313" s="2">
        <v>21004.940000000002</v>
      </c>
    </row>
    <row r="314" spans="1:15">
      <c r="A314" t="s">
        <v>2393</v>
      </c>
      <c r="B314" s="419">
        <v>4246</v>
      </c>
      <c r="C314" t="s">
        <v>653</v>
      </c>
      <c r="D314" s="2">
        <v>222009.15000000002</v>
      </c>
      <c r="F314" t="s">
        <v>2394</v>
      </c>
      <c r="L314" s="342" t="s">
        <v>654</v>
      </c>
      <c r="M314" s="342" t="s">
        <v>653</v>
      </c>
      <c r="N314" s="342" t="s">
        <v>1152</v>
      </c>
      <c r="O314" s="2">
        <v>222009.15000000002</v>
      </c>
    </row>
    <row r="315" spans="1:15">
      <c r="A315" t="s">
        <v>2395</v>
      </c>
      <c r="B315" s="419">
        <v>32363</v>
      </c>
      <c r="C315" t="s">
        <v>655</v>
      </c>
      <c r="D315" s="2">
        <v>116879.34</v>
      </c>
      <c r="F315" t="s">
        <v>2396</v>
      </c>
      <c r="L315" s="342" t="s">
        <v>656</v>
      </c>
      <c r="M315" s="342" t="s">
        <v>655</v>
      </c>
      <c r="N315" s="342" t="s">
        <v>1153</v>
      </c>
      <c r="O315" s="2">
        <v>116879.34</v>
      </c>
    </row>
    <row r="316" spans="1:15">
      <c r="A316" t="s">
        <v>2397</v>
      </c>
      <c r="B316" s="419">
        <v>39208</v>
      </c>
      <c r="C316" t="s">
        <v>657</v>
      </c>
      <c r="D316" s="2">
        <v>167975.36</v>
      </c>
      <c r="F316" t="s">
        <v>2398</v>
      </c>
      <c r="L316" s="342" t="s">
        <v>658</v>
      </c>
      <c r="M316" s="342" t="s">
        <v>657</v>
      </c>
      <c r="N316" s="342" t="s">
        <v>1154</v>
      </c>
      <c r="O316" s="2">
        <v>167975.36</v>
      </c>
    </row>
    <row r="317" spans="1:15">
      <c r="B317" s="419"/>
      <c r="D317" s="2"/>
      <c r="L317" s="342" t="s">
        <v>660</v>
      </c>
      <c r="M317" s="346" t="s">
        <v>659</v>
      </c>
      <c r="N317" s="343" t="s">
        <v>1155</v>
      </c>
      <c r="O317" s="2"/>
    </row>
    <row r="318" spans="1:15">
      <c r="A318" t="s">
        <v>2399</v>
      </c>
      <c r="B318" s="419">
        <v>21303</v>
      </c>
      <c r="C318" t="s">
        <v>661</v>
      </c>
      <c r="D318" s="2">
        <v>21530</v>
      </c>
      <c r="F318" t="s">
        <v>2400</v>
      </c>
      <c r="L318" s="342" t="s">
        <v>662</v>
      </c>
      <c r="M318" s="342" t="s">
        <v>661</v>
      </c>
      <c r="N318" s="342" t="s">
        <v>1156</v>
      </c>
      <c r="O318" s="2">
        <v>21530</v>
      </c>
    </row>
    <row r="319" spans="1:15">
      <c r="A319" t="s">
        <v>2401</v>
      </c>
      <c r="B319" s="419">
        <v>27416</v>
      </c>
      <c r="C319" t="s">
        <v>663</v>
      </c>
      <c r="D319" s="2">
        <v>145086.88</v>
      </c>
      <c r="F319" t="s">
        <v>2402</v>
      </c>
      <c r="L319" s="342" t="s">
        <v>664</v>
      </c>
      <c r="M319" s="342" t="s">
        <v>663</v>
      </c>
      <c r="N319" s="342" t="s">
        <v>1157</v>
      </c>
      <c r="O319" s="2">
        <v>145086.88</v>
      </c>
    </row>
    <row r="320" spans="1:15">
      <c r="A320" t="s">
        <v>2403</v>
      </c>
      <c r="B320" s="419">
        <v>20405</v>
      </c>
      <c r="C320" t="s">
        <v>665</v>
      </c>
      <c r="D320" s="2">
        <v>44018.92</v>
      </c>
      <c r="F320" t="s">
        <v>2404</v>
      </c>
      <c r="L320" s="342" t="s">
        <v>666</v>
      </c>
      <c r="M320" s="342" t="s">
        <v>665</v>
      </c>
      <c r="N320" s="342" t="s">
        <v>1158</v>
      </c>
      <c r="O320" s="2">
        <v>44018.92</v>
      </c>
    </row>
    <row r="321" spans="1:15">
      <c r="A321" t="s">
        <v>2405</v>
      </c>
      <c r="B321" s="419">
        <v>17917</v>
      </c>
      <c r="C321" t="s">
        <v>667</v>
      </c>
      <c r="D321" s="2">
        <v>13784.37</v>
      </c>
      <c r="F321" t="s">
        <v>2406</v>
      </c>
      <c r="L321" s="342" t="s">
        <v>668</v>
      </c>
      <c r="M321" s="343" t="s">
        <v>667</v>
      </c>
      <c r="N321" s="343" t="s">
        <v>1159</v>
      </c>
      <c r="O321" s="2">
        <v>13784.37</v>
      </c>
    </row>
    <row r="322" spans="1:15">
      <c r="A322" t="s">
        <v>2407</v>
      </c>
      <c r="B322" s="419">
        <v>22200</v>
      </c>
      <c r="C322" t="s">
        <v>669</v>
      </c>
      <c r="D322" s="2">
        <v>16798.099999999999</v>
      </c>
      <c r="F322" t="s">
        <v>2408</v>
      </c>
      <c r="L322" s="342" t="s">
        <v>670</v>
      </c>
      <c r="M322" s="342" t="s">
        <v>669</v>
      </c>
      <c r="N322" s="342" t="s">
        <v>1160</v>
      </c>
      <c r="O322" s="2">
        <v>16798.099999999999</v>
      </c>
    </row>
    <row r="323" spans="1:15">
      <c r="A323" t="s">
        <v>2409</v>
      </c>
      <c r="B323" s="419">
        <v>25160</v>
      </c>
      <c r="C323" t="s">
        <v>671</v>
      </c>
      <c r="D323" s="2">
        <v>21895.15</v>
      </c>
      <c r="F323" t="s">
        <v>2410</v>
      </c>
      <c r="L323" s="342" t="s">
        <v>672</v>
      </c>
      <c r="M323" s="342" t="s">
        <v>671</v>
      </c>
      <c r="N323" s="342" t="s">
        <v>1161</v>
      </c>
      <c r="O323" s="2">
        <v>21895.15</v>
      </c>
    </row>
    <row r="324" spans="1:15">
      <c r="A324" t="s">
        <v>2411</v>
      </c>
      <c r="B324" s="419">
        <v>13167</v>
      </c>
      <c r="C324" t="s">
        <v>673</v>
      </c>
      <c r="D324" s="2">
        <v>13875.5</v>
      </c>
      <c r="F324" t="s">
        <v>2412</v>
      </c>
      <c r="L324" s="342" t="s">
        <v>674</v>
      </c>
      <c r="M324" s="342" t="s">
        <v>673</v>
      </c>
      <c r="N324" s="342" t="s">
        <v>1162</v>
      </c>
      <c r="O324" s="2">
        <v>13875.5</v>
      </c>
    </row>
    <row r="325" spans="1:15">
      <c r="A325" t="s">
        <v>2413</v>
      </c>
      <c r="B325" s="419">
        <v>21232</v>
      </c>
      <c r="C325" t="s">
        <v>675</v>
      </c>
      <c r="D325" s="2">
        <v>33998.639999999999</v>
      </c>
      <c r="F325" t="s">
        <v>2414</v>
      </c>
      <c r="L325" s="342" t="s">
        <v>676</v>
      </c>
      <c r="M325" s="342" t="s">
        <v>675</v>
      </c>
      <c r="N325" s="342" t="s">
        <v>1163</v>
      </c>
      <c r="O325" s="2">
        <v>33998.639999999999</v>
      </c>
    </row>
    <row r="326" spans="1:15">
      <c r="A326" t="s">
        <v>2415</v>
      </c>
      <c r="B326" s="419">
        <v>14117</v>
      </c>
      <c r="C326" t="s">
        <v>677</v>
      </c>
      <c r="D326" s="2">
        <v>14819.619999999999</v>
      </c>
      <c r="F326" t="s">
        <v>2416</v>
      </c>
      <c r="L326" s="342" t="s">
        <v>678</v>
      </c>
      <c r="M326" s="342" t="s">
        <v>677</v>
      </c>
      <c r="N326" s="342" t="s">
        <v>1164</v>
      </c>
      <c r="O326" s="2">
        <v>14819.619999999999</v>
      </c>
    </row>
    <row r="327" spans="1:15">
      <c r="A327" t="s">
        <v>2417</v>
      </c>
      <c r="B327" s="419">
        <v>20094</v>
      </c>
      <c r="C327" t="s">
        <v>679</v>
      </c>
      <c r="D327" s="2">
        <v>11917.48</v>
      </c>
      <c r="F327" t="s">
        <v>2418</v>
      </c>
      <c r="L327" s="342" t="s">
        <v>680</v>
      </c>
      <c r="M327" s="342" t="s">
        <v>679</v>
      </c>
      <c r="N327" s="342" t="s">
        <v>1165</v>
      </c>
      <c r="O327" s="2">
        <v>11917.48</v>
      </c>
    </row>
    <row r="328" spans="1:15">
      <c r="A328" t="s">
        <v>2419</v>
      </c>
      <c r="B328" s="419">
        <v>8404</v>
      </c>
      <c r="C328" t="s">
        <v>681</v>
      </c>
      <c r="D328" s="2">
        <v>83516.160000000003</v>
      </c>
      <c r="F328" t="s">
        <v>2420</v>
      </c>
      <c r="L328" s="342" t="s">
        <v>682</v>
      </c>
      <c r="M328" s="342" t="s">
        <v>681</v>
      </c>
      <c r="N328" s="342" t="s">
        <v>1166</v>
      </c>
      <c r="O328" s="2">
        <v>83516.160000000003</v>
      </c>
    </row>
    <row r="329" spans="1:15">
      <c r="B329" s="419"/>
      <c r="D329" s="2"/>
      <c r="L329" s="342" t="s">
        <v>1167</v>
      </c>
      <c r="M329" s="342" t="s">
        <v>683</v>
      </c>
      <c r="N329" s="342" t="s">
        <v>1168</v>
      </c>
      <c r="O329" s="2"/>
    </row>
    <row r="330" spans="1:15">
      <c r="A330" t="s">
        <v>2421</v>
      </c>
      <c r="B330" s="419">
        <v>39007</v>
      </c>
      <c r="C330" t="s">
        <v>685</v>
      </c>
      <c r="D330" s="2">
        <v>481024.28</v>
      </c>
      <c r="F330" t="s">
        <v>2422</v>
      </c>
      <c r="L330" s="342" t="s">
        <v>686</v>
      </c>
      <c r="M330" s="342" t="s">
        <v>685</v>
      </c>
      <c r="N330" s="342" t="s">
        <v>1169</v>
      </c>
      <c r="O330" s="2">
        <v>481024.28</v>
      </c>
    </row>
    <row r="331" spans="1:15">
      <c r="A331" t="s">
        <v>2423</v>
      </c>
      <c r="B331" s="419">
        <v>34002</v>
      </c>
      <c r="C331" t="s">
        <v>687</v>
      </c>
      <c r="D331" s="2">
        <v>178257.59</v>
      </c>
      <c r="F331" t="s">
        <v>2424</v>
      </c>
      <c r="L331" s="342" t="s">
        <v>688</v>
      </c>
      <c r="M331" s="342" t="s">
        <v>687</v>
      </c>
      <c r="N331" s="342" t="s">
        <v>1170</v>
      </c>
      <c r="O331" s="2">
        <v>178257.59</v>
      </c>
    </row>
    <row r="332" spans="1:15">
      <c r="A332" t="s">
        <v>2425</v>
      </c>
      <c r="B332" s="419">
        <v>39205</v>
      </c>
      <c r="C332" t="s">
        <v>689</v>
      </c>
      <c r="D332" s="2">
        <v>47856.740000000005</v>
      </c>
      <c r="F332" t="s">
        <v>2426</v>
      </c>
      <c r="L332" s="342" t="s">
        <v>690</v>
      </c>
      <c r="M332" s="342" t="s">
        <v>689</v>
      </c>
      <c r="N332" s="342" t="s">
        <v>1171</v>
      </c>
      <c r="O332" s="2">
        <v>47856.740000000005</v>
      </c>
    </row>
    <row r="379" spans="1:6">
      <c r="A379" t="s">
        <v>2427</v>
      </c>
      <c r="B379" s="419" t="s">
        <v>2428</v>
      </c>
      <c r="C379" t="s">
        <v>2428</v>
      </c>
      <c r="D379" s="2">
        <v>17322.41</v>
      </c>
      <c r="F379" s="91" t="s">
        <v>2429</v>
      </c>
    </row>
    <row r="380" spans="1:6">
      <c r="A380" t="s">
        <v>2430</v>
      </c>
      <c r="B380" s="419" t="s">
        <v>2431</v>
      </c>
      <c r="C380" t="s">
        <v>2431</v>
      </c>
      <c r="D380" s="2">
        <v>6000.1900000000005</v>
      </c>
      <c r="F380" s="91" t="s">
        <v>2429</v>
      </c>
    </row>
    <row r="381" spans="1:6">
      <c r="A381" t="s">
        <v>2432</v>
      </c>
      <c r="B381" s="419" t="s">
        <v>2433</v>
      </c>
      <c r="C381" t="s">
        <v>2433</v>
      </c>
      <c r="D381" s="2">
        <v>7063.88</v>
      </c>
      <c r="F381" s="91" t="s">
        <v>2429</v>
      </c>
    </row>
    <row r="382" spans="1:6">
      <c r="A382" t="s">
        <v>2434</v>
      </c>
      <c r="B382" s="419" t="s">
        <v>2435</v>
      </c>
      <c r="C382" t="s">
        <v>2435</v>
      </c>
      <c r="D382" s="2">
        <v>66458.27</v>
      </c>
      <c r="F382" s="91" t="s">
        <v>2429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F351C-DB8C-4310-825C-DE88B05D1B65}">
  <dimension ref="B2:K31"/>
  <sheetViews>
    <sheetView workbookViewId="0">
      <selection activeCell="H15" sqref="H15:K18"/>
    </sheetView>
  </sheetViews>
  <sheetFormatPr defaultRowHeight="15"/>
  <cols>
    <col min="7" max="7" width="13.85546875" customWidth="1"/>
  </cols>
  <sheetData>
    <row r="2" spans="2:11" ht="31.5">
      <c r="B2" s="317" t="s">
        <v>2436</v>
      </c>
      <c r="C2" s="318"/>
      <c r="D2" s="318"/>
      <c r="E2" s="318"/>
      <c r="F2" s="318"/>
      <c r="G2" s="319" t="s">
        <v>2437</v>
      </c>
      <c r="H2" s="318"/>
      <c r="I2" s="318"/>
      <c r="J2" s="318"/>
      <c r="K2" s="37"/>
    </row>
    <row r="3" spans="2:11">
      <c r="B3" s="38"/>
      <c r="G3" s="320">
        <v>0</v>
      </c>
      <c r="H3" s="310" t="s">
        <v>1780</v>
      </c>
      <c r="K3" s="300"/>
    </row>
    <row r="4" spans="2:11">
      <c r="B4" s="321" t="s">
        <v>2438</v>
      </c>
      <c r="C4" s="307"/>
      <c r="D4" s="307"/>
      <c r="E4" s="322"/>
      <c r="F4" s="307"/>
      <c r="G4" s="315">
        <v>107153.72</v>
      </c>
      <c r="K4" s="300"/>
    </row>
    <row r="5" spans="2:11">
      <c r="B5" s="323" t="s">
        <v>1803</v>
      </c>
      <c r="C5" s="307"/>
      <c r="D5" s="307"/>
      <c r="E5" s="307"/>
      <c r="F5" s="307"/>
      <c r="G5" s="414">
        <v>68000</v>
      </c>
      <c r="K5" s="300"/>
    </row>
    <row r="6" spans="2:11">
      <c r="B6" s="323" t="s">
        <v>1824</v>
      </c>
      <c r="C6" s="307"/>
      <c r="D6" s="307"/>
      <c r="E6" s="307"/>
      <c r="F6" s="307"/>
      <c r="G6" s="315">
        <v>39153.72</v>
      </c>
      <c r="H6" s="313"/>
      <c r="I6" s="313"/>
      <c r="J6" s="313"/>
      <c r="K6" s="314"/>
    </row>
    <row r="7" spans="2:11">
      <c r="B7" s="38"/>
      <c r="G7" s="313"/>
      <c r="K7" s="300"/>
    </row>
    <row r="8" spans="2:11">
      <c r="B8" s="38" t="s">
        <v>716</v>
      </c>
      <c r="G8" s="326">
        <v>39153.72</v>
      </c>
      <c r="K8" s="300"/>
    </row>
    <row r="9" spans="2:11">
      <c r="B9" s="42"/>
      <c r="C9" s="324"/>
      <c r="D9" s="324"/>
      <c r="E9" s="324"/>
      <c r="F9" s="324"/>
      <c r="G9" s="324"/>
      <c r="H9" s="324"/>
      <c r="I9" s="324"/>
      <c r="J9" s="324"/>
      <c r="K9" s="325"/>
    </row>
    <row r="11" spans="2:11" ht="31.5">
      <c r="B11" s="498" t="s">
        <v>2439</v>
      </c>
      <c r="C11" s="499"/>
      <c r="D11" s="499"/>
      <c r="E11" s="499"/>
      <c r="F11" s="312"/>
      <c r="G11" s="319" t="s">
        <v>2437</v>
      </c>
      <c r="H11" s="318"/>
      <c r="I11" s="318"/>
      <c r="J11" s="318"/>
      <c r="K11" s="37"/>
    </row>
    <row r="12" spans="2:11">
      <c r="B12" s="38"/>
      <c r="G12" s="320">
        <v>0</v>
      </c>
      <c r="H12" s="310" t="s">
        <v>1780</v>
      </c>
      <c r="K12" s="300"/>
    </row>
    <row r="13" spans="2:11">
      <c r="B13" s="321" t="s">
        <v>2438</v>
      </c>
      <c r="C13" s="307"/>
      <c r="D13" s="307"/>
      <c r="E13" s="322"/>
      <c r="F13" s="307"/>
      <c r="G13" s="315">
        <v>107153.72</v>
      </c>
      <c r="K13" s="300"/>
    </row>
    <row r="14" spans="2:11">
      <c r="B14" s="323" t="s">
        <v>1803</v>
      </c>
      <c r="C14" s="307"/>
      <c r="D14" s="307"/>
      <c r="E14" s="307"/>
      <c r="F14" s="307"/>
      <c r="G14" s="414">
        <v>268000</v>
      </c>
      <c r="K14" s="300"/>
    </row>
    <row r="15" spans="2:11" ht="15" customHeight="1">
      <c r="B15" s="323" t="s">
        <v>1824</v>
      </c>
      <c r="C15" s="307"/>
      <c r="D15" s="307"/>
      <c r="E15" s="307"/>
      <c r="F15" s="307"/>
      <c r="G15" s="315">
        <v>-160846.28</v>
      </c>
      <c r="H15" s="491" t="s">
        <v>2440</v>
      </c>
      <c r="I15" s="492"/>
      <c r="J15" s="492"/>
      <c r="K15" s="493"/>
    </row>
    <row r="16" spans="2:11">
      <c r="B16" s="38"/>
      <c r="G16" s="488" t="s">
        <v>2441</v>
      </c>
      <c r="H16" s="494"/>
      <c r="I16" s="494"/>
      <c r="J16" s="494"/>
      <c r="K16" s="495"/>
    </row>
    <row r="17" spans="2:11">
      <c r="B17" s="500" t="s">
        <v>2442</v>
      </c>
      <c r="C17" s="474"/>
      <c r="D17" s="474"/>
      <c r="E17" s="474"/>
      <c r="G17" s="489"/>
      <c r="H17" s="494"/>
      <c r="I17" s="494"/>
      <c r="J17" s="494"/>
      <c r="K17" s="495"/>
    </row>
    <row r="18" spans="2:11">
      <c r="B18" s="500"/>
      <c r="C18" s="474"/>
      <c r="D18" s="474"/>
      <c r="E18" s="474"/>
      <c r="G18" s="489"/>
      <c r="H18" s="496"/>
      <c r="I18" s="496"/>
      <c r="J18" s="496"/>
      <c r="K18" s="497"/>
    </row>
    <row r="19" spans="2:11">
      <c r="B19" s="38"/>
      <c r="G19" s="490"/>
      <c r="K19" s="300"/>
    </row>
    <row r="20" spans="2:11">
      <c r="B20" s="38"/>
      <c r="G20" s="306"/>
      <c r="K20" s="300"/>
    </row>
    <row r="21" spans="2:11">
      <c r="B21" s="38" t="s">
        <v>716</v>
      </c>
      <c r="G21" s="326">
        <v>0</v>
      </c>
      <c r="K21" s="300"/>
    </row>
    <row r="22" spans="2:11">
      <c r="B22" s="42"/>
      <c r="C22" s="324"/>
      <c r="D22" s="324"/>
      <c r="E22" s="324"/>
      <c r="F22" s="324"/>
      <c r="G22" s="324"/>
      <c r="H22" s="324"/>
      <c r="I22" s="324"/>
      <c r="J22" s="324"/>
      <c r="K22" s="325"/>
    </row>
    <row r="24" spans="2:11" ht="31.5">
      <c r="B24" s="317" t="s">
        <v>2443</v>
      </c>
      <c r="C24" s="318"/>
      <c r="D24" s="318"/>
      <c r="E24" s="318"/>
      <c r="F24" s="318"/>
      <c r="G24" s="319" t="s">
        <v>2437</v>
      </c>
      <c r="H24" s="318"/>
      <c r="I24" s="318"/>
      <c r="J24" s="318"/>
      <c r="K24" s="37"/>
    </row>
    <row r="25" spans="2:11">
      <c r="B25" s="38"/>
      <c r="G25" s="320">
        <v>39153.72</v>
      </c>
      <c r="H25" s="310" t="s">
        <v>1780</v>
      </c>
      <c r="K25" s="300"/>
    </row>
    <row r="26" spans="2:11">
      <c r="B26" s="321" t="s">
        <v>2438</v>
      </c>
      <c r="C26" s="307"/>
      <c r="D26" s="307"/>
      <c r="E26" s="322"/>
      <c r="F26" s="307"/>
      <c r="G26" s="315">
        <v>120000</v>
      </c>
      <c r="K26" s="300"/>
    </row>
    <row r="27" spans="2:11">
      <c r="B27" s="323" t="s">
        <v>1803</v>
      </c>
      <c r="C27" s="307"/>
      <c r="D27" s="307"/>
      <c r="E27" s="307"/>
      <c r="F27" s="307"/>
      <c r="G27" s="414">
        <v>159153.72</v>
      </c>
      <c r="K27" s="300"/>
    </row>
    <row r="28" spans="2:11">
      <c r="B28" s="323" t="s">
        <v>1824</v>
      </c>
      <c r="C28" s="307"/>
      <c r="D28" s="307"/>
      <c r="E28" s="307"/>
      <c r="F28" s="307"/>
      <c r="G28" s="315">
        <v>0</v>
      </c>
      <c r="H28" s="313"/>
      <c r="K28" s="300"/>
    </row>
    <row r="29" spans="2:11">
      <c r="B29" s="38"/>
      <c r="G29" s="313"/>
      <c r="K29" s="300"/>
    </row>
    <row r="30" spans="2:11">
      <c r="B30" s="38" t="s">
        <v>716</v>
      </c>
      <c r="G30" s="316">
        <v>0</v>
      </c>
      <c r="K30" s="300"/>
    </row>
    <row r="31" spans="2:11">
      <c r="B31" s="42"/>
      <c r="C31" s="324"/>
      <c r="D31" s="324"/>
      <c r="E31" s="324"/>
      <c r="F31" s="324"/>
      <c r="G31" s="324"/>
      <c r="H31" s="324"/>
      <c r="I31" s="324"/>
      <c r="J31" s="324"/>
      <c r="K31" s="325"/>
    </row>
  </sheetData>
  <mergeCells count="4">
    <mergeCell ref="G16:G19"/>
    <mergeCell ref="H15:K18"/>
    <mergeCell ref="B11:E11"/>
    <mergeCell ref="B17:E18"/>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E1FF"/>
  </sheetPr>
  <dimension ref="A1:AS344"/>
  <sheetViews>
    <sheetView workbookViewId="0">
      <pane ySplit="1" topLeftCell="A2" activePane="bottomLeft" state="frozen"/>
      <selection pane="bottomLeft" activeCell="B6" sqref="B6"/>
    </sheetView>
  </sheetViews>
  <sheetFormatPr defaultColWidth="9.140625" defaultRowHeight="15"/>
  <cols>
    <col min="1" max="1" width="6.42578125" style="46" bestFit="1" customWidth="1"/>
    <col min="2" max="2" width="18.85546875" style="46" bestFit="1" customWidth="1"/>
    <col min="3" max="3" width="13.28515625" style="46" bestFit="1" customWidth="1"/>
    <col min="4" max="4" width="13.140625" style="46" bestFit="1" customWidth="1"/>
    <col min="5" max="6" width="13.140625" style="46" customWidth="1"/>
    <col min="7" max="7" width="13.28515625" style="46" bestFit="1" customWidth="1"/>
    <col min="8" max="8" width="4" style="46" customWidth="1"/>
    <col min="9" max="10" width="8.85546875"/>
    <col min="11" max="23" width="9.140625" style="46"/>
    <col min="24" max="24" width="32.28515625" style="46" bestFit="1" customWidth="1"/>
    <col min="25" max="25" width="13.28515625" style="46" bestFit="1" customWidth="1"/>
    <col min="26" max="26" width="11.5703125" style="46" bestFit="1" customWidth="1"/>
    <col min="27" max="27" width="12.42578125" style="46" bestFit="1" customWidth="1"/>
    <col min="28" max="33" width="9.140625" style="46"/>
    <col min="34" max="34" width="32.28515625" style="46" bestFit="1" customWidth="1"/>
    <col min="35" max="38" width="9.140625" style="46"/>
    <col min="39" max="39" width="13.140625" style="46" bestFit="1" customWidth="1"/>
    <col min="40" max="44" width="9.140625" style="46"/>
    <col min="45" max="45" width="14.140625" style="46" bestFit="1" customWidth="1"/>
    <col min="46" max="16384" width="9.140625" style="46"/>
  </cols>
  <sheetData>
    <row r="1" spans="1:45" s="76" customFormat="1" ht="15.75">
      <c r="A1" s="75" t="s">
        <v>25</v>
      </c>
      <c r="B1" s="75" t="s">
        <v>1404</v>
      </c>
      <c r="C1" s="74" t="s">
        <v>2444</v>
      </c>
      <c r="D1" s="74" t="s">
        <v>2445</v>
      </c>
      <c r="E1" s="74" t="s">
        <v>2446</v>
      </c>
      <c r="F1" s="74" t="s">
        <v>2447</v>
      </c>
      <c r="G1" s="82" t="s">
        <v>2448</v>
      </c>
      <c r="AK1" s="76" t="s">
        <v>25</v>
      </c>
      <c r="AL1" s="76" t="s">
        <v>1404</v>
      </c>
      <c r="AM1" s="76" t="s">
        <v>2444</v>
      </c>
      <c r="AQ1" s="75" t="s">
        <v>25</v>
      </c>
      <c r="AR1" s="75" t="s">
        <v>1404</v>
      </c>
      <c r="AS1" s="68" t="s">
        <v>2445</v>
      </c>
    </row>
    <row r="2" spans="1:45" ht="15.75">
      <c r="A2" t="s">
        <v>31</v>
      </c>
      <c r="B2" t="s">
        <v>2449</v>
      </c>
      <c r="C2" s="260">
        <v>-636876.06999999995</v>
      </c>
      <c r="D2" s="260">
        <v>-280906.08</v>
      </c>
      <c r="E2" s="260">
        <v>34224.225940000062</v>
      </c>
      <c r="F2" s="335">
        <v>-444868.54173117736</v>
      </c>
      <c r="G2" s="83">
        <f t="shared" ref="G2:G12" si="0">SUM(C2:F2)</f>
        <v>-1328426.4657911772</v>
      </c>
      <c r="K2"/>
      <c r="L2" s="80" t="s">
        <v>1820</v>
      </c>
      <c r="M2"/>
      <c r="N2"/>
      <c r="O2"/>
      <c r="P2"/>
      <c r="AG2" s="79" t="s">
        <v>647</v>
      </c>
      <c r="AH2" s="78" t="s">
        <v>2450</v>
      </c>
      <c r="AI2" s="46">
        <f>+AK2-AG2</f>
        <v>0</v>
      </c>
      <c r="AK2" s="46" t="s">
        <v>647</v>
      </c>
      <c r="AL2" s="46" t="s">
        <v>2450</v>
      </c>
      <c r="AM2" s="193">
        <v>-43557.53</v>
      </c>
      <c r="AQ2" s="73" t="s">
        <v>647</v>
      </c>
      <c r="AR2" s="135" t="s">
        <v>2450</v>
      </c>
      <c r="AS2" s="212">
        <v>-49487.59</v>
      </c>
    </row>
    <row r="3" spans="1:45">
      <c r="A3" t="s">
        <v>35</v>
      </c>
      <c r="B3" t="s">
        <v>2451</v>
      </c>
      <c r="C3" s="260">
        <v>-86102.080000000002</v>
      </c>
      <c r="D3" s="260">
        <v>-57960.15</v>
      </c>
      <c r="E3" s="260">
        <v>-51948.342023999969</v>
      </c>
      <c r="F3" s="335">
        <v>-41419.432485000056</v>
      </c>
      <c r="G3" s="83">
        <f t="shared" si="0"/>
        <v>-237430.00450900005</v>
      </c>
      <c r="K3"/>
      <c r="L3" t="s">
        <v>1821</v>
      </c>
      <c r="M3"/>
      <c r="N3"/>
      <c r="O3"/>
      <c r="P3"/>
      <c r="AG3" s="79" t="s">
        <v>435</v>
      </c>
      <c r="AH3" s="78" t="s">
        <v>2452</v>
      </c>
      <c r="AI3" s="46">
        <f t="shared" ref="AI3:AI66" si="1">+AK3-AG3</f>
        <v>0</v>
      </c>
      <c r="AK3" s="46" t="s">
        <v>435</v>
      </c>
      <c r="AL3" s="46" t="s">
        <v>2452</v>
      </c>
      <c r="AM3" s="193">
        <v>-76768.56</v>
      </c>
      <c r="AQ3" s="73" t="s">
        <v>435</v>
      </c>
      <c r="AR3" s="135" t="s">
        <v>2452</v>
      </c>
      <c r="AS3" s="212">
        <v>-80367.61</v>
      </c>
    </row>
    <row r="4" spans="1:45">
      <c r="A4" t="s">
        <v>37</v>
      </c>
      <c r="B4" t="s">
        <v>2453</v>
      </c>
      <c r="C4" s="260">
        <v>-77510.17</v>
      </c>
      <c r="D4" s="260">
        <v>-48001.13</v>
      </c>
      <c r="E4" s="260">
        <v>-106802.44998599999</v>
      </c>
      <c r="F4" s="335">
        <v>-101999.44892000002</v>
      </c>
      <c r="G4" s="83">
        <f t="shared" si="0"/>
        <v>-334313.19890600001</v>
      </c>
      <c r="K4"/>
      <c r="L4" t="s">
        <v>1823</v>
      </c>
      <c r="M4"/>
      <c r="N4"/>
      <c r="O4"/>
      <c r="P4"/>
      <c r="AG4" s="79" t="s">
        <v>307</v>
      </c>
      <c r="AH4" s="78" t="s">
        <v>2454</v>
      </c>
      <c r="AI4" s="46">
        <f t="shared" si="1"/>
        <v>0</v>
      </c>
      <c r="AK4" s="46" t="s">
        <v>307</v>
      </c>
      <c r="AL4" s="46" t="s">
        <v>2454</v>
      </c>
      <c r="AM4" s="193">
        <v>-134660.25</v>
      </c>
      <c r="AQ4" s="73" t="s">
        <v>307</v>
      </c>
      <c r="AR4" s="135" t="s">
        <v>2454</v>
      </c>
      <c r="AS4" s="212">
        <v>-76230.23</v>
      </c>
    </row>
    <row r="5" spans="1:45">
      <c r="A5" t="s">
        <v>41</v>
      </c>
      <c r="B5" t="s">
        <v>2455</v>
      </c>
      <c r="C5" s="260">
        <v>-243297.15</v>
      </c>
      <c r="D5" s="260">
        <v>-367275.29</v>
      </c>
      <c r="E5" s="260">
        <v>-389288.57905899989</v>
      </c>
      <c r="F5" s="335">
        <v>-131293.15502931387</v>
      </c>
      <c r="G5" s="83">
        <f t="shared" si="0"/>
        <v>-1131154.1740883137</v>
      </c>
      <c r="K5"/>
      <c r="L5" t="s">
        <v>2456</v>
      </c>
      <c r="M5"/>
      <c r="N5"/>
      <c r="O5"/>
      <c r="P5"/>
      <c r="AG5" s="79" t="s">
        <v>503</v>
      </c>
      <c r="AH5" s="78" t="s">
        <v>2457</v>
      </c>
      <c r="AI5" s="46">
        <f t="shared" si="1"/>
        <v>0</v>
      </c>
      <c r="AK5" s="46" t="s">
        <v>503</v>
      </c>
      <c r="AL5" s="46" t="s">
        <v>2457</v>
      </c>
      <c r="AM5" s="193">
        <v>-101914.82</v>
      </c>
      <c r="AQ5" s="73" t="s">
        <v>503</v>
      </c>
      <c r="AR5" s="135" t="s">
        <v>2457</v>
      </c>
      <c r="AS5" s="212">
        <v>-98553.17</v>
      </c>
    </row>
    <row r="6" spans="1:45">
      <c r="A6" t="s">
        <v>43</v>
      </c>
      <c r="B6" t="s">
        <v>2458</v>
      </c>
      <c r="C6" s="260">
        <v>-195187.55</v>
      </c>
      <c r="D6" s="260">
        <v>-256026.8</v>
      </c>
      <c r="E6" s="260">
        <v>-736299.98532673914</v>
      </c>
      <c r="F6" s="335">
        <v>-81253.465135879349</v>
      </c>
      <c r="G6" s="83">
        <f t="shared" si="0"/>
        <v>-1268767.8004626185</v>
      </c>
      <c r="K6"/>
      <c r="L6"/>
      <c r="M6"/>
      <c r="N6"/>
      <c r="O6"/>
      <c r="P6"/>
      <c r="AG6" s="79" t="s">
        <v>109</v>
      </c>
      <c r="AH6" s="78" t="s">
        <v>2459</v>
      </c>
      <c r="AI6" s="46">
        <f t="shared" si="1"/>
        <v>0</v>
      </c>
      <c r="AK6" s="46" t="s">
        <v>109</v>
      </c>
      <c r="AL6" s="46" t="s">
        <v>2459</v>
      </c>
      <c r="AM6" s="193">
        <v>-313340.96000000002</v>
      </c>
      <c r="AQ6" s="73" t="s">
        <v>109</v>
      </c>
      <c r="AR6" s="135" t="s">
        <v>2459</v>
      </c>
      <c r="AS6" s="212">
        <v>-424904.4</v>
      </c>
    </row>
    <row r="7" spans="1:45" ht="15.75">
      <c r="A7" t="s">
        <v>45</v>
      </c>
      <c r="B7" t="s">
        <v>830</v>
      </c>
      <c r="C7" s="260">
        <v>-61687.5</v>
      </c>
      <c r="D7" s="260">
        <v>-31371.86</v>
      </c>
      <c r="E7" s="260">
        <v>16402.223467000025</v>
      </c>
      <c r="F7" s="335">
        <v>75107.375750000007</v>
      </c>
      <c r="G7" s="83">
        <f t="shared" si="0"/>
        <v>-1549.7607829999761</v>
      </c>
      <c r="K7"/>
      <c r="L7" s="80" t="s">
        <v>2460</v>
      </c>
      <c r="M7"/>
      <c r="N7"/>
      <c r="O7"/>
      <c r="P7"/>
      <c r="AG7" s="79" t="s">
        <v>45</v>
      </c>
      <c r="AH7" s="78" t="s">
        <v>2461</v>
      </c>
      <c r="AI7" s="46">
        <f t="shared" si="1"/>
        <v>0</v>
      </c>
      <c r="AK7" s="46" t="s">
        <v>45</v>
      </c>
      <c r="AL7" s="46" t="s">
        <v>2461</v>
      </c>
      <c r="AM7" s="193">
        <v>-61687.5</v>
      </c>
      <c r="AQ7" s="73" t="s">
        <v>45</v>
      </c>
      <c r="AR7" s="135" t="s">
        <v>2461</v>
      </c>
      <c r="AS7" s="212">
        <v>-31371.86</v>
      </c>
    </row>
    <row r="8" spans="1:45">
      <c r="A8" t="s">
        <v>47</v>
      </c>
      <c r="B8" t="s">
        <v>2462</v>
      </c>
      <c r="C8" s="260">
        <v>4140813.34</v>
      </c>
      <c r="D8" s="260">
        <v>-517270.53</v>
      </c>
      <c r="E8" s="260">
        <v>-1168565.5193309174</v>
      </c>
      <c r="F8" s="335">
        <v>637508.56965284795</v>
      </c>
      <c r="G8" s="83">
        <f t="shared" si="0"/>
        <v>3092485.8603219301</v>
      </c>
      <c r="K8"/>
      <c r="L8" t="s">
        <v>2463</v>
      </c>
      <c r="M8"/>
      <c r="N8"/>
      <c r="O8"/>
      <c r="P8"/>
      <c r="AG8" s="79" t="s">
        <v>277</v>
      </c>
      <c r="AH8" s="78" t="s">
        <v>2464</v>
      </c>
      <c r="AI8" s="46">
        <f t="shared" si="1"/>
        <v>0</v>
      </c>
      <c r="AK8" s="46" t="s">
        <v>277</v>
      </c>
      <c r="AL8" s="46" t="s">
        <v>2464</v>
      </c>
      <c r="AM8" s="193">
        <v>-1039119.16</v>
      </c>
      <c r="AQ8" s="73" t="s">
        <v>277</v>
      </c>
      <c r="AR8" s="135" t="s">
        <v>2464</v>
      </c>
      <c r="AS8" s="212">
        <v>-409020.59</v>
      </c>
    </row>
    <row r="9" spans="1:45">
      <c r="A9" t="s">
        <v>49</v>
      </c>
      <c r="B9" t="s">
        <v>1190</v>
      </c>
      <c r="C9" s="260">
        <v>-210632</v>
      </c>
      <c r="D9" s="260">
        <v>-244913.61</v>
      </c>
      <c r="E9" s="260">
        <v>-193907.50370900019</v>
      </c>
      <c r="F9" s="335">
        <v>170506.04760399973</v>
      </c>
      <c r="G9" s="83">
        <f t="shared" si="0"/>
        <v>-478947.06610500044</v>
      </c>
      <c r="K9"/>
      <c r="L9" t="s">
        <v>2465</v>
      </c>
      <c r="M9"/>
      <c r="N9"/>
      <c r="O9"/>
      <c r="P9"/>
      <c r="AG9" s="79" t="s">
        <v>445</v>
      </c>
      <c r="AH9" s="78" t="s">
        <v>2466</v>
      </c>
      <c r="AI9" s="46">
        <f t="shared" si="1"/>
        <v>0</v>
      </c>
      <c r="AK9" s="46" t="s">
        <v>445</v>
      </c>
      <c r="AL9" s="46" t="s">
        <v>2466</v>
      </c>
      <c r="AM9" s="193">
        <v>-37167.64</v>
      </c>
      <c r="AQ9" s="73" t="s">
        <v>445</v>
      </c>
      <c r="AR9" s="135" t="s">
        <v>2466</v>
      </c>
      <c r="AS9" s="212">
        <v>-29533.55</v>
      </c>
    </row>
    <row r="10" spans="1:45">
      <c r="A10" t="s">
        <v>51</v>
      </c>
      <c r="B10" t="s">
        <v>2467</v>
      </c>
      <c r="C10" s="260">
        <v>-240651.93</v>
      </c>
      <c r="D10" s="260">
        <v>-208995.77</v>
      </c>
      <c r="E10" s="260">
        <v>-44740.500618999446</v>
      </c>
      <c r="F10" s="335">
        <v>194544.66013300046</v>
      </c>
      <c r="G10" s="83">
        <f t="shared" si="0"/>
        <v>-299843.54048599896</v>
      </c>
      <c r="K10"/>
      <c r="L10" t="s">
        <v>2468</v>
      </c>
      <c r="M10"/>
      <c r="N10"/>
      <c r="O10"/>
      <c r="P10"/>
      <c r="AG10" s="79" t="s">
        <v>283</v>
      </c>
      <c r="AH10" s="78" t="s">
        <v>2469</v>
      </c>
      <c r="AI10" s="46">
        <f t="shared" si="1"/>
        <v>0</v>
      </c>
      <c r="AK10" s="46" t="s">
        <v>283</v>
      </c>
      <c r="AL10" s="46" t="s">
        <v>2469</v>
      </c>
      <c r="AM10" s="193">
        <v>-71029.490000000005</v>
      </c>
      <c r="AQ10" s="73" t="s">
        <v>283</v>
      </c>
      <c r="AR10" s="135" t="s">
        <v>2469</v>
      </c>
      <c r="AS10" s="212">
        <v>-113441.34</v>
      </c>
    </row>
    <row r="11" spans="1:45">
      <c r="A11" t="s">
        <v>53</v>
      </c>
      <c r="B11" t="s">
        <v>2470</v>
      </c>
      <c r="C11" s="260">
        <v>-389057.21</v>
      </c>
      <c r="D11" s="260">
        <v>-1727270.97</v>
      </c>
      <c r="E11" s="260">
        <v>-998247.79710200033</v>
      </c>
      <c r="F11" s="335">
        <v>1876653.7025759993</v>
      </c>
      <c r="G11" s="83">
        <f t="shared" si="0"/>
        <v>-1237922.274526001</v>
      </c>
      <c r="K11"/>
      <c r="L11"/>
      <c r="M11"/>
      <c r="N11"/>
      <c r="O11"/>
      <c r="P11"/>
      <c r="AG11" s="79" t="s">
        <v>217</v>
      </c>
      <c r="AH11" s="78" t="s">
        <v>2471</v>
      </c>
      <c r="AI11" s="46">
        <f t="shared" si="1"/>
        <v>0</v>
      </c>
      <c r="AK11" s="46" t="s">
        <v>217</v>
      </c>
      <c r="AL11" s="46" t="s">
        <v>2471</v>
      </c>
      <c r="AM11" s="193">
        <v>-209724.41</v>
      </c>
      <c r="AQ11" s="73" t="s">
        <v>217</v>
      </c>
      <c r="AR11" s="135" t="s">
        <v>2471</v>
      </c>
      <c r="AS11" s="212">
        <v>-185747.43</v>
      </c>
    </row>
    <row r="12" spans="1:45">
      <c r="A12" t="s">
        <v>55</v>
      </c>
      <c r="B12" t="s">
        <v>2472</v>
      </c>
      <c r="C12" s="260">
        <v>-760323.67</v>
      </c>
      <c r="D12" s="260">
        <v>-845323.2</v>
      </c>
      <c r="E12" s="260">
        <v>1590394.8110371525</v>
      </c>
      <c r="F12" s="335">
        <v>-143425.52645809762</v>
      </c>
      <c r="G12" s="83">
        <f t="shared" si="0"/>
        <v>-158677.58542094519</v>
      </c>
      <c r="K12"/>
      <c r="L12" t="s">
        <v>2473</v>
      </c>
      <c r="M12"/>
      <c r="N12"/>
      <c r="O12"/>
      <c r="P12"/>
      <c r="AG12" s="79" t="s">
        <v>465</v>
      </c>
      <c r="AH12" s="78" t="s">
        <v>2474</v>
      </c>
      <c r="AI12" s="46">
        <f t="shared" si="1"/>
        <v>0</v>
      </c>
      <c r="AK12" s="46" t="s">
        <v>465</v>
      </c>
      <c r="AL12" s="46" t="s">
        <v>2474</v>
      </c>
      <c r="AM12" s="193">
        <v>-203120.47</v>
      </c>
      <c r="AQ12" s="73" t="s">
        <v>465</v>
      </c>
      <c r="AR12" s="135" t="s">
        <v>2474</v>
      </c>
      <c r="AS12" s="212">
        <v>-257019.09</v>
      </c>
    </row>
    <row r="13" spans="1:45">
      <c r="A13" s="359" t="s">
        <v>57</v>
      </c>
      <c r="B13" s="360" t="s">
        <v>58</v>
      </c>
      <c r="C13" s="260"/>
      <c r="D13" s="260"/>
      <c r="E13" s="260"/>
      <c r="F13" s="335"/>
      <c r="G13" s="83"/>
      <c r="K13"/>
      <c r="L13" t="s">
        <v>2475</v>
      </c>
      <c r="M13"/>
      <c r="N13"/>
      <c r="O13"/>
      <c r="P13"/>
      <c r="AG13" s="79" t="s">
        <v>499</v>
      </c>
      <c r="AH13" s="78" t="s">
        <v>2476</v>
      </c>
      <c r="AI13" s="46">
        <f t="shared" si="1"/>
        <v>0</v>
      </c>
      <c r="AK13" s="46" t="s">
        <v>499</v>
      </c>
      <c r="AL13" s="46" t="s">
        <v>2476</v>
      </c>
      <c r="AM13" s="193">
        <v>-791246.78</v>
      </c>
      <c r="AQ13" s="73" t="s">
        <v>499</v>
      </c>
      <c r="AR13" s="135" t="s">
        <v>2476</v>
      </c>
      <c r="AS13" s="212">
        <v>-366861.36</v>
      </c>
    </row>
    <row r="14" spans="1:45">
      <c r="A14" t="s">
        <v>59</v>
      </c>
      <c r="B14" t="s">
        <v>2477</v>
      </c>
      <c r="C14" s="260">
        <v>-61290.12</v>
      </c>
      <c r="D14" s="260">
        <v>-1373573.03</v>
      </c>
      <c r="E14" s="260">
        <v>143291.98264899768</v>
      </c>
      <c r="F14" s="335">
        <v>1376813.2352220006</v>
      </c>
      <c r="G14" s="83">
        <f>SUM(C14:F14)</f>
        <v>85242.067870998289</v>
      </c>
      <c r="K14"/>
      <c r="L14" t="s">
        <v>2478</v>
      </c>
      <c r="M14"/>
      <c r="N14"/>
      <c r="O14"/>
      <c r="P14"/>
      <c r="AG14" s="79" t="s">
        <v>327</v>
      </c>
      <c r="AH14" s="78" t="s">
        <v>2479</v>
      </c>
      <c r="AI14" s="46">
        <f t="shared" si="1"/>
        <v>0</v>
      </c>
      <c r="AK14" s="46" t="s">
        <v>327</v>
      </c>
      <c r="AL14" s="46" t="s">
        <v>2479</v>
      </c>
      <c r="AM14" s="193">
        <v>-189727.06</v>
      </c>
      <c r="AQ14" s="73" t="s">
        <v>327</v>
      </c>
      <c r="AR14" s="135" t="s">
        <v>2479</v>
      </c>
      <c r="AS14" s="212">
        <v>-179864.48</v>
      </c>
    </row>
    <row r="15" spans="1:45">
      <c r="A15" s="359" t="s">
        <v>61</v>
      </c>
      <c r="B15" s="360" t="s">
        <v>62</v>
      </c>
      <c r="C15" s="260"/>
      <c r="D15" s="260"/>
      <c r="E15" s="260"/>
      <c r="F15" s="335"/>
      <c r="G15" s="83"/>
      <c r="K15"/>
      <c r="L15"/>
      <c r="M15"/>
      <c r="N15"/>
      <c r="O15"/>
      <c r="P15"/>
      <c r="AG15" s="79" t="s">
        <v>177</v>
      </c>
      <c r="AH15" s="78" t="s">
        <v>2480</v>
      </c>
      <c r="AI15" s="46">
        <f t="shared" si="1"/>
        <v>0</v>
      </c>
      <c r="AK15" s="46" t="s">
        <v>177</v>
      </c>
      <c r="AL15" s="46" t="s">
        <v>2480</v>
      </c>
      <c r="AM15" s="193">
        <v>-94406.05</v>
      </c>
      <c r="AQ15" s="73" t="s">
        <v>177</v>
      </c>
      <c r="AR15" s="135" t="s">
        <v>2480</v>
      </c>
      <c r="AS15" s="212">
        <v>-106913.2</v>
      </c>
    </row>
    <row r="16" spans="1:45">
      <c r="A16" t="s">
        <v>63</v>
      </c>
      <c r="B16" t="s">
        <v>2481</v>
      </c>
      <c r="C16" s="260">
        <v>-260208.85</v>
      </c>
      <c r="D16" s="260">
        <v>-299896.39</v>
      </c>
      <c r="E16" s="260">
        <v>-47193.066253736579</v>
      </c>
      <c r="F16" s="335">
        <v>-3243.4571209957357</v>
      </c>
      <c r="G16" s="83">
        <f t="shared" ref="G16:G36" si="2">SUM(C16:F16)</f>
        <v>-610541.76337473234</v>
      </c>
      <c r="K16"/>
      <c r="L16" t="s">
        <v>2482</v>
      </c>
      <c r="M16"/>
      <c r="N16"/>
      <c r="O16"/>
      <c r="P16"/>
      <c r="AG16" s="79" t="s">
        <v>295</v>
      </c>
      <c r="AH16" s="78" t="s">
        <v>2483</v>
      </c>
      <c r="AI16" s="46">
        <f t="shared" si="1"/>
        <v>0</v>
      </c>
      <c r="AK16" s="46" t="s">
        <v>295</v>
      </c>
      <c r="AL16" s="46" t="s">
        <v>2483</v>
      </c>
      <c r="AM16" s="193">
        <v>-274808.34999999998</v>
      </c>
      <c r="AQ16" s="73" t="s">
        <v>295</v>
      </c>
      <c r="AR16" s="135" t="s">
        <v>2483</v>
      </c>
      <c r="AS16" s="212">
        <v>-213669.82</v>
      </c>
    </row>
    <row r="17" spans="1:45">
      <c r="A17" t="s">
        <v>65</v>
      </c>
      <c r="B17" t="s">
        <v>2484</v>
      </c>
      <c r="C17" s="260">
        <v>-58234.74</v>
      </c>
      <c r="D17" s="260">
        <v>-52898.53</v>
      </c>
      <c r="E17" s="260">
        <v>-27608.338987999985</v>
      </c>
      <c r="F17" s="335">
        <v>-22595.906256000002</v>
      </c>
      <c r="G17" s="83">
        <f t="shared" si="2"/>
        <v>-161337.51524399995</v>
      </c>
      <c r="K17"/>
      <c r="L17"/>
      <c r="M17"/>
      <c r="N17"/>
      <c r="O17"/>
      <c r="P17"/>
      <c r="AG17" s="79" t="s">
        <v>85</v>
      </c>
      <c r="AH17" s="78" t="s">
        <v>2485</v>
      </c>
      <c r="AI17" s="46">
        <f t="shared" si="1"/>
        <v>0</v>
      </c>
      <c r="AK17" s="46" t="s">
        <v>85</v>
      </c>
      <c r="AL17" s="46" t="s">
        <v>2485</v>
      </c>
      <c r="AM17" s="193">
        <v>-152316.95000000001</v>
      </c>
      <c r="AQ17" s="73" t="s">
        <v>85</v>
      </c>
      <c r="AR17" s="135" t="s">
        <v>2485</v>
      </c>
      <c r="AS17" s="212">
        <v>-70205.77</v>
      </c>
    </row>
    <row r="18" spans="1:45">
      <c r="A18" t="s">
        <v>67</v>
      </c>
      <c r="B18" t="s">
        <v>2486</v>
      </c>
      <c r="C18" s="260">
        <v>43729.960000000399</v>
      </c>
      <c r="D18" s="260">
        <v>-241293.83</v>
      </c>
      <c r="E18" s="260">
        <v>352110.03695376858</v>
      </c>
      <c r="F18" s="335">
        <v>436977.8823302323</v>
      </c>
      <c r="G18" s="83">
        <f t="shared" si="2"/>
        <v>591524.04928400135</v>
      </c>
      <c r="K18"/>
      <c r="L18"/>
      <c r="M18"/>
      <c r="N18"/>
      <c r="O18"/>
      <c r="P18"/>
      <c r="AG18" s="79" t="s">
        <v>83</v>
      </c>
      <c r="AH18" s="78" t="s">
        <v>2487</v>
      </c>
      <c r="AI18" s="46">
        <f t="shared" si="1"/>
        <v>0</v>
      </c>
      <c r="AK18" s="46" t="s">
        <v>83</v>
      </c>
      <c r="AL18" s="46" t="s">
        <v>2487</v>
      </c>
      <c r="AM18" s="193">
        <v>-254238.46</v>
      </c>
      <c r="AQ18" s="73" t="s">
        <v>83</v>
      </c>
      <c r="AR18" s="135" t="s">
        <v>2487</v>
      </c>
      <c r="AS18" s="212">
        <v>-207326.57</v>
      </c>
    </row>
    <row r="19" spans="1:45">
      <c r="A19" t="s">
        <v>69</v>
      </c>
      <c r="B19" t="s">
        <v>2488</v>
      </c>
      <c r="C19" s="260">
        <v>-103835.11</v>
      </c>
      <c r="D19" s="260">
        <v>-159195.19</v>
      </c>
      <c r="E19" s="260">
        <v>8548.9251999999397</v>
      </c>
      <c r="F19" s="335">
        <v>-31440.944186000037</v>
      </c>
      <c r="G19" s="83">
        <f t="shared" si="2"/>
        <v>-285922.31898600009</v>
      </c>
      <c r="K19"/>
      <c r="L19"/>
      <c r="M19"/>
      <c r="N19"/>
      <c r="O19"/>
      <c r="P19"/>
      <c r="AG19" s="79" t="s">
        <v>653</v>
      </c>
      <c r="AH19" s="78" t="s">
        <v>2489</v>
      </c>
      <c r="AI19" s="46">
        <f t="shared" si="1"/>
        <v>0</v>
      </c>
      <c r="AK19" s="46" t="s">
        <v>653</v>
      </c>
      <c r="AL19" s="46" t="s">
        <v>2489</v>
      </c>
      <c r="AM19" s="193">
        <v>-296014.12</v>
      </c>
      <c r="AQ19" s="73" t="s">
        <v>653</v>
      </c>
      <c r="AR19" s="135" t="s">
        <v>2489</v>
      </c>
      <c r="AS19" s="212">
        <v>-412089.25</v>
      </c>
    </row>
    <row r="20" spans="1:45">
      <c r="A20" t="s">
        <v>71</v>
      </c>
      <c r="B20" t="s">
        <v>2490</v>
      </c>
      <c r="C20" s="260">
        <v>-307411.34000000003</v>
      </c>
      <c r="D20" s="260">
        <v>-184809.25</v>
      </c>
      <c r="E20" s="260">
        <v>-34468.716718000207</v>
      </c>
      <c r="F20" s="335">
        <v>-89531.784245999996</v>
      </c>
      <c r="G20" s="83">
        <f t="shared" si="2"/>
        <v>-616221.09096400021</v>
      </c>
      <c r="K20"/>
      <c r="L20"/>
      <c r="M20"/>
      <c r="N20"/>
      <c r="O20"/>
      <c r="P20"/>
      <c r="AG20" s="79" t="s">
        <v>457</v>
      </c>
      <c r="AH20" s="78" t="s">
        <v>2491</v>
      </c>
      <c r="AI20" s="46">
        <f t="shared" si="1"/>
        <v>0</v>
      </c>
      <c r="AK20" s="46" t="s">
        <v>457</v>
      </c>
      <c r="AL20" s="46" t="s">
        <v>2491</v>
      </c>
      <c r="AM20" s="193">
        <v>-175481.83</v>
      </c>
      <c r="AQ20" s="73" t="s">
        <v>457</v>
      </c>
      <c r="AR20" s="135" t="s">
        <v>2491</v>
      </c>
      <c r="AS20" s="212">
        <v>-78562.36</v>
      </c>
    </row>
    <row r="21" spans="1:45">
      <c r="A21" t="s">
        <v>73</v>
      </c>
      <c r="B21" t="s">
        <v>2492</v>
      </c>
      <c r="C21" s="260">
        <v>-50319.49</v>
      </c>
      <c r="D21" s="260">
        <v>-53832.42</v>
      </c>
      <c r="E21" s="260">
        <v>-42479.859096</v>
      </c>
      <c r="F21" s="335">
        <v>-45466.955079999985</v>
      </c>
      <c r="G21" s="83">
        <f t="shared" si="2"/>
        <v>-192098.72417599999</v>
      </c>
      <c r="K21"/>
      <c r="L21"/>
      <c r="M21"/>
      <c r="N21"/>
      <c r="O21"/>
      <c r="P21"/>
      <c r="AG21" s="79" t="s">
        <v>137</v>
      </c>
      <c r="AH21" s="78" t="s">
        <v>2493</v>
      </c>
      <c r="AI21" s="46">
        <f t="shared" si="1"/>
        <v>0</v>
      </c>
      <c r="AK21" s="46" t="s">
        <v>137</v>
      </c>
      <c r="AL21" s="46" t="s">
        <v>2493</v>
      </c>
      <c r="AM21" s="193">
        <v>-59222.16</v>
      </c>
      <c r="AQ21" s="73" t="s">
        <v>137</v>
      </c>
      <c r="AR21" s="135" t="s">
        <v>2493</v>
      </c>
      <c r="AS21" s="212">
        <v>-94316.31</v>
      </c>
    </row>
    <row r="22" spans="1:45">
      <c r="A22" t="s">
        <v>75</v>
      </c>
      <c r="B22" t="s">
        <v>1191</v>
      </c>
      <c r="C22" s="260">
        <v>-409365.68</v>
      </c>
      <c r="D22" s="260">
        <v>-608592.59</v>
      </c>
      <c r="E22" s="260">
        <v>1019106.1237820004</v>
      </c>
      <c r="F22" s="335">
        <v>560962.43865600019</v>
      </c>
      <c r="G22" s="83">
        <f t="shared" si="2"/>
        <v>562110.29243800056</v>
      </c>
      <c r="K22"/>
      <c r="L22"/>
      <c r="M22"/>
      <c r="N22"/>
      <c r="O22"/>
      <c r="P22"/>
      <c r="AG22" s="79" t="s">
        <v>529</v>
      </c>
      <c r="AH22" s="78" t="s">
        <v>2494</v>
      </c>
      <c r="AI22" s="46">
        <f t="shared" si="1"/>
        <v>0</v>
      </c>
      <c r="AK22" s="46" t="s">
        <v>529</v>
      </c>
      <c r="AL22" s="46" t="s">
        <v>2494</v>
      </c>
      <c r="AM22" s="193">
        <v>-151909.89000000001</v>
      </c>
      <c r="AQ22" s="73" t="s">
        <v>529</v>
      </c>
      <c r="AR22" s="135" t="s">
        <v>2494</v>
      </c>
      <c r="AS22" s="212">
        <v>-15736.5</v>
      </c>
    </row>
    <row r="23" spans="1:45">
      <c r="A23" t="s">
        <v>77</v>
      </c>
      <c r="B23" t="s">
        <v>2495</v>
      </c>
      <c r="C23" s="260">
        <v>-447982.62</v>
      </c>
      <c r="D23" s="260">
        <v>-750646.63</v>
      </c>
      <c r="E23" s="260">
        <v>-597158.61749999993</v>
      </c>
      <c r="F23" s="335">
        <v>-125466.61699999915</v>
      </c>
      <c r="G23" s="83">
        <f t="shared" si="2"/>
        <v>-1921254.4844999991</v>
      </c>
      <c r="K23"/>
      <c r="L23"/>
      <c r="M23"/>
      <c r="N23"/>
      <c r="O23"/>
      <c r="P23"/>
      <c r="AG23" s="79" t="s">
        <v>79</v>
      </c>
      <c r="AH23" s="78" t="s">
        <v>2496</v>
      </c>
      <c r="AI23" s="46">
        <f t="shared" si="1"/>
        <v>0</v>
      </c>
      <c r="AK23" s="46" t="s">
        <v>79</v>
      </c>
      <c r="AL23" s="46" t="s">
        <v>2496</v>
      </c>
      <c r="AM23" s="193">
        <v>-352297.55</v>
      </c>
      <c r="AQ23" s="73" t="s">
        <v>79</v>
      </c>
      <c r="AR23" s="135" t="s">
        <v>2496</v>
      </c>
      <c r="AS23" s="212">
        <v>-286191.28000000003</v>
      </c>
    </row>
    <row r="24" spans="1:45">
      <c r="A24" t="s">
        <v>79</v>
      </c>
      <c r="B24" t="s">
        <v>2496</v>
      </c>
      <c r="C24" s="260">
        <v>-352297.55</v>
      </c>
      <c r="D24" s="260">
        <v>-286191.28000000003</v>
      </c>
      <c r="E24" s="260">
        <v>-482117.58991999994</v>
      </c>
      <c r="F24" s="335">
        <v>-330947.09558500012</v>
      </c>
      <c r="G24" s="83">
        <f t="shared" si="2"/>
        <v>-1451553.515505</v>
      </c>
      <c r="K24"/>
      <c r="L24"/>
      <c r="M24"/>
      <c r="N24"/>
      <c r="O24"/>
      <c r="P24"/>
      <c r="AG24" s="79" t="s">
        <v>479</v>
      </c>
      <c r="AH24" s="78" t="s">
        <v>2497</v>
      </c>
      <c r="AI24" s="46">
        <f t="shared" si="1"/>
        <v>0</v>
      </c>
      <c r="AK24" s="46" t="s">
        <v>479</v>
      </c>
      <c r="AL24" s="46" t="s">
        <v>2497</v>
      </c>
      <c r="AM24" s="193">
        <v>-243242.63</v>
      </c>
      <c r="AQ24" s="73" t="s">
        <v>479</v>
      </c>
      <c r="AR24" s="135" t="s">
        <v>2497</v>
      </c>
      <c r="AS24" s="212">
        <v>-287729.59000000003</v>
      </c>
    </row>
    <row r="25" spans="1:45">
      <c r="A25" t="s">
        <v>81</v>
      </c>
      <c r="B25" t="s">
        <v>2498</v>
      </c>
      <c r="C25" s="260">
        <v>-39473.82</v>
      </c>
      <c r="D25" s="260">
        <v>-21493.85</v>
      </c>
      <c r="E25" s="260">
        <v>1646.523612</v>
      </c>
      <c r="F25" s="335">
        <v>5063.1016799999925</v>
      </c>
      <c r="G25" s="83">
        <f t="shared" si="2"/>
        <v>-54258.044708000009</v>
      </c>
      <c r="K25"/>
      <c r="L25"/>
      <c r="M25"/>
      <c r="N25"/>
      <c r="O25"/>
      <c r="P25"/>
      <c r="AG25" s="127" t="s">
        <v>477</v>
      </c>
      <c r="AH25" s="128" t="s">
        <v>2236</v>
      </c>
      <c r="AI25" s="46">
        <f t="shared" si="1"/>
        <v>0</v>
      </c>
      <c r="AK25" s="46" t="s">
        <v>477</v>
      </c>
      <c r="AL25" s="46" t="s">
        <v>2236</v>
      </c>
      <c r="AM25" s="193">
        <v>-5296.78</v>
      </c>
      <c r="AQ25" s="213" t="s">
        <v>477</v>
      </c>
      <c r="AR25" s="214" t="s">
        <v>2236</v>
      </c>
      <c r="AS25" s="215">
        <v>-98816.77</v>
      </c>
    </row>
    <row r="26" spans="1:45">
      <c r="A26" t="s">
        <v>83</v>
      </c>
      <c r="B26" t="s">
        <v>2487</v>
      </c>
      <c r="C26" s="260">
        <v>-254238.46</v>
      </c>
      <c r="D26" s="260">
        <v>-207326.57</v>
      </c>
      <c r="E26" s="260">
        <v>-195571.98435199997</v>
      </c>
      <c r="F26" s="335">
        <v>-187654.91392400005</v>
      </c>
      <c r="G26" s="83">
        <f t="shared" si="2"/>
        <v>-844791.92827600008</v>
      </c>
      <c r="K26"/>
      <c r="L26"/>
      <c r="M26"/>
      <c r="N26"/>
      <c r="O26"/>
      <c r="P26"/>
      <c r="AG26" s="79" t="s">
        <v>627</v>
      </c>
      <c r="AH26" s="78" t="s">
        <v>2499</v>
      </c>
      <c r="AI26" s="46">
        <f t="shared" si="1"/>
        <v>0</v>
      </c>
      <c r="AK26" s="46" t="s">
        <v>627</v>
      </c>
      <c r="AL26" s="46" t="s">
        <v>2499</v>
      </c>
      <c r="AM26" s="193">
        <v>-627858.32999999996</v>
      </c>
      <c r="AQ26" s="73" t="s">
        <v>627</v>
      </c>
      <c r="AR26" s="135" t="s">
        <v>2499</v>
      </c>
      <c r="AS26" s="212">
        <v>-2069682.58</v>
      </c>
    </row>
    <row r="27" spans="1:45">
      <c r="A27" t="s">
        <v>85</v>
      </c>
      <c r="B27" t="s">
        <v>2485</v>
      </c>
      <c r="C27" s="260">
        <v>-152316.95000000001</v>
      </c>
      <c r="D27" s="260">
        <v>-70205.77</v>
      </c>
      <c r="E27" s="260">
        <v>33300.400728000131</v>
      </c>
      <c r="F27" s="335">
        <v>-84436.187971999869</v>
      </c>
      <c r="G27" s="83">
        <f t="shared" si="2"/>
        <v>-273658.50724399975</v>
      </c>
      <c r="K27"/>
      <c r="L27"/>
      <c r="M27"/>
      <c r="N27"/>
      <c r="O27"/>
      <c r="P27"/>
      <c r="AG27" s="79" t="s">
        <v>251</v>
      </c>
      <c r="AH27" s="78" t="s">
        <v>2500</v>
      </c>
      <c r="AI27" s="46">
        <f t="shared" si="1"/>
        <v>0</v>
      </c>
      <c r="AK27" s="46" t="s">
        <v>251</v>
      </c>
      <c r="AL27" s="46" t="s">
        <v>2500</v>
      </c>
      <c r="AM27" s="193">
        <v>-32236.78</v>
      </c>
      <c r="AQ27" s="73" t="s">
        <v>251</v>
      </c>
      <c r="AR27" s="135" t="s">
        <v>2500</v>
      </c>
      <c r="AS27" s="212">
        <v>-29886.33</v>
      </c>
    </row>
    <row r="28" spans="1:45">
      <c r="A28" t="s">
        <v>87</v>
      </c>
      <c r="B28" t="s">
        <v>2501</v>
      </c>
      <c r="C28" s="260">
        <v>-185153.13</v>
      </c>
      <c r="D28" s="260">
        <v>-128129.53</v>
      </c>
      <c r="E28" s="260">
        <v>-207275.61330099992</v>
      </c>
      <c r="F28" s="335">
        <v>-83655.406346000032</v>
      </c>
      <c r="G28" s="83">
        <f t="shared" si="2"/>
        <v>-604213.67964700004</v>
      </c>
      <c r="K28"/>
      <c r="L28"/>
      <c r="M28"/>
      <c r="N28"/>
      <c r="O28"/>
      <c r="P28"/>
      <c r="AG28" s="79" t="s">
        <v>291</v>
      </c>
      <c r="AH28" s="78" t="s">
        <v>2502</v>
      </c>
      <c r="AI28" s="46">
        <f t="shared" si="1"/>
        <v>0</v>
      </c>
      <c r="AK28" s="46" t="s">
        <v>291</v>
      </c>
      <c r="AL28" s="46" t="s">
        <v>2502</v>
      </c>
      <c r="AM28" s="193">
        <v>-287396.69</v>
      </c>
      <c r="AQ28" s="73" t="s">
        <v>291</v>
      </c>
      <c r="AR28" s="135" t="s">
        <v>2502</v>
      </c>
      <c r="AS28" s="212">
        <v>-207842.92</v>
      </c>
    </row>
    <row r="29" spans="1:45">
      <c r="A29" t="s">
        <v>89</v>
      </c>
      <c r="B29" t="s">
        <v>1192</v>
      </c>
      <c r="C29" s="260"/>
      <c r="D29" s="260"/>
      <c r="E29" s="260">
        <v>-43384.610000000015</v>
      </c>
      <c r="F29" s="335">
        <v>-130405.96000000002</v>
      </c>
      <c r="G29" s="83">
        <f t="shared" si="2"/>
        <v>-173790.57000000004</v>
      </c>
      <c r="K29"/>
      <c r="L29"/>
      <c r="M29"/>
      <c r="N29"/>
      <c r="O29"/>
      <c r="P29"/>
      <c r="AG29" s="79" t="s">
        <v>241</v>
      </c>
      <c r="AH29" s="78" t="s">
        <v>2503</v>
      </c>
      <c r="AI29" s="46">
        <f t="shared" si="1"/>
        <v>0</v>
      </c>
      <c r="AK29" s="46" t="s">
        <v>241</v>
      </c>
      <c r="AL29" s="46" t="s">
        <v>2503</v>
      </c>
      <c r="AM29" s="193">
        <v>-72092.66</v>
      </c>
      <c r="AQ29" s="73" t="s">
        <v>241</v>
      </c>
      <c r="AR29" s="135" t="s">
        <v>2503</v>
      </c>
      <c r="AS29" s="212">
        <v>-84889.22</v>
      </c>
    </row>
    <row r="30" spans="1:45">
      <c r="A30" t="s">
        <v>91</v>
      </c>
      <c r="B30" t="s">
        <v>2504</v>
      </c>
      <c r="C30" s="260">
        <v>-33096.379999999997</v>
      </c>
      <c r="D30" s="260">
        <v>-40912.629999999997</v>
      </c>
      <c r="E30" s="260">
        <v>-40523.409775999986</v>
      </c>
      <c r="F30" s="335">
        <v>-22730.686418000005</v>
      </c>
      <c r="G30" s="83">
        <f t="shared" si="2"/>
        <v>-137263.10619399999</v>
      </c>
      <c r="K30"/>
      <c r="L30"/>
      <c r="M30"/>
      <c r="N30"/>
      <c r="O30"/>
      <c r="P30"/>
      <c r="AG30" s="79" t="s">
        <v>645</v>
      </c>
      <c r="AH30" s="78" t="s">
        <v>2505</v>
      </c>
      <c r="AI30" s="46">
        <f t="shared" si="1"/>
        <v>0</v>
      </c>
      <c r="AK30" s="46" t="s">
        <v>645</v>
      </c>
      <c r="AL30" s="46" t="s">
        <v>2505</v>
      </c>
      <c r="AM30" s="193">
        <v>-343673.29</v>
      </c>
      <c r="AQ30" s="73" t="s">
        <v>645</v>
      </c>
      <c r="AR30" s="135" t="s">
        <v>2505</v>
      </c>
      <c r="AS30" s="212">
        <v>-299778.71000000002</v>
      </c>
    </row>
    <row r="31" spans="1:45">
      <c r="A31" t="s">
        <v>93</v>
      </c>
      <c r="B31" t="s">
        <v>2506</v>
      </c>
      <c r="C31" s="260">
        <v>-1170294.6200000001</v>
      </c>
      <c r="D31" s="260">
        <v>-931076.5</v>
      </c>
      <c r="E31" s="260">
        <v>37736.491105026915</v>
      </c>
      <c r="F31" s="335">
        <v>584662.87111486122</v>
      </c>
      <c r="G31" s="83">
        <f t="shared" si="2"/>
        <v>-1478971.7577801119</v>
      </c>
      <c r="K31"/>
      <c r="L31"/>
      <c r="M31"/>
      <c r="N31"/>
      <c r="O31"/>
      <c r="P31"/>
      <c r="AG31" s="79" t="s">
        <v>207</v>
      </c>
      <c r="AH31" s="78" t="s">
        <v>2507</v>
      </c>
      <c r="AI31" s="46">
        <f t="shared" si="1"/>
        <v>0</v>
      </c>
      <c r="AK31" s="46" t="s">
        <v>207</v>
      </c>
      <c r="AL31" s="46" t="s">
        <v>2507</v>
      </c>
      <c r="AM31" s="193">
        <v>-283635.18</v>
      </c>
      <c r="AQ31" s="73" t="s">
        <v>207</v>
      </c>
      <c r="AR31" s="135" t="s">
        <v>2507</v>
      </c>
      <c r="AS31" s="212">
        <v>411074.72</v>
      </c>
    </row>
    <row r="32" spans="1:45">
      <c r="A32" t="s">
        <v>95</v>
      </c>
      <c r="B32" t="s">
        <v>2508</v>
      </c>
      <c r="C32" s="260">
        <v>-1403428.1</v>
      </c>
      <c r="D32" s="260">
        <v>-1736495.04</v>
      </c>
      <c r="E32" s="260">
        <v>-768268.2621469656</v>
      </c>
      <c r="F32" s="335">
        <v>-512179.25181511603</v>
      </c>
      <c r="G32" s="83">
        <f t="shared" si="2"/>
        <v>-4420370.6539620813</v>
      </c>
      <c r="K32"/>
      <c r="L32"/>
      <c r="M32"/>
      <c r="N32"/>
      <c r="O32"/>
      <c r="P32"/>
      <c r="AG32" s="79" t="s">
        <v>77</v>
      </c>
      <c r="AH32" s="78" t="s">
        <v>2495</v>
      </c>
      <c r="AI32" s="46">
        <f t="shared" si="1"/>
        <v>0</v>
      </c>
      <c r="AK32" s="46" t="s">
        <v>77</v>
      </c>
      <c r="AL32" s="46" t="s">
        <v>2495</v>
      </c>
      <c r="AM32" s="193">
        <v>-447982.62</v>
      </c>
      <c r="AQ32" s="73" t="s">
        <v>77</v>
      </c>
      <c r="AR32" s="135" t="s">
        <v>2495</v>
      </c>
      <c r="AS32" s="212">
        <v>-750646.63</v>
      </c>
    </row>
    <row r="33" spans="1:45">
      <c r="A33" t="s">
        <v>97</v>
      </c>
      <c r="B33" t="s">
        <v>2509</v>
      </c>
      <c r="C33" s="260">
        <v>-437692.2</v>
      </c>
      <c r="D33" s="260">
        <v>-377334.31</v>
      </c>
      <c r="E33" s="260">
        <v>-84571.894191999891</v>
      </c>
      <c r="F33" s="335">
        <v>-380414.14929200034</v>
      </c>
      <c r="G33" s="83">
        <f t="shared" si="2"/>
        <v>-1280012.5534840003</v>
      </c>
      <c r="K33"/>
      <c r="L33"/>
      <c r="M33"/>
      <c r="N33"/>
      <c r="O33"/>
      <c r="P33"/>
      <c r="AG33" s="79" t="s">
        <v>51</v>
      </c>
      <c r="AH33" s="78" t="s">
        <v>2467</v>
      </c>
      <c r="AI33" s="46">
        <f t="shared" si="1"/>
        <v>0</v>
      </c>
      <c r="AK33" s="46" t="s">
        <v>51</v>
      </c>
      <c r="AL33" s="46" t="s">
        <v>2467</v>
      </c>
      <c r="AM33" s="193">
        <v>-240651.93</v>
      </c>
      <c r="AQ33" s="73" t="s">
        <v>51</v>
      </c>
      <c r="AR33" s="135" t="s">
        <v>2467</v>
      </c>
      <c r="AS33" s="212">
        <v>-208995.77</v>
      </c>
    </row>
    <row r="34" spans="1:45">
      <c r="A34" t="s">
        <v>99</v>
      </c>
      <c r="B34" t="s">
        <v>2510</v>
      </c>
      <c r="C34" s="260">
        <v>-206126.02</v>
      </c>
      <c r="D34" s="260">
        <v>-217487.89</v>
      </c>
      <c r="E34" s="260">
        <v>-9375.60752399989</v>
      </c>
      <c r="F34" s="335">
        <v>103291.47607000009</v>
      </c>
      <c r="G34" s="83">
        <f t="shared" si="2"/>
        <v>-329698.04145399982</v>
      </c>
      <c r="K34"/>
      <c r="L34"/>
      <c r="M34"/>
      <c r="N34"/>
      <c r="O34"/>
      <c r="P34"/>
      <c r="AG34" s="79" t="s">
        <v>501</v>
      </c>
      <c r="AH34" s="78" t="s">
        <v>2511</v>
      </c>
      <c r="AI34" s="46">
        <f t="shared" si="1"/>
        <v>0</v>
      </c>
      <c r="AK34" s="46" t="s">
        <v>501</v>
      </c>
      <c r="AL34" s="46" t="s">
        <v>2511</v>
      </c>
      <c r="AM34" s="193">
        <v>-51714.83</v>
      </c>
      <c r="AQ34" s="73" t="s">
        <v>501</v>
      </c>
      <c r="AR34" s="135" t="s">
        <v>2511</v>
      </c>
      <c r="AS34" s="212">
        <v>-24225.64</v>
      </c>
    </row>
    <row r="35" spans="1:45">
      <c r="A35" t="s">
        <v>101</v>
      </c>
      <c r="B35" t="s">
        <v>2512</v>
      </c>
      <c r="C35" s="260">
        <v>-492145.03</v>
      </c>
      <c r="D35" s="260">
        <v>-643208.19999999995</v>
      </c>
      <c r="E35" s="260">
        <v>-709933.112035</v>
      </c>
      <c r="F35" s="335">
        <v>-14194.510954023339</v>
      </c>
      <c r="G35" s="83">
        <f t="shared" si="2"/>
        <v>-1859480.8529890233</v>
      </c>
      <c r="K35"/>
      <c r="L35"/>
      <c r="M35"/>
      <c r="N35"/>
      <c r="O35"/>
      <c r="P35"/>
      <c r="AG35" s="79" t="s">
        <v>151</v>
      </c>
      <c r="AH35" s="78" t="s">
        <v>2513</v>
      </c>
      <c r="AI35" s="46">
        <f t="shared" si="1"/>
        <v>0</v>
      </c>
      <c r="AK35" s="46" t="s">
        <v>151</v>
      </c>
      <c r="AL35" s="46" t="s">
        <v>2513</v>
      </c>
      <c r="AM35" s="193">
        <v>-99863.3</v>
      </c>
      <c r="AQ35" s="73" t="s">
        <v>151</v>
      </c>
      <c r="AR35" s="135" t="s">
        <v>2513</v>
      </c>
      <c r="AS35" s="212">
        <v>-77398.2</v>
      </c>
    </row>
    <row r="36" spans="1:45">
      <c r="A36" t="s">
        <v>103</v>
      </c>
      <c r="B36" t="s">
        <v>2514</v>
      </c>
      <c r="C36" s="260">
        <v>-72329.070000000007</v>
      </c>
      <c r="D36" s="260">
        <v>-4469.66</v>
      </c>
      <c r="E36" s="260">
        <v>-20405.357927999979</v>
      </c>
      <c r="F36" s="335">
        <v>-16929.178593769262</v>
      </c>
      <c r="G36" s="83">
        <f t="shared" si="2"/>
        <v>-114133.26652176926</v>
      </c>
      <c r="K36"/>
      <c r="L36"/>
      <c r="M36"/>
      <c r="N36"/>
      <c r="O36"/>
      <c r="P36"/>
      <c r="AG36" s="79" t="s">
        <v>309</v>
      </c>
      <c r="AH36" s="78" t="s">
        <v>2515</v>
      </c>
      <c r="AI36" s="46">
        <f t="shared" si="1"/>
        <v>0</v>
      </c>
      <c r="AK36" s="46" t="s">
        <v>309</v>
      </c>
      <c r="AL36" s="46" t="s">
        <v>2515</v>
      </c>
      <c r="AM36" s="193">
        <v>-363877.95</v>
      </c>
      <c r="AQ36" s="73" t="s">
        <v>309</v>
      </c>
      <c r="AR36" s="135" t="s">
        <v>2515</v>
      </c>
      <c r="AS36" s="212">
        <v>-177093.74</v>
      </c>
    </row>
    <row r="37" spans="1:45">
      <c r="A37" s="361" t="s">
        <v>105</v>
      </c>
      <c r="B37" s="356" t="s">
        <v>106</v>
      </c>
      <c r="C37" s="260"/>
      <c r="D37" s="260"/>
      <c r="E37" s="260"/>
      <c r="F37" s="335"/>
      <c r="G37" s="83"/>
      <c r="K37"/>
      <c r="L37"/>
      <c r="M37"/>
      <c r="N37"/>
      <c r="O37"/>
      <c r="P37"/>
      <c r="AG37" s="79" t="s">
        <v>613</v>
      </c>
      <c r="AH37" s="78" t="s">
        <v>2516</v>
      </c>
      <c r="AI37" s="46">
        <f t="shared" si="1"/>
        <v>0</v>
      </c>
      <c r="AK37" s="46" t="s">
        <v>613</v>
      </c>
      <c r="AL37" s="46" t="s">
        <v>2516</v>
      </c>
      <c r="AM37" s="193">
        <v>-86449.07</v>
      </c>
      <c r="AQ37" s="73" t="s">
        <v>613</v>
      </c>
      <c r="AR37" s="135" t="s">
        <v>2516</v>
      </c>
      <c r="AS37" s="212">
        <v>-108328.2</v>
      </c>
    </row>
    <row r="38" spans="1:45">
      <c r="A38" t="s">
        <v>107</v>
      </c>
      <c r="B38" t="s">
        <v>2517</v>
      </c>
      <c r="C38" s="260">
        <v>-210675.51</v>
      </c>
      <c r="D38" s="260">
        <v>-219153.48</v>
      </c>
      <c r="E38" s="260">
        <v>-285151.61338900006</v>
      </c>
      <c r="F38" s="335">
        <v>-229921.42109599995</v>
      </c>
      <c r="G38" s="83">
        <f t="shared" ref="G38:G56" si="3">SUM(C38:F38)</f>
        <v>-944902.02448499994</v>
      </c>
      <c r="K38"/>
      <c r="L38"/>
      <c r="M38"/>
      <c r="N38"/>
      <c r="O38"/>
      <c r="P38"/>
      <c r="AG38" s="79" t="s">
        <v>87</v>
      </c>
      <c r="AH38" s="78" t="s">
        <v>2501</v>
      </c>
      <c r="AI38" s="46">
        <f t="shared" si="1"/>
        <v>0</v>
      </c>
      <c r="AK38" s="46" t="s">
        <v>87</v>
      </c>
      <c r="AL38" s="46" t="s">
        <v>2501</v>
      </c>
      <c r="AM38" s="193">
        <v>-185153.13</v>
      </c>
      <c r="AQ38" s="73" t="s">
        <v>87</v>
      </c>
      <c r="AR38" s="135" t="s">
        <v>2501</v>
      </c>
      <c r="AS38" s="212">
        <v>-128129.53</v>
      </c>
    </row>
    <row r="39" spans="1:45">
      <c r="A39" t="s">
        <v>109</v>
      </c>
      <c r="B39" t="s">
        <v>2459</v>
      </c>
      <c r="C39" s="260">
        <v>-313340.96000000002</v>
      </c>
      <c r="D39" s="260">
        <v>-424904.4</v>
      </c>
      <c r="E39" s="260">
        <v>-243992.40708726351</v>
      </c>
      <c r="F39" s="335">
        <v>4300.6206054862123</v>
      </c>
      <c r="G39" s="83">
        <f t="shared" si="3"/>
        <v>-977937.14648177742</v>
      </c>
      <c r="K39"/>
      <c r="L39"/>
      <c r="M39"/>
      <c r="N39"/>
      <c r="O39"/>
      <c r="P39"/>
      <c r="AG39" s="79" t="s">
        <v>271</v>
      </c>
      <c r="AH39" s="78" t="s">
        <v>2518</v>
      </c>
      <c r="AI39" s="46">
        <f t="shared" si="1"/>
        <v>0</v>
      </c>
      <c r="AK39" s="46" t="s">
        <v>271</v>
      </c>
      <c r="AL39" s="46" t="s">
        <v>2518</v>
      </c>
      <c r="AM39" s="193">
        <v>-45003.77</v>
      </c>
      <c r="AQ39" s="73" t="s">
        <v>271</v>
      </c>
      <c r="AR39" s="135" t="s">
        <v>2518</v>
      </c>
      <c r="AS39" s="212">
        <v>-65498.96</v>
      </c>
    </row>
    <row r="40" spans="1:45">
      <c r="A40" t="s">
        <v>111</v>
      </c>
      <c r="B40" t="s">
        <v>112</v>
      </c>
      <c r="C40" s="260">
        <v>-135007.18</v>
      </c>
      <c r="D40" s="260">
        <v>-121144.18</v>
      </c>
      <c r="E40" s="260">
        <v>-157286.72141</v>
      </c>
      <c r="F40" s="335">
        <v>-27429.351870000013</v>
      </c>
      <c r="G40" s="83">
        <f t="shared" si="3"/>
        <v>-440867.43328</v>
      </c>
      <c r="K40"/>
      <c r="L40"/>
      <c r="M40"/>
      <c r="N40"/>
      <c r="O40"/>
      <c r="P40"/>
      <c r="AG40" s="79" t="s">
        <v>681</v>
      </c>
      <c r="AH40" s="78" t="s">
        <v>2519</v>
      </c>
      <c r="AI40" s="46">
        <f t="shared" si="1"/>
        <v>0</v>
      </c>
      <c r="AK40" s="46" t="s">
        <v>681</v>
      </c>
      <c r="AL40" s="46" t="s">
        <v>2519</v>
      </c>
      <c r="AM40" s="193">
        <v>-305555.77</v>
      </c>
      <c r="AQ40" s="73" t="s">
        <v>681</v>
      </c>
      <c r="AR40" s="135" t="s">
        <v>2519</v>
      </c>
      <c r="AS40" s="212">
        <v>-377773.06</v>
      </c>
    </row>
    <row r="41" spans="1:45">
      <c r="A41" t="s">
        <v>113</v>
      </c>
      <c r="B41" t="s">
        <v>2520</v>
      </c>
      <c r="C41" s="260">
        <v>-877466.15</v>
      </c>
      <c r="D41" s="260">
        <v>-893526.09</v>
      </c>
      <c r="E41" s="260">
        <v>-1161984.695860133</v>
      </c>
      <c r="F41" s="335">
        <v>960674.79149643332</v>
      </c>
      <c r="G41" s="83">
        <f t="shared" si="3"/>
        <v>-1972302.1443636995</v>
      </c>
      <c r="K41"/>
      <c r="L41"/>
      <c r="M41"/>
      <c r="N41"/>
      <c r="O41"/>
      <c r="P41"/>
      <c r="AG41" s="79" t="s">
        <v>275</v>
      </c>
      <c r="AH41" s="78" t="s">
        <v>2521</v>
      </c>
      <c r="AI41" s="46">
        <f t="shared" si="1"/>
        <v>0</v>
      </c>
      <c r="AK41" s="46" t="s">
        <v>275</v>
      </c>
      <c r="AL41" s="46" t="s">
        <v>2521</v>
      </c>
      <c r="AM41" s="193">
        <v>-556013.54</v>
      </c>
      <c r="AQ41" s="73" t="s">
        <v>275</v>
      </c>
      <c r="AR41" s="135" t="s">
        <v>2521</v>
      </c>
      <c r="AS41" s="212">
        <v>-251728.97</v>
      </c>
    </row>
    <row r="42" spans="1:45">
      <c r="A42" t="s">
        <v>115</v>
      </c>
      <c r="B42" t="s">
        <v>2522</v>
      </c>
      <c r="C42" s="260">
        <v>-27392.74</v>
      </c>
      <c r="D42" s="260">
        <v>-22911.58</v>
      </c>
      <c r="E42" s="260">
        <v>-32255.719478000014</v>
      </c>
      <c r="F42" s="335">
        <v>13798.667935999925</v>
      </c>
      <c r="G42" s="83">
        <f t="shared" si="3"/>
        <v>-68761.371542000095</v>
      </c>
      <c r="K42"/>
      <c r="L42"/>
      <c r="M42"/>
      <c r="N42"/>
      <c r="O42"/>
      <c r="P42"/>
      <c r="AG42" s="79" t="s">
        <v>429</v>
      </c>
      <c r="AH42" s="78" t="s">
        <v>2523</v>
      </c>
      <c r="AI42" s="46">
        <f t="shared" si="1"/>
        <v>0</v>
      </c>
      <c r="AK42" s="46" t="s">
        <v>429</v>
      </c>
      <c r="AL42" s="46" t="s">
        <v>2523</v>
      </c>
      <c r="AM42" s="193">
        <v>-31331.37</v>
      </c>
      <c r="AQ42" s="73" t="s">
        <v>429</v>
      </c>
      <c r="AR42" s="135" t="s">
        <v>2523</v>
      </c>
      <c r="AS42" s="212">
        <v>720.84</v>
      </c>
    </row>
    <row r="43" spans="1:45">
      <c r="A43" t="s">
        <v>117</v>
      </c>
      <c r="B43" t="s">
        <v>2524</v>
      </c>
      <c r="C43" s="260">
        <v>-113057.34</v>
      </c>
      <c r="D43" s="260">
        <v>-183460.52</v>
      </c>
      <c r="E43" s="260">
        <v>-20310.11281900006</v>
      </c>
      <c r="F43" s="335">
        <v>-31512.722603999893</v>
      </c>
      <c r="G43" s="83">
        <f t="shared" si="3"/>
        <v>-348340.69542299991</v>
      </c>
      <c r="K43"/>
      <c r="L43"/>
      <c r="M43"/>
      <c r="N43"/>
      <c r="O43"/>
      <c r="P43"/>
      <c r="AG43" s="79" t="s">
        <v>71</v>
      </c>
      <c r="AH43" s="78" t="s">
        <v>2490</v>
      </c>
      <c r="AI43" s="46">
        <f t="shared" si="1"/>
        <v>0</v>
      </c>
      <c r="AK43" s="46" t="s">
        <v>71</v>
      </c>
      <c r="AL43" s="46" t="s">
        <v>2490</v>
      </c>
      <c r="AM43" s="193">
        <v>-307411.34000000003</v>
      </c>
      <c r="AQ43" s="73" t="s">
        <v>71</v>
      </c>
      <c r="AR43" s="135" t="s">
        <v>2490</v>
      </c>
      <c r="AS43" s="212">
        <v>-184809.25</v>
      </c>
    </row>
    <row r="44" spans="1:45">
      <c r="A44" t="s">
        <v>119</v>
      </c>
      <c r="B44" t="s">
        <v>2525</v>
      </c>
      <c r="C44" s="260">
        <v>-69231.66</v>
      </c>
      <c r="D44" s="260">
        <v>-74197.66</v>
      </c>
      <c r="E44" s="260">
        <v>-75401.882950000014</v>
      </c>
      <c r="F44" s="335">
        <v>-65895.340579999989</v>
      </c>
      <c r="G44" s="83">
        <f t="shared" si="3"/>
        <v>-284726.54353000002</v>
      </c>
      <c r="K44"/>
      <c r="L44"/>
      <c r="M44"/>
      <c r="N44"/>
      <c r="O44"/>
      <c r="P44"/>
      <c r="AG44" s="79" t="s">
        <v>437</v>
      </c>
      <c r="AH44" s="78" t="s">
        <v>2526</v>
      </c>
      <c r="AI44" s="46">
        <f t="shared" si="1"/>
        <v>0</v>
      </c>
      <c r="AK44" s="46" t="s">
        <v>437</v>
      </c>
      <c r="AL44" s="46" t="s">
        <v>2526</v>
      </c>
      <c r="AM44" s="193">
        <v>-22035.62</v>
      </c>
      <c r="AQ44" s="73" t="s">
        <v>437</v>
      </c>
      <c r="AR44" s="135" t="s">
        <v>2526</v>
      </c>
      <c r="AS44" s="212">
        <v>-2891.28</v>
      </c>
    </row>
    <row r="45" spans="1:45">
      <c r="A45" t="s">
        <v>121</v>
      </c>
      <c r="B45" t="s">
        <v>2527</v>
      </c>
      <c r="C45" s="260">
        <v>-77022.33</v>
      </c>
      <c r="D45" s="260">
        <v>-104954.41</v>
      </c>
      <c r="E45" s="260">
        <v>-80771.504064000008</v>
      </c>
      <c r="F45" s="335">
        <v>-51633.776908</v>
      </c>
      <c r="G45" s="83">
        <f t="shared" si="3"/>
        <v>-314382.02097199997</v>
      </c>
      <c r="K45"/>
      <c r="L45"/>
      <c r="M45"/>
      <c r="N45"/>
      <c r="O45"/>
      <c r="P45"/>
      <c r="AG45" s="79" t="s">
        <v>163</v>
      </c>
      <c r="AH45" s="78" t="s">
        <v>2528</v>
      </c>
      <c r="AI45" s="46">
        <f t="shared" si="1"/>
        <v>0</v>
      </c>
      <c r="AK45" s="46" t="s">
        <v>163</v>
      </c>
      <c r="AL45" s="46" t="s">
        <v>2528</v>
      </c>
      <c r="AM45" s="193">
        <v>11880.28</v>
      </c>
      <c r="AQ45" s="73" t="s">
        <v>163</v>
      </c>
      <c r="AR45" s="135" t="s">
        <v>2528</v>
      </c>
      <c r="AS45" s="212">
        <v>-76748.710000000006</v>
      </c>
    </row>
    <row r="46" spans="1:45">
      <c r="A46" t="s">
        <v>123</v>
      </c>
      <c r="B46" t="s">
        <v>2529</v>
      </c>
      <c r="C46" s="260">
        <v>-126911.63</v>
      </c>
      <c r="D46" s="260">
        <v>-152854.24</v>
      </c>
      <c r="E46" s="260">
        <v>-103647.60709200001</v>
      </c>
      <c r="F46" s="335">
        <v>-63366.330780000018</v>
      </c>
      <c r="G46" s="83">
        <f t="shared" si="3"/>
        <v>-446779.80787200003</v>
      </c>
      <c r="K46"/>
      <c r="L46"/>
      <c r="M46"/>
      <c r="N46"/>
      <c r="O46"/>
      <c r="P46"/>
      <c r="AG46" s="79" t="s">
        <v>325</v>
      </c>
      <c r="AH46" s="78" t="s">
        <v>2530</v>
      </c>
      <c r="AI46" s="46">
        <f t="shared" si="1"/>
        <v>0</v>
      </c>
      <c r="AK46" s="46" t="s">
        <v>325</v>
      </c>
      <c r="AL46" s="46" t="s">
        <v>2530</v>
      </c>
      <c r="AM46" s="193">
        <v>-60470.85</v>
      </c>
      <c r="AQ46" s="73" t="s">
        <v>325</v>
      </c>
      <c r="AR46" s="135" t="s">
        <v>2530</v>
      </c>
      <c r="AS46" s="212">
        <v>-79220.160000000003</v>
      </c>
    </row>
    <row r="47" spans="1:45">
      <c r="A47" t="s">
        <v>125</v>
      </c>
      <c r="B47" t="s">
        <v>2531</v>
      </c>
      <c r="C47" s="260">
        <v>-220506.52</v>
      </c>
      <c r="D47" s="260">
        <v>-202805.8</v>
      </c>
      <c r="E47" s="260">
        <v>-250674.77327999996</v>
      </c>
      <c r="F47" s="335">
        <v>-70483.622551999986</v>
      </c>
      <c r="G47" s="83">
        <f t="shared" si="3"/>
        <v>-744470.7158319999</v>
      </c>
      <c r="K47"/>
      <c r="L47"/>
      <c r="M47"/>
      <c r="N47"/>
      <c r="O47"/>
      <c r="P47"/>
      <c r="AG47" s="79" t="s">
        <v>649</v>
      </c>
      <c r="AH47" s="78" t="s">
        <v>2532</v>
      </c>
      <c r="AI47" s="46">
        <f t="shared" si="1"/>
        <v>0</v>
      </c>
      <c r="AK47" s="46" t="s">
        <v>649</v>
      </c>
      <c r="AL47" s="46" t="s">
        <v>2532</v>
      </c>
      <c r="AM47" s="193">
        <v>-57427.89</v>
      </c>
      <c r="AQ47" s="73" t="s">
        <v>649</v>
      </c>
      <c r="AR47" s="135" t="s">
        <v>2532</v>
      </c>
      <c r="AS47" s="212">
        <v>-78947.839999999997</v>
      </c>
    </row>
    <row r="48" spans="1:45">
      <c r="A48" t="s">
        <v>127</v>
      </c>
      <c r="B48" t="s">
        <v>2533</v>
      </c>
      <c r="C48" s="260">
        <v>-113225.39</v>
      </c>
      <c r="D48" s="260">
        <v>-83135.990000000005</v>
      </c>
      <c r="E48" s="260">
        <v>-32367.019435000082</v>
      </c>
      <c r="F48" s="335">
        <v>-176086.9775119999</v>
      </c>
      <c r="G48" s="83">
        <f t="shared" si="3"/>
        <v>-404815.37694699998</v>
      </c>
      <c r="K48"/>
      <c r="L48"/>
      <c r="M48"/>
      <c r="N48"/>
      <c r="O48"/>
      <c r="P48"/>
      <c r="AG48" s="79" t="s">
        <v>273</v>
      </c>
      <c r="AH48" s="78" t="s">
        <v>2534</v>
      </c>
      <c r="AI48" s="46">
        <f t="shared" si="1"/>
        <v>0</v>
      </c>
      <c r="AK48" s="46" t="s">
        <v>273</v>
      </c>
      <c r="AL48" s="46" t="s">
        <v>2534</v>
      </c>
      <c r="AM48" s="193">
        <v>-86252.62</v>
      </c>
      <c r="AQ48" s="73" t="s">
        <v>273</v>
      </c>
      <c r="AR48" s="135" t="s">
        <v>2534</v>
      </c>
      <c r="AS48" s="212">
        <v>-86505.2</v>
      </c>
    </row>
    <row r="49" spans="1:45">
      <c r="A49" t="s">
        <v>129</v>
      </c>
      <c r="B49" t="s">
        <v>2535</v>
      </c>
      <c r="C49" s="260">
        <v>-75883.3</v>
      </c>
      <c r="D49" s="260">
        <v>-73004.289999999994</v>
      </c>
      <c r="E49" s="260">
        <v>-56069.170740000023</v>
      </c>
      <c r="F49" s="335">
        <v>-7705.0812720000395</v>
      </c>
      <c r="G49" s="83">
        <f t="shared" si="3"/>
        <v>-212661.84201200007</v>
      </c>
      <c r="K49"/>
      <c r="L49"/>
      <c r="M49"/>
      <c r="N49"/>
      <c r="O49"/>
      <c r="P49"/>
      <c r="AG49" s="79" t="s">
        <v>141</v>
      </c>
      <c r="AH49" s="78" t="s">
        <v>2536</v>
      </c>
      <c r="AI49" s="46">
        <f t="shared" si="1"/>
        <v>0</v>
      </c>
      <c r="AK49" s="46" t="s">
        <v>141</v>
      </c>
      <c r="AL49" s="46" t="s">
        <v>2536</v>
      </c>
      <c r="AM49" s="193">
        <v>-89054.6</v>
      </c>
      <c r="AQ49" s="73" t="s">
        <v>141</v>
      </c>
      <c r="AR49" s="135" t="s">
        <v>2536</v>
      </c>
      <c r="AS49" s="212">
        <v>-107093.03</v>
      </c>
    </row>
    <row r="50" spans="1:45">
      <c r="A50" t="s">
        <v>131</v>
      </c>
      <c r="B50" t="s">
        <v>2537</v>
      </c>
      <c r="C50" s="260">
        <v>-15316.92</v>
      </c>
      <c r="D50" s="260">
        <v>-14523.54</v>
      </c>
      <c r="E50" s="260">
        <v>-45048.534979999997</v>
      </c>
      <c r="F50" s="335">
        <v>-68640.378393000006</v>
      </c>
      <c r="G50" s="83">
        <f t="shared" si="3"/>
        <v>-143529.37337300001</v>
      </c>
      <c r="K50"/>
      <c r="L50"/>
      <c r="M50"/>
      <c r="N50"/>
      <c r="O50"/>
      <c r="P50"/>
      <c r="AG50" s="79" t="s">
        <v>427</v>
      </c>
      <c r="AH50" s="78" t="s">
        <v>2538</v>
      </c>
      <c r="AI50" s="46">
        <f t="shared" si="1"/>
        <v>0</v>
      </c>
      <c r="AK50" s="46" t="s">
        <v>427</v>
      </c>
      <c r="AL50" s="46" t="s">
        <v>2538</v>
      </c>
      <c r="AM50" s="193">
        <v>-30041.47</v>
      </c>
      <c r="AQ50" s="73" t="s">
        <v>427</v>
      </c>
      <c r="AR50" s="135" t="s">
        <v>2538</v>
      </c>
      <c r="AS50" s="212">
        <v>-37285.480000000003</v>
      </c>
    </row>
    <row r="51" spans="1:45">
      <c r="A51" t="s">
        <v>133</v>
      </c>
      <c r="B51" t="s">
        <v>134</v>
      </c>
      <c r="C51" s="260">
        <v>-70255.05</v>
      </c>
      <c r="D51" s="260">
        <v>-55592.639999999999</v>
      </c>
      <c r="E51" s="260">
        <v>-82055.274049</v>
      </c>
      <c r="F51" s="335">
        <v>-36698.316528000054</v>
      </c>
      <c r="G51" s="83">
        <f t="shared" si="3"/>
        <v>-244601.28057700006</v>
      </c>
      <c r="K51"/>
      <c r="L51"/>
      <c r="M51"/>
      <c r="N51"/>
      <c r="O51"/>
      <c r="P51"/>
      <c r="AG51" s="79" t="s">
        <v>263</v>
      </c>
      <c r="AH51" s="78" t="s">
        <v>2539</v>
      </c>
      <c r="AI51" s="46">
        <f t="shared" si="1"/>
        <v>0</v>
      </c>
      <c r="AK51" s="46" t="s">
        <v>263</v>
      </c>
      <c r="AL51" s="46" t="s">
        <v>2539</v>
      </c>
      <c r="AM51" s="193">
        <v>-119572.23</v>
      </c>
      <c r="AQ51" s="73" t="s">
        <v>263</v>
      </c>
      <c r="AR51" s="135" t="s">
        <v>2539</v>
      </c>
      <c r="AS51" s="212">
        <v>-91767.8</v>
      </c>
    </row>
    <row r="52" spans="1:45">
      <c r="A52" t="s">
        <v>135</v>
      </c>
      <c r="B52" t="s">
        <v>2540</v>
      </c>
      <c r="C52" s="260">
        <v>-51119.51</v>
      </c>
      <c r="D52" s="260">
        <v>-497030.45</v>
      </c>
      <c r="E52" s="260">
        <v>95322.708558000115</v>
      </c>
      <c r="F52" s="335">
        <v>-266677.33352499991</v>
      </c>
      <c r="G52" s="83">
        <f t="shared" si="3"/>
        <v>-719504.58496699971</v>
      </c>
      <c r="K52"/>
      <c r="L52"/>
      <c r="M52"/>
      <c r="N52"/>
      <c r="O52"/>
      <c r="P52"/>
      <c r="AG52" s="79" t="s">
        <v>497</v>
      </c>
      <c r="AH52" s="78" t="s">
        <v>2541</v>
      </c>
      <c r="AI52" s="46">
        <f t="shared" si="1"/>
        <v>0</v>
      </c>
      <c r="AK52" s="46" t="s">
        <v>497</v>
      </c>
      <c r="AL52" s="46" t="s">
        <v>2541</v>
      </c>
      <c r="AM52" s="193">
        <v>-202433.52</v>
      </c>
      <c r="AQ52" s="73" t="s">
        <v>497</v>
      </c>
      <c r="AR52" s="135" t="s">
        <v>2541</v>
      </c>
      <c r="AS52" s="212">
        <v>-159167.43</v>
      </c>
    </row>
    <row r="53" spans="1:45">
      <c r="A53" t="s">
        <v>137</v>
      </c>
      <c r="B53" t="s">
        <v>2493</v>
      </c>
      <c r="C53" s="260">
        <v>-59222.16</v>
      </c>
      <c r="D53" s="260">
        <v>-94316.31</v>
      </c>
      <c r="E53" s="260">
        <v>-87851.174980999975</v>
      </c>
      <c r="F53" s="335">
        <v>-82307.59577999996</v>
      </c>
      <c r="G53" s="83">
        <f t="shared" si="3"/>
        <v>-323697.24076099996</v>
      </c>
      <c r="K53"/>
      <c r="L53"/>
      <c r="M53"/>
      <c r="N53"/>
      <c r="O53"/>
      <c r="P53"/>
      <c r="AG53" s="79" t="s">
        <v>441</v>
      </c>
      <c r="AH53" s="78" t="s">
        <v>2542</v>
      </c>
      <c r="AI53" s="46">
        <f t="shared" si="1"/>
        <v>0</v>
      </c>
      <c r="AK53" s="46" t="s">
        <v>441</v>
      </c>
      <c r="AL53" s="46" t="s">
        <v>2542</v>
      </c>
      <c r="AM53" s="193">
        <v>555688.07999999996</v>
      </c>
      <c r="AQ53" s="73" t="s">
        <v>441</v>
      </c>
      <c r="AR53" s="135" t="s">
        <v>2542</v>
      </c>
      <c r="AS53" s="212">
        <v>-530087.9</v>
      </c>
    </row>
    <row r="54" spans="1:45">
      <c r="A54" t="s">
        <v>139</v>
      </c>
      <c r="B54" t="s">
        <v>2543</v>
      </c>
      <c r="C54" s="260">
        <v>-62398.45</v>
      </c>
      <c r="D54" s="260">
        <v>-59115.23</v>
      </c>
      <c r="E54" s="260">
        <v>-43688.142480000017</v>
      </c>
      <c r="F54" s="335">
        <v>-63594.796249999999</v>
      </c>
      <c r="G54" s="83">
        <f t="shared" si="3"/>
        <v>-228796.61872999999</v>
      </c>
      <c r="K54"/>
      <c r="L54"/>
      <c r="M54"/>
      <c r="N54"/>
      <c r="O54"/>
      <c r="P54"/>
      <c r="AG54" s="79" t="s">
        <v>387</v>
      </c>
      <c r="AH54" s="78" t="s">
        <v>2544</v>
      </c>
      <c r="AI54" s="46">
        <f t="shared" si="1"/>
        <v>0</v>
      </c>
      <c r="AK54" s="46" t="s">
        <v>387</v>
      </c>
      <c r="AL54" s="46" t="s">
        <v>2544</v>
      </c>
      <c r="AM54" s="193">
        <v>-49065.52</v>
      </c>
      <c r="AQ54" s="73" t="s">
        <v>387</v>
      </c>
      <c r="AR54" s="135" t="s">
        <v>2544</v>
      </c>
      <c r="AS54" s="212">
        <v>-117439.2</v>
      </c>
    </row>
    <row r="55" spans="1:45">
      <c r="A55" t="s">
        <v>141</v>
      </c>
      <c r="B55" t="s">
        <v>2536</v>
      </c>
      <c r="C55" s="260">
        <v>-89054.6</v>
      </c>
      <c r="D55" s="260">
        <v>-107093.03</v>
      </c>
      <c r="E55" s="260">
        <v>-94350.827174999984</v>
      </c>
      <c r="F55" s="335">
        <v>-61212.27057600001</v>
      </c>
      <c r="G55" s="83">
        <f t="shared" si="3"/>
        <v>-351710.72775099997</v>
      </c>
      <c r="K55"/>
      <c r="L55"/>
      <c r="M55"/>
      <c r="N55"/>
      <c r="O55"/>
      <c r="P55"/>
      <c r="AG55" s="79" t="s">
        <v>269</v>
      </c>
      <c r="AH55" s="78" t="s">
        <v>2545</v>
      </c>
      <c r="AI55" s="46">
        <f t="shared" si="1"/>
        <v>0</v>
      </c>
      <c r="AK55" s="46" t="s">
        <v>269</v>
      </c>
      <c r="AL55" s="46" t="s">
        <v>2545</v>
      </c>
      <c r="AM55" s="193">
        <v>-38899.71</v>
      </c>
      <c r="AQ55" s="73" t="s">
        <v>269</v>
      </c>
      <c r="AR55" s="135" t="s">
        <v>2545</v>
      </c>
      <c r="AS55" s="212">
        <v>-47035.65</v>
      </c>
    </row>
    <row r="56" spans="1:45">
      <c r="A56" t="s">
        <v>143</v>
      </c>
      <c r="B56" t="s">
        <v>2546</v>
      </c>
      <c r="C56" s="260">
        <v>-73833.460000000006</v>
      </c>
      <c r="D56" s="260">
        <v>-55917.57</v>
      </c>
      <c r="E56" s="260">
        <v>-79639.347268000012</v>
      </c>
      <c r="F56" s="335">
        <v>-83731.017324000015</v>
      </c>
      <c r="G56" s="83">
        <f t="shared" si="3"/>
        <v>-293121.39459200006</v>
      </c>
      <c r="K56"/>
      <c r="L56"/>
      <c r="M56"/>
      <c r="N56"/>
      <c r="O56"/>
      <c r="P56"/>
      <c r="AG56" s="79" t="s">
        <v>455</v>
      </c>
      <c r="AH56" s="78" t="s">
        <v>2547</v>
      </c>
      <c r="AI56" s="46">
        <f t="shared" si="1"/>
        <v>0</v>
      </c>
      <c r="AK56" s="46" t="s">
        <v>455</v>
      </c>
      <c r="AL56" s="46" t="s">
        <v>2547</v>
      </c>
      <c r="AM56" s="193">
        <v>-66877.39</v>
      </c>
      <c r="AQ56" s="73" t="s">
        <v>455</v>
      </c>
      <c r="AR56" s="135" t="s">
        <v>2547</v>
      </c>
      <c r="AS56" s="212">
        <v>-76110.509999999995</v>
      </c>
    </row>
    <row r="57" spans="1:45">
      <c r="A57" s="359" t="s">
        <v>145</v>
      </c>
      <c r="B57" s="360" t="s">
        <v>146</v>
      </c>
      <c r="C57" s="260"/>
      <c r="D57" s="260"/>
      <c r="E57" s="260"/>
      <c r="F57" s="335"/>
      <c r="G57" s="83"/>
      <c r="K57"/>
      <c r="L57"/>
      <c r="M57"/>
      <c r="N57"/>
      <c r="O57"/>
      <c r="P57"/>
      <c r="AG57" s="79" t="s">
        <v>635</v>
      </c>
      <c r="AH57" s="78" t="s">
        <v>2548</v>
      </c>
      <c r="AI57" s="46">
        <f t="shared" si="1"/>
        <v>0</v>
      </c>
      <c r="AK57" s="46" t="s">
        <v>635</v>
      </c>
      <c r="AL57" s="46" t="s">
        <v>2548</v>
      </c>
      <c r="AM57" s="193">
        <v>-92415.82</v>
      </c>
      <c r="AQ57" s="73" t="s">
        <v>635</v>
      </c>
      <c r="AR57" s="135" t="s">
        <v>2548</v>
      </c>
      <c r="AS57" s="212">
        <v>248434.76</v>
      </c>
    </row>
    <row r="58" spans="1:45">
      <c r="A58" t="s">
        <v>147</v>
      </c>
      <c r="B58" t="s">
        <v>2549</v>
      </c>
      <c r="C58" s="260">
        <v>-56200.95</v>
      </c>
      <c r="D58" s="260">
        <v>-54191.839999999997</v>
      </c>
      <c r="E58" s="260">
        <v>-46922.007001999969</v>
      </c>
      <c r="F58" s="335">
        <v>-38158.24188799999</v>
      </c>
      <c r="G58" s="83">
        <f t="shared" ref="G58:G75" si="4">SUM(C58:F58)</f>
        <v>-195473.03888999997</v>
      </c>
      <c r="K58"/>
      <c r="L58"/>
      <c r="M58"/>
      <c r="N58"/>
      <c r="O58"/>
      <c r="P58"/>
      <c r="AG58" s="79" t="s">
        <v>483</v>
      </c>
      <c r="AH58" s="78" t="s">
        <v>2550</v>
      </c>
      <c r="AI58" s="46">
        <f t="shared" si="1"/>
        <v>0</v>
      </c>
      <c r="AK58" s="46" t="s">
        <v>483</v>
      </c>
      <c r="AL58" s="46" t="s">
        <v>2550</v>
      </c>
      <c r="AM58" s="193">
        <v>-298716.82</v>
      </c>
      <c r="AQ58" s="73" t="s">
        <v>483</v>
      </c>
      <c r="AR58" s="135" t="s">
        <v>2550</v>
      </c>
      <c r="AS58" s="212">
        <v>-263886.27</v>
      </c>
    </row>
    <row r="59" spans="1:45">
      <c r="A59" t="s">
        <v>149</v>
      </c>
      <c r="B59" t="s">
        <v>2551</v>
      </c>
      <c r="C59" s="260">
        <v>-51747.71</v>
      </c>
      <c r="D59" s="260">
        <v>-95831.63</v>
      </c>
      <c r="E59" s="260">
        <v>10729.784559999942</v>
      </c>
      <c r="F59" s="335">
        <v>416.53333199996268</v>
      </c>
      <c r="G59" s="83">
        <f t="shared" si="4"/>
        <v>-136433.02210800009</v>
      </c>
      <c r="K59"/>
      <c r="L59"/>
      <c r="M59"/>
      <c r="N59"/>
      <c r="O59"/>
      <c r="P59"/>
      <c r="AG59" s="79" t="s">
        <v>643</v>
      </c>
      <c r="AH59" s="78" t="s">
        <v>2552</v>
      </c>
      <c r="AI59" s="46">
        <f t="shared" si="1"/>
        <v>0</v>
      </c>
      <c r="AK59" s="46" t="s">
        <v>643</v>
      </c>
      <c r="AL59" s="46" t="s">
        <v>2552</v>
      </c>
      <c r="AM59" s="193">
        <v>-26625.59</v>
      </c>
      <c r="AQ59" s="73" t="s">
        <v>643</v>
      </c>
      <c r="AR59" s="135" t="s">
        <v>2552</v>
      </c>
      <c r="AS59" s="212">
        <v>6912.71</v>
      </c>
    </row>
    <row r="60" spans="1:45">
      <c r="A60" t="s">
        <v>151</v>
      </c>
      <c r="B60" t="s">
        <v>2513</v>
      </c>
      <c r="C60" s="260">
        <v>-99863.3</v>
      </c>
      <c r="D60" s="260">
        <v>-77398.2</v>
      </c>
      <c r="E60" s="260">
        <v>-72005.365409999999</v>
      </c>
      <c r="F60" s="335">
        <v>-71530.904385000002</v>
      </c>
      <c r="G60" s="83">
        <f t="shared" si="4"/>
        <v>-320797.76979499997</v>
      </c>
      <c r="K60"/>
      <c r="L60"/>
      <c r="M60"/>
      <c r="N60"/>
      <c r="O60"/>
      <c r="P60"/>
      <c r="AG60" s="79" t="s">
        <v>133</v>
      </c>
      <c r="AH60" s="78" t="s">
        <v>2553</v>
      </c>
      <c r="AI60" s="46">
        <f t="shared" si="1"/>
        <v>0</v>
      </c>
      <c r="AK60" s="46" t="s">
        <v>133</v>
      </c>
      <c r="AL60" s="46" t="s">
        <v>2553</v>
      </c>
      <c r="AM60" s="193">
        <v>-70255.05</v>
      </c>
      <c r="AQ60" s="73" t="s">
        <v>133</v>
      </c>
      <c r="AR60" s="135" t="s">
        <v>2553</v>
      </c>
      <c r="AS60" s="212">
        <v>-55592.639999999999</v>
      </c>
    </row>
    <row r="61" spans="1:45">
      <c r="A61" t="s">
        <v>153</v>
      </c>
      <c r="B61" t="s">
        <v>2554</v>
      </c>
      <c r="C61" s="260">
        <v>-148023.71</v>
      </c>
      <c r="D61" s="260">
        <v>-138048.32000000001</v>
      </c>
      <c r="E61" s="260">
        <v>-94560.841037000035</v>
      </c>
      <c r="F61" s="335">
        <v>207988.88598999986</v>
      </c>
      <c r="G61" s="83">
        <f t="shared" si="4"/>
        <v>-172643.98504700023</v>
      </c>
      <c r="K61"/>
      <c r="L61"/>
      <c r="M61"/>
      <c r="N61"/>
      <c r="O61"/>
      <c r="P61"/>
      <c r="AG61" s="79" t="s">
        <v>545</v>
      </c>
      <c r="AH61" s="78" t="s">
        <v>2555</v>
      </c>
      <c r="AI61" s="46">
        <f t="shared" si="1"/>
        <v>0</v>
      </c>
      <c r="AK61" s="46" t="s">
        <v>545</v>
      </c>
      <c r="AL61" s="46" t="s">
        <v>2555</v>
      </c>
      <c r="AM61" s="193">
        <v>-168878.65</v>
      </c>
      <c r="AQ61" s="73" t="s">
        <v>545</v>
      </c>
      <c r="AR61" s="135" t="s">
        <v>2555</v>
      </c>
      <c r="AS61" s="212">
        <v>-18779.59</v>
      </c>
    </row>
    <row r="62" spans="1:45">
      <c r="A62" t="s">
        <v>155</v>
      </c>
      <c r="B62" t="s">
        <v>2556</v>
      </c>
      <c r="C62" s="260">
        <v>-35529.370000000003</v>
      </c>
      <c r="D62" s="260">
        <v>-58310.36</v>
      </c>
      <c r="E62" s="260">
        <v>-21493.775479999986</v>
      </c>
      <c r="F62" s="335">
        <v>44227.047224000096</v>
      </c>
      <c r="G62" s="83">
        <f t="shared" si="4"/>
        <v>-71106.458255999896</v>
      </c>
      <c r="K62"/>
      <c r="L62"/>
      <c r="M62"/>
      <c r="N62"/>
      <c r="O62"/>
      <c r="P62"/>
      <c r="AG62" s="79" t="s">
        <v>515</v>
      </c>
      <c r="AH62" s="78" t="s">
        <v>2557</v>
      </c>
      <c r="AI62" s="46">
        <f t="shared" si="1"/>
        <v>0</v>
      </c>
      <c r="AK62" s="46" t="s">
        <v>515</v>
      </c>
      <c r="AL62" s="46" t="s">
        <v>2557</v>
      </c>
      <c r="AM62" s="193">
        <v>-130071.37</v>
      </c>
      <c r="AQ62" s="73" t="s">
        <v>515</v>
      </c>
      <c r="AR62" s="135" t="s">
        <v>2557</v>
      </c>
      <c r="AS62" s="212">
        <v>-5501.46</v>
      </c>
    </row>
    <row r="63" spans="1:45">
      <c r="A63" t="s">
        <v>157</v>
      </c>
      <c r="B63" t="s">
        <v>2558</v>
      </c>
      <c r="C63" s="260">
        <v>-46693.15</v>
      </c>
      <c r="D63" s="260">
        <v>-56142.83</v>
      </c>
      <c r="E63" s="260">
        <v>-52168.308032000001</v>
      </c>
      <c r="F63" s="335">
        <v>-57052.240794999991</v>
      </c>
      <c r="G63" s="83">
        <f t="shared" si="4"/>
        <v>-212056.528827</v>
      </c>
      <c r="K63"/>
      <c r="L63"/>
      <c r="M63"/>
      <c r="N63"/>
      <c r="O63"/>
      <c r="P63"/>
      <c r="AG63" s="79" t="s">
        <v>355</v>
      </c>
      <c r="AH63" s="78" t="s">
        <v>2559</v>
      </c>
      <c r="AI63" s="46">
        <f t="shared" si="1"/>
        <v>0</v>
      </c>
      <c r="AK63" s="46" t="s">
        <v>355</v>
      </c>
      <c r="AL63" s="46" t="s">
        <v>2559</v>
      </c>
      <c r="AM63" s="193">
        <v>-767306.53</v>
      </c>
      <c r="AQ63" s="73" t="s">
        <v>355</v>
      </c>
      <c r="AR63" s="135" t="s">
        <v>2559</v>
      </c>
      <c r="AS63" s="212">
        <v>-1101612.05</v>
      </c>
    </row>
    <row r="64" spans="1:45">
      <c r="A64" t="s">
        <v>161</v>
      </c>
      <c r="B64" t="s">
        <v>2560</v>
      </c>
      <c r="C64" s="260">
        <v>129956.29999999999</v>
      </c>
      <c r="D64" s="260">
        <v>-53777.67</v>
      </c>
      <c r="E64" s="260">
        <v>-69285.225171999875</v>
      </c>
      <c r="F64" s="335">
        <v>356303.8603800002</v>
      </c>
      <c r="G64" s="83">
        <f t="shared" si="4"/>
        <v>363197.26520800032</v>
      </c>
      <c r="K64"/>
      <c r="L64"/>
      <c r="M64"/>
      <c r="N64"/>
      <c r="O64"/>
      <c r="P64"/>
      <c r="AG64" s="79" t="s">
        <v>181</v>
      </c>
      <c r="AH64" s="78" t="s">
        <v>2561</v>
      </c>
      <c r="AI64" s="46">
        <f t="shared" si="1"/>
        <v>0</v>
      </c>
      <c r="AK64" s="46" t="s">
        <v>181</v>
      </c>
      <c r="AL64" s="46" t="s">
        <v>2561</v>
      </c>
      <c r="AM64" s="193">
        <v>-198812.45</v>
      </c>
      <c r="AQ64" s="73" t="s">
        <v>181</v>
      </c>
      <c r="AR64" s="135" t="s">
        <v>2561</v>
      </c>
      <c r="AS64" s="212">
        <v>-142465.21</v>
      </c>
    </row>
    <row r="65" spans="1:45">
      <c r="A65" t="s">
        <v>159</v>
      </c>
      <c r="B65" t="s">
        <v>2562</v>
      </c>
      <c r="C65" s="260">
        <v>-336968.26</v>
      </c>
      <c r="D65" s="260">
        <v>-565023.54</v>
      </c>
      <c r="E65" s="260">
        <v>-527263.52337600011</v>
      </c>
      <c r="F65" s="335">
        <v>-249327.71759000001</v>
      </c>
      <c r="G65" s="83">
        <f t="shared" si="4"/>
        <v>-1678583.0409660002</v>
      </c>
      <c r="K65"/>
      <c r="L65"/>
      <c r="M65"/>
      <c r="N65"/>
      <c r="O65"/>
      <c r="P65"/>
      <c r="AG65" s="79" t="s">
        <v>673</v>
      </c>
      <c r="AH65" s="78" t="s">
        <v>2563</v>
      </c>
      <c r="AI65" s="46">
        <f t="shared" si="1"/>
        <v>0</v>
      </c>
      <c r="AK65" s="46" t="s">
        <v>673</v>
      </c>
      <c r="AL65" s="46" t="s">
        <v>2563</v>
      </c>
      <c r="AM65" s="193">
        <v>-55906.86</v>
      </c>
      <c r="AQ65" s="73" t="s">
        <v>673</v>
      </c>
      <c r="AR65" s="135" t="s">
        <v>2563</v>
      </c>
      <c r="AS65" s="212">
        <v>-83908.84</v>
      </c>
    </row>
    <row r="66" spans="1:45">
      <c r="A66" t="s">
        <v>163</v>
      </c>
      <c r="B66" t="s">
        <v>2528</v>
      </c>
      <c r="C66" s="260">
        <v>11880.28</v>
      </c>
      <c r="D66" s="260">
        <v>-76748.710000000006</v>
      </c>
      <c r="E66" s="260">
        <v>226713.38286399975</v>
      </c>
      <c r="F66" s="335">
        <v>409327.07482199976</v>
      </c>
      <c r="G66" s="83">
        <f t="shared" si="4"/>
        <v>571172.02768599952</v>
      </c>
      <c r="K66"/>
      <c r="L66"/>
      <c r="M66"/>
      <c r="N66"/>
      <c r="O66"/>
      <c r="P66"/>
      <c r="AG66" s="79" t="s">
        <v>229</v>
      </c>
      <c r="AH66" s="78" t="s">
        <v>2564</v>
      </c>
      <c r="AI66" s="46">
        <f t="shared" si="1"/>
        <v>0</v>
      </c>
      <c r="AK66" s="46" t="s">
        <v>229</v>
      </c>
      <c r="AL66" s="46" t="s">
        <v>2564</v>
      </c>
      <c r="AM66" s="193">
        <v>-93625.48</v>
      </c>
      <c r="AQ66" s="73" t="s">
        <v>229</v>
      </c>
      <c r="AR66" s="135" t="s">
        <v>2564</v>
      </c>
      <c r="AS66" s="212">
        <v>-100198.66</v>
      </c>
    </row>
    <row r="67" spans="1:45">
      <c r="A67" t="s">
        <v>165</v>
      </c>
      <c r="B67" t="s">
        <v>2565</v>
      </c>
      <c r="C67" s="260">
        <v>-37009.54</v>
      </c>
      <c r="D67" s="260">
        <v>-42305.71</v>
      </c>
      <c r="E67" s="260">
        <v>-91070.628255000018</v>
      </c>
      <c r="F67" s="335">
        <v>-74203.950406000018</v>
      </c>
      <c r="G67" s="83">
        <f t="shared" si="4"/>
        <v>-244589.82866100004</v>
      </c>
      <c r="K67"/>
      <c r="L67"/>
      <c r="M67"/>
      <c r="N67"/>
      <c r="O67"/>
      <c r="P67"/>
      <c r="AG67" s="79" t="s">
        <v>31</v>
      </c>
      <c r="AH67" s="78" t="s">
        <v>2449</v>
      </c>
      <c r="AI67" s="46">
        <f t="shared" ref="AI67:AI129" si="5">+AK67-AG67</f>
        <v>0</v>
      </c>
      <c r="AK67" s="46" t="s">
        <v>31</v>
      </c>
      <c r="AL67" s="46" t="s">
        <v>2449</v>
      </c>
      <c r="AM67" s="193">
        <v>-636876.06999999995</v>
      </c>
      <c r="AQ67" s="73" t="s">
        <v>31</v>
      </c>
      <c r="AR67" s="135" t="s">
        <v>2449</v>
      </c>
      <c r="AS67" s="212">
        <v>-280906.08</v>
      </c>
    </row>
    <row r="68" spans="1:45">
      <c r="A68" t="s">
        <v>167</v>
      </c>
      <c r="B68" t="s">
        <v>2566</v>
      </c>
      <c r="C68" s="260">
        <v>-568094.68000000005</v>
      </c>
      <c r="D68" s="260">
        <v>-288414.36</v>
      </c>
      <c r="E68" s="260">
        <v>-295439.02390500013</v>
      </c>
      <c r="F68" s="335">
        <v>104569.95746000006</v>
      </c>
      <c r="G68" s="83">
        <f t="shared" si="4"/>
        <v>-1047378.1064450002</v>
      </c>
      <c r="K68"/>
      <c r="L68"/>
      <c r="M68"/>
      <c r="N68"/>
      <c r="O68"/>
      <c r="P68"/>
      <c r="AG68" s="79" t="s">
        <v>255</v>
      </c>
      <c r="AH68" s="78" t="s">
        <v>2567</v>
      </c>
      <c r="AI68" s="46">
        <f t="shared" si="5"/>
        <v>0</v>
      </c>
      <c r="AK68" s="46" t="s">
        <v>255</v>
      </c>
      <c r="AL68" s="46" t="s">
        <v>2567</v>
      </c>
      <c r="AM68" s="193">
        <v>-93628.38</v>
      </c>
      <c r="AQ68" s="73" t="s">
        <v>255</v>
      </c>
      <c r="AR68" s="135" t="s">
        <v>2567</v>
      </c>
      <c r="AS68" s="212">
        <v>366888.9</v>
      </c>
    </row>
    <row r="69" spans="1:45">
      <c r="A69" t="s">
        <v>169</v>
      </c>
      <c r="B69" t="s">
        <v>2568</v>
      </c>
      <c r="C69" s="260">
        <v>-710885.68</v>
      </c>
      <c r="D69" s="260">
        <v>-777524.5</v>
      </c>
      <c r="E69" s="260">
        <v>2466718.5919952178</v>
      </c>
      <c r="F69" s="335">
        <v>523812.57699058764</v>
      </c>
      <c r="G69" s="83">
        <f t="shared" si="4"/>
        <v>1502120.9889858053</v>
      </c>
      <c r="K69"/>
      <c r="L69"/>
      <c r="M69"/>
      <c r="N69"/>
      <c r="O69"/>
      <c r="P69"/>
      <c r="AG69" s="79" t="s">
        <v>385</v>
      </c>
      <c r="AH69" s="78" t="s">
        <v>2569</v>
      </c>
      <c r="AI69" s="46">
        <f t="shared" si="5"/>
        <v>0</v>
      </c>
      <c r="AK69" s="46" t="s">
        <v>385</v>
      </c>
      <c r="AL69" s="46" t="s">
        <v>2569</v>
      </c>
      <c r="AM69" s="193">
        <v>-148516.96</v>
      </c>
      <c r="AQ69" s="73" t="s">
        <v>385</v>
      </c>
      <c r="AR69" s="135" t="s">
        <v>2569</v>
      </c>
      <c r="AS69" s="212">
        <v>-199110.36</v>
      </c>
    </row>
    <row r="70" spans="1:45">
      <c r="A70" t="s">
        <v>171</v>
      </c>
      <c r="B70" t="s">
        <v>2570</v>
      </c>
      <c r="C70" s="260">
        <v>-187467.28</v>
      </c>
      <c r="D70" s="260">
        <v>9511.2199999999993</v>
      </c>
      <c r="E70" s="260">
        <v>-48252.738719795132</v>
      </c>
      <c r="F70" s="335">
        <v>239881.38194495183</v>
      </c>
      <c r="G70" s="83">
        <f t="shared" si="4"/>
        <v>13672.583225156704</v>
      </c>
      <c r="K70"/>
      <c r="L70"/>
      <c r="M70"/>
      <c r="N70"/>
      <c r="O70"/>
      <c r="P70"/>
      <c r="AG70" s="79" t="s">
        <v>335</v>
      </c>
      <c r="AH70" s="78" t="s">
        <v>2571</v>
      </c>
      <c r="AI70" s="46">
        <f t="shared" si="5"/>
        <v>0</v>
      </c>
      <c r="AK70" s="46" t="s">
        <v>335</v>
      </c>
      <c r="AL70" s="46" t="s">
        <v>2571</v>
      </c>
      <c r="AM70" s="193">
        <v>-142818.17000000001</v>
      </c>
      <c r="AQ70" s="73" t="s">
        <v>335</v>
      </c>
      <c r="AR70" s="135" t="s">
        <v>2571</v>
      </c>
      <c r="AS70" s="212">
        <v>-90639.39</v>
      </c>
    </row>
    <row r="71" spans="1:45">
      <c r="A71" t="s">
        <v>173</v>
      </c>
      <c r="B71" t="s">
        <v>2572</v>
      </c>
      <c r="C71" s="260">
        <v>-439443.66</v>
      </c>
      <c r="D71" s="260">
        <v>-333734.62</v>
      </c>
      <c r="E71" s="260">
        <v>-142355.23251517868</v>
      </c>
      <c r="F71" s="335">
        <v>-15025.011113419896</v>
      </c>
      <c r="G71" s="83">
        <f t="shared" si="4"/>
        <v>-930558.52362859854</v>
      </c>
      <c r="K71"/>
      <c r="L71"/>
      <c r="M71"/>
      <c r="N71"/>
      <c r="O71"/>
      <c r="P71"/>
      <c r="AG71" s="79" t="s">
        <v>351</v>
      </c>
      <c r="AH71" s="78" t="s">
        <v>2573</v>
      </c>
      <c r="AI71" s="46">
        <f t="shared" si="5"/>
        <v>0</v>
      </c>
      <c r="AK71" s="46" t="s">
        <v>351</v>
      </c>
      <c r="AL71" s="46" t="s">
        <v>2573</v>
      </c>
      <c r="AM71" s="193">
        <v>-79939.77</v>
      </c>
      <c r="AQ71" s="73" t="s">
        <v>351</v>
      </c>
      <c r="AR71" s="135" t="s">
        <v>2573</v>
      </c>
      <c r="AS71" s="212">
        <v>-139487.31</v>
      </c>
    </row>
    <row r="72" spans="1:45">
      <c r="A72" t="s">
        <v>175</v>
      </c>
      <c r="B72" t="s">
        <v>2574</v>
      </c>
      <c r="C72" s="260">
        <v>-62134.96</v>
      </c>
      <c r="D72" s="260">
        <v>-72047.850000000006</v>
      </c>
      <c r="E72" s="260">
        <v>-81402.685756999999</v>
      </c>
      <c r="F72" s="335">
        <v>-103242.74523499999</v>
      </c>
      <c r="G72" s="83">
        <f t="shared" si="4"/>
        <v>-318828.24099199998</v>
      </c>
      <c r="K72"/>
      <c r="L72"/>
      <c r="M72"/>
      <c r="N72"/>
      <c r="O72"/>
      <c r="P72"/>
      <c r="AG72" s="79" t="s">
        <v>173</v>
      </c>
      <c r="AH72" s="78" t="s">
        <v>2572</v>
      </c>
      <c r="AI72" s="46">
        <f t="shared" si="5"/>
        <v>0</v>
      </c>
      <c r="AK72" s="46" t="s">
        <v>173</v>
      </c>
      <c r="AL72" s="46" t="s">
        <v>2572</v>
      </c>
      <c r="AM72" s="193">
        <v>-439443.66</v>
      </c>
      <c r="AQ72" s="73" t="s">
        <v>173</v>
      </c>
      <c r="AR72" s="135" t="s">
        <v>2572</v>
      </c>
      <c r="AS72" s="212">
        <v>-333734.62</v>
      </c>
    </row>
    <row r="73" spans="1:45">
      <c r="A73" t="s">
        <v>177</v>
      </c>
      <c r="B73" t="s">
        <v>2480</v>
      </c>
      <c r="C73" s="260">
        <v>-94406.05</v>
      </c>
      <c r="D73" s="260">
        <v>-106913.2</v>
      </c>
      <c r="E73" s="260">
        <v>-112984.52140799999</v>
      </c>
      <c r="F73" s="335">
        <v>-79643.244383000012</v>
      </c>
      <c r="G73" s="83">
        <f t="shared" si="4"/>
        <v>-393947.01579099998</v>
      </c>
      <c r="K73"/>
      <c r="L73"/>
      <c r="M73"/>
      <c r="N73"/>
      <c r="O73"/>
      <c r="P73"/>
      <c r="AG73" s="79" t="s">
        <v>595</v>
      </c>
      <c r="AH73" s="78" t="s">
        <v>2575</v>
      </c>
      <c r="AI73" s="46">
        <f t="shared" si="5"/>
        <v>0</v>
      </c>
      <c r="AK73" s="46" t="s">
        <v>595</v>
      </c>
      <c r="AL73" s="46" t="s">
        <v>2575</v>
      </c>
      <c r="AM73" s="193">
        <v>-199169</v>
      </c>
      <c r="AQ73" s="73" t="s">
        <v>595</v>
      </c>
      <c r="AR73" s="135" t="s">
        <v>2575</v>
      </c>
      <c r="AS73" s="212">
        <v>-194832.09</v>
      </c>
    </row>
    <row r="74" spans="1:45">
      <c r="A74" t="s">
        <v>179</v>
      </c>
      <c r="B74" t="s">
        <v>2576</v>
      </c>
      <c r="C74" s="260">
        <v>-897353.77</v>
      </c>
      <c r="D74" s="260">
        <v>-1011003.05</v>
      </c>
      <c r="E74" s="260">
        <v>-1123538.293666519</v>
      </c>
      <c r="F74" s="335">
        <v>-533475.28559715115</v>
      </c>
      <c r="G74" s="83">
        <f t="shared" si="4"/>
        <v>-3565370.3992636702</v>
      </c>
      <c r="K74"/>
      <c r="L74"/>
      <c r="M74"/>
      <c r="N74"/>
      <c r="O74"/>
      <c r="P74"/>
      <c r="AG74" s="79" t="s">
        <v>481</v>
      </c>
      <c r="AH74" s="78" t="s">
        <v>2577</v>
      </c>
      <c r="AI74" s="46">
        <f t="shared" si="5"/>
        <v>0</v>
      </c>
      <c r="AK74" s="46" t="s">
        <v>481</v>
      </c>
      <c r="AL74" s="46" t="s">
        <v>2577</v>
      </c>
      <c r="AM74" s="193">
        <v>-67684.72</v>
      </c>
      <c r="AQ74" s="73" t="s">
        <v>481</v>
      </c>
      <c r="AR74" s="135" t="s">
        <v>2577</v>
      </c>
      <c r="AS74" s="212">
        <v>-12093.87</v>
      </c>
    </row>
    <row r="75" spans="1:45">
      <c r="A75" t="s">
        <v>181</v>
      </c>
      <c r="B75" t="s">
        <v>2561</v>
      </c>
      <c r="C75" s="260">
        <v>-198812.45</v>
      </c>
      <c r="D75" s="260">
        <v>-142465.21</v>
      </c>
      <c r="E75" s="260">
        <v>113291.14100000028</v>
      </c>
      <c r="F75" s="335">
        <v>-9811.4784850000869</v>
      </c>
      <c r="G75" s="83">
        <f t="shared" si="4"/>
        <v>-237797.99748499983</v>
      </c>
      <c r="K75"/>
      <c r="L75"/>
      <c r="M75"/>
      <c r="N75"/>
      <c r="O75"/>
      <c r="P75"/>
      <c r="AG75" s="79" t="s">
        <v>131</v>
      </c>
      <c r="AH75" s="78" t="s">
        <v>2537</v>
      </c>
      <c r="AI75" s="46">
        <f t="shared" si="5"/>
        <v>0</v>
      </c>
      <c r="AK75" s="46" t="s">
        <v>131</v>
      </c>
      <c r="AL75" s="46" t="s">
        <v>2537</v>
      </c>
      <c r="AM75" s="193">
        <v>-15316.92</v>
      </c>
      <c r="AQ75" s="73" t="s">
        <v>131</v>
      </c>
      <c r="AR75" s="135" t="s">
        <v>2537</v>
      </c>
      <c r="AS75" s="212">
        <v>-14523.54</v>
      </c>
    </row>
    <row r="76" spans="1:45">
      <c r="A76" s="362" t="s">
        <v>183</v>
      </c>
      <c r="B76" s="363" t="s">
        <v>184</v>
      </c>
      <c r="C76" s="260"/>
      <c r="D76" s="260"/>
      <c r="E76" s="260"/>
      <c r="F76" s="335"/>
      <c r="G76" s="83"/>
      <c r="K76"/>
      <c r="L76"/>
      <c r="M76"/>
      <c r="N76"/>
      <c r="O76"/>
      <c r="P76"/>
      <c r="AG76" s="79" t="s">
        <v>519</v>
      </c>
      <c r="AH76" s="78" t="s">
        <v>2578</v>
      </c>
      <c r="AI76" s="46">
        <f t="shared" si="5"/>
        <v>0</v>
      </c>
      <c r="AK76" s="46" t="s">
        <v>519</v>
      </c>
      <c r="AL76" s="46" t="s">
        <v>2578</v>
      </c>
      <c r="AM76" s="193">
        <v>-17771.28</v>
      </c>
      <c r="AQ76" s="73" t="s">
        <v>519</v>
      </c>
      <c r="AR76" s="135" t="s">
        <v>2578</v>
      </c>
      <c r="AS76" s="212">
        <v>-23801.22</v>
      </c>
    </row>
    <row r="77" spans="1:45">
      <c r="A77" s="363" t="s">
        <v>185</v>
      </c>
      <c r="B77" s="363" t="s">
        <v>186</v>
      </c>
      <c r="C77" s="260"/>
      <c r="D77" s="260"/>
      <c r="E77" s="260"/>
      <c r="F77" s="335"/>
      <c r="G77" s="83"/>
      <c r="K77"/>
      <c r="L77"/>
      <c r="M77"/>
      <c r="N77"/>
      <c r="O77"/>
      <c r="P77"/>
      <c r="AG77" s="79" t="s">
        <v>677</v>
      </c>
      <c r="AH77" s="78" t="s">
        <v>2579</v>
      </c>
      <c r="AI77" s="46">
        <f t="shared" si="5"/>
        <v>0</v>
      </c>
      <c r="AK77" s="46" t="s">
        <v>677</v>
      </c>
      <c r="AL77" s="46" t="s">
        <v>2579</v>
      </c>
      <c r="AM77" s="193">
        <v>-108446.71</v>
      </c>
      <c r="AQ77" s="73" t="s">
        <v>677</v>
      </c>
      <c r="AR77" s="135" t="s">
        <v>2579</v>
      </c>
      <c r="AS77" s="212">
        <v>-110383.79</v>
      </c>
    </row>
    <row r="78" spans="1:45">
      <c r="A78" s="362" t="s">
        <v>187</v>
      </c>
      <c r="B78" s="363" t="s">
        <v>188</v>
      </c>
      <c r="C78" s="260"/>
      <c r="D78" s="260"/>
      <c r="E78" s="260"/>
      <c r="F78" s="335"/>
      <c r="G78" s="83"/>
      <c r="K78"/>
      <c r="L78"/>
      <c r="M78"/>
      <c r="N78"/>
      <c r="O78"/>
      <c r="P78"/>
      <c r="AG78" s="79" t="s">
        <v>409</v>
      </c>
      <c r="AH78" s="78" t="s">
        <v>2580</v>
      </c>
      <c r="AI78" s="46">
        <f t="shared" si="5"/>
        <v>0</v>
      </c>
      <c r="AK78" s="46" t="s">
        <v>409</v>
      </c>
      <c r="AL78" s="46" t="s">
        <v>2580</v>
      </c>
      <c r="AM78" s="193">
        <v>-238573.81</v>
      </c>
      <c r="AQ78" s="73" t="s">
        <v>409</v>
      </c>
      <c r="AR78" s="135" t="s">
        <v>2580</v>
      </c>
      <c r="AS78" s="212">
        <v>-100350.45</v>
      </c>
    </row>
    <row r="79" spans="1:45">
      <c r="A79" s="362" t="s">
        <v>189</v>
      </c>
      <c r="B79" s="363" t="s">
        <v>190</v>
      </c>
      <c r="C79" s="260"/>
      <c r="D79" s="260"/>
      <c r="E79" s="260"/>
      <c r="F79" s="335"/>
      <c r="G79" s="83"/>
      <c r="K79"/>
      <c r="L79"/>
      <c r="M79"/>
      <c r="N79"/>
      <c r="O79"/>
      <c r="P79"/>
      <c r="AG79" s="79" t="s">
        <v>405</v>
      </c>
      <c r="AH79" s="78" t="s">
        <v>2581</v>
      </c>
      <c r="AI79" s="46">
        <f t="shared" si="5"/>
        <v>0</v>
      </c>
      <c r="AK79" s="46" t="s">
        <v>405</v>
      </c>
      <c r="AL79" s="46" t="s">
        <v>2581</v>
      </c>
      <c r="AM79" s="193">
        <v>-77142.41</v>
      </c>
      <c r="AQ79" s="73" t="s">
        <v>405</v>
      </c>
      <c r="AR79" s="135" t="s">
        <v>2581</v>
      </c>
      <c r="AS79" s="212">
        <v>-7968.42</v>
      </c>
    </row>
    <row r="80" spans="1:45">
      <c r="A80" s="363" t="s">
        <v>191</v>
      </c>
      <c r="B80" s="363" t="s">
        <v>192</v>
      </c>
      <c r="C80" s="260"/>
      <c r="D80" s="260"/>
      <c r="E80" s="260"/>
      <c r="F80" s="335"/>
      <c r="G80" s="83"/>
      <c r="K80"/>
      <c r="L80"/>
      <c r="M80"/>
      <c r="N80"/>
      <c r="O80"/>
      <c r="P80"/>
      <c r="AG80" s="79" t="s">
        <v>401</v>
      </c>
      <c r="AH80" s="78" t="s">
        <v>2582</v>
      </c>
      <c r="AI80" s="46">
        <f t="shared" si="5"/>
        <v>0</v>
      </c>
      <c r="AK80" s="46" t="s">
        <v>401</v>
      </c>
      <c r="AL80" s="46" t="s">
        <v>2582</v>
      </c>
      <c r="AM80" s="193">
        <v>-634238.52</v>
      </c>
      <c r="AQ80" s="73" t="s">
        <v>401</v>
      </c>
      <c r="AR80" s="135" t="s">
        <v>2582</v>
      </c>
      <c r="AS80" s="212">
        <v>-996357.56</v>
      </c>
    </row>
    <row r="81" spans="1:45">
      <c r="A81" s="362" t="s">
        <v>193</v>
      </c>
      <c r="B81" s="363" t="s">
        <v>194</v>
      </c>
      <c r="C81" s="260"/>
      <c r="D81" s="260"/>
      <c r="E81" s="260"/>
      <c r="F81" s="335"/>
      <c r="G81" s="83"/>
      <c r="K81"/>
      <c r="L81"/>
      <c r="M81"/>
      <c r="N81"/>
      <c r="O81"/>
      <c r="P81"/>
      <c r="AG81" s="79" t="s">
        <v>135</v>
      </c>
      <c r="AH81" s="78" t="s">
        <v>2540</v>
      </c>
      <c r="AI81" s="46">
        <f t="shared" si="5"/>
        <v>0</v>
      </c>
      <c r="AK81" s="46" t="s">
        <v>135</v>
      </c>
      <c r="AL81" s="46" t="s">
        <v>2540</v>
      </c>
      <c r="AM81" s="193">
        <v>-51119.51</v>
      </c>
      <c r="AQ81" s="73" t="s">
        <v>135</v>
      </c>
      <c r="AR81" s="135" t="s">
        <v>2540</v>
      </c>
      <c r="AS81" s="212">
        <v>-497030.45</v>
      </c>
    </row>
    <row r="82" spans="1:45">
      <c r="A82" s="362" t="s">
        <v>195</v>
      </c>
      <c r="B82" s="363" t="s">
        <v>196</v>
      </c>
      <c r="C82" s="260"/>
      <c r="D82" s="260"/>
      <c r="E82" s="260"/>
      <c r="F82" s="335"/>
      <c r="G82" s="83"/>
      <c r="K82"/>
      <c r="L82"/>
      <c r="M82"/>
      <c r="N82"/>
      <c r="O82"/>
      <c r="P82"/>
      <c r="AG82" s="79" t="s">
        <v>551</v>
      </c>
      <c r="AH82" s="78" t="s">
        <v>2583</v>
      </c>
      <c r="AI82" s="46">
        <f t="shared" si="5"/>
        <v>0</v>
      </c>
      <c r="AK82" s="46" t="s">
        <v>551</v>
      </c>
      <c r="AL82" s="46" t="s">
        <v>2583</v>
      </c>
      <c r="AM82" s="193">
        <v>-234546.43</v>
      </c>
      <c r="AQ82" s="73" t="s">
        <v>551</v>
      </c>
      <c r="AR82" s="135" t="s">
        <v>2583</v>
      </c>
      <c r="AS82" s="212">
        <v>-263115.71999999997</v>
      </c>
    </row>
    <row r="83" spans="1:45">
      <c r="A83" s="362" t="s">
        <v>197</v>
      </c>
      <c r="B83" s="363" t="s">
        <v>198</v>
      </c>
      <c r="C83" s="260"/>
      <c r="D83" s="260"/>
      <c r="E83" s="260"/>
      <c r="F83" s="335"/>
      <c r="G83" s="83"/>
      <c r="K83"/>
      <c r="L83"/>
      <c r="M83"/>
      <c r="N83"/>
      <c r="O83"/>
      <c r="P83"/>
      <c r="AG83" s="79" t="s">
        <v>473</v>
      </c>
      <c r="AH83" s="78" t="s">
        <v>2584</v>
      </c>
      <c r="AI83" s="46">
        <f t="shared" si="5"/>
        <v>0</v>
      </c>
      <c r="AK83" s="46" t="s">
        <v>473</v>
      </c>
      <c r="AL83" s="46" t="s">
        <v>2584</v>
      </c>
      <c r="AM83" s="193">
        <v>-101753.9</v>
      </c>
      <c r="AQ83" s="73" t="s">
        <v>473</v>
      </c>
      <c r="AR83" s="135" t="s">
        <v>2584</v>
      </c>
      <c r="AS83" s="212">
        <v>-93856.06</v>
      </c>
    </row>
    <row r="84" spans="1:45">
      <c r="A84" s="362" t="s">
        <v>199</v>
      </c>
      <c r="B84" s="363" t="s">
        <v>200</v>
      </c>
      <c r="C84" s="260"/>
      <c r="D84" s="260"/>
      <c r="E84" s="260"/>
      <c r="F84" s="335"/>
      <c r="G84" s="83"/>
      <c r="K84"/>
      <c r="L84"/>
      <c r="M84"/>
      <c r="N84"/>
      <c r="O84"/>
      <c r="P84"/>
      <c r="AG84" s="79" t="s">
        <v>73</v>
      </c>
      <c r="AH84" s="78" t="s">
        <v>2492</v>
      </c>
      <c r="AI84" s="46">
        <f t="shared" si="5"/>
        <v>0</v>
      </c>
      <c r="AK84" s="46" t="s">
        <v>73</v>
      </c>
      <c r="AL84" s="46" t="s">
        <v>2492</v>
      </c>
      <c r="AM84" s="193">
        <v>-50319.49</v>
      </c>
      <c r="AQ84" s="73" t="s">
        <v>73</v>
      </c>
      <c r="AR84" s="135" t="s">
        <v>2492</v>
      </c>
      <c r="AS84" s="212">
        <v>-53832.42</v>
      </c>
    </row>
    <row r="85" spans="1:45">
      <c r="A85" s="363" t="s">
        <v>201</v>
      </c>
      <c r="B85" s="363" t="s">
        <v>202</v>
      </c>
      <c r="C85" s="260"/>
      <c r="D85" s="260"/>
      <c r="E85" s="260"/>
      <c r="F85" s="335"/>
      <c r="G85" s="83"/>
      <c r="K85"/>
      <c r="L85"/>
      <c r="M85"/>
      <c r="N85"/>
      <c r="O85"/>
      <c r="P85"/>
      <c r="AG85" s="79" t="s">
        <v>475</v>
      </c>
      <c r="AH85" s="78" t="s">
        <v>2585</v>
      </c>
      <c r="AI85" s="46">
        <f t="shared" si="5"/>
        <v>0</v>
      </c>
      <c r="AK85" s="46" t="s">
        <v>475</v>
      </c>
      <c r="AL85" s="46" t="s">
        <v>2585</v>
      </c>
      <c r="AM85" s="193">
        <v>-72243.039999999994</v>
      </c>
      <c r="AQ85" s="73" t="s">
        <v>475</v>
      </c>
      <c r="AR85" s="135" t="s">
        <v>2585</v>
      </c>
      <c r="AS85" s="212">
        <v>-36853.269999999997</v>
      </c>
    </row>
    <row r="86" spans="1:45">
      <c r="A86" s="359" t="s">
        <v>203</v>
      </c>
      <c r="B86" s="360" t="s">
        <v>204</v>
      </c>
      <c r="C86" s="260"/>
      <c r="D86" s="260"/>
      <c r="E86" s="260"/>
      <c r="F86" s="335"/>
      <c r="G86" s="83"/>
      <c r="K86"/>
      <c r="L86"/>
      <c r="M86"/>
      <c r="N86"/>
      <c r="O86"/>
      <c r="P86"/>
      <c r="AG86" s="79" t="s">
        <v>107</v>
      </c>
      <c r="AH86" s="78" t="s">
        <v>2517</v>
      </c>
      <c r="AI86" s="46">
        <f t="shared" si="5"/>
        <v>0</v>
      </c>
      <c r="AK86" s="46" t="s">
        <v>107</v>
      </c>
      <c r="AL86" s="46" t="s">
        <v>2517</v>
      </c>
      <c r="AM86" s="193">
        <v>-210675.51</v>
      </c>
      <c r="AQ86" s="73" t="s">
        <v>107</v>
      </c>
      <c r="AR86" s="135" t="s">
        <v>2517</v>
      </c>
      <c r="AS86" s="212">
        <v>-219153.48</v>
      </c>
    </row>
    <row r="87" spans="1:45">
      <c r="A87" t="s">
        <v>205</v>
      </c>
      <c r="B87" t="s">
        <v>2586</v>
      </c>
      <c r="C87" s="260">
        <v>713309.89000000642</v>
      </c>
      <c r="D87" s="260">
        <v>-1499506.14</v>
      </c>
      <c r="E87" s="260">
        <v>591928.76838976401</v>
      </c>
      <c r="F87" s="335">
        <v>765484.20806344785</v>
      </c>
      <c r="G87" s="83">
        <f t="shared" ref="G87:G130" si="6">SUM(C87:F87)</f>
        <v>571216.72645321838</v>
      </c>
      <c r="K87"/>
      <c r="L87"/>
      <c r="M87"/>
      <c r="N87"/>
      <c r="O87"/>
      <c r="P87"/>
      <c r="AG87" s="79" t="s">
        <v>459</v>
      </c>
      <c r="AH87" s="78" t="s">
        <v>2587</v>
      </c>
      <c r="AI87" s="46">
        <f t="shared" si="5"/>
        <v>0</v>
      </c>
      <c r="AK87" s="46" t="s">
        <v>459</v>
      </c>
      <c r="AL87" s="46" t="s">
        <v>2587</v>
      </c>
      <c r="AM87" s="193">
        <v>-111191.01</v>
      </c>
      <c r="AQ87" s="73" t="s">
        <v>459</v>
      </c>
      <c r="AR87" s="135" t="s">
        <v>2587</v>
      </c>
      <c r="AS87" s="212">
        <v>-179344.31</v>
      </c>
    </row>
    <row r="88" spans="1:45">
      <c r="A88" t="s">
        <v>207</v>
      </c>
      <c r="B88" t="s">
        <v>2588</v>
      </c>
      <c r="C88" s="260">
        <v>1096886.3600000076</v>
      </c>
      <c r="D88" s="260">
        <v>411074.72</v>
      </c>
      <c r="E88" s="260">
        <v>1435703.5324969348</v>
      </c>
      <c r="F88" s="335">
        <v>2130043.7948592007</v>
      </c>
      <c r="G88" s="83">
        <f t="shared" si="6"/>
        <v>5073708.407356143</v>
      </c>
      <c r="K88"/>
      <c r="L88"/>
      <c r="M88"/>
      <c r="N88"/>
      <c r="O88"/>
      <c r="P88"/>
      <c r="AG88" s="79" t="s">
        <v>521</v>
      </c>
      <c r="AH88" s="78" t="s">
        <v>2589</v>
      </c>
      <c r="AI88" s="46">
        <f t="shared" si="5"/>
        <v>0</v>
      </c>
      <c r="AK88" s="46" t="s">
        <v>521</v>
      </c>
      <c r="AL88" s="46" t="s">
        <v>2589</v>
      </c>
      <c r="AM88" s="193">
        <v>-2837268.81</v>
      </c>
      <c r="AQ88" s="73" t="s">
        <v>521</v>
      </c>
      <c r="AR88" s="135" t="s">
        <v>2589</v>
      </c>
      <c r="AS88" s="212">
        <v>-4079306.84</v>
      </c>
    </row>
    <row r="89" spans="1:45">
      <c r="A89" t="s">
        <v>209</v>
      </c>
      <c r="B89" t="s">
        <v>2590</v>
      </c>
      <c r="C89" s="260">
        <v>-29030.95</v>
      </c>
      <c r="D89" s="260">
        <v>-38494.370000000003</v>
      </c>
      <c r="E89" s="260">
        <v>-34518.222080000007</v>
      </c>
      <c r="F89" s="335">
        <v>-44272.216110000008</v>
      </c>
      <c r="G89" s="83">
        <f t="shared" si="6"/>
        <v>-146315.75819000002</v>
      </c>
      <c r="K89"/>
      <c r="L89"/>
      <c r="M89"/>
      <c r="N89"/>
      <c r="O89"/>
      <c r="P89"/>
      <c r="AG89" s="79" t="s">
        <v>211</v>
      </c>
      <c r="AH89" s="78" t="s">
        <v>2591</v>
      </c>
      <c r="AI89" s="46">
        <f t="shared" si="5"/>
        <v>0</v>
      </c>
      <c r="AK89" s="46" t="s">
        <v>211</v>
      </c>
      <c r="AL89" s="46" t="s">
        <v>2591</v>
      </c>
      <c r="AM89" s="193">
        <v>-312124.26</v>
      </c>
      <c r="AQ89" s="73" t="s">
        <v>211</v>
      </c>
      <c r="AR89" s="135" t="s">
        <v>2591</v>
      </c>
      <c r="AS89" s="212">
        <v>-1322250.3899999999</v>
      </c>
    </row>
    <row r="90" spans="1:45">
      <c r="A90" t="s">
        <v>211</v>
      </c>
      <c r="B90" t="s">
        <v>2591</v>
      </c>
      <c r="C90" s="260">
        <v>-312124.26</v>
      </c>
      <c r="D90" s="260">
        <v>-1322250.3899999999</v>
      </c>
      <c r="E90" s="260">
        <v>-1230473.9446492705</v>
      </c>
      <c r="F90" s="335">
        <v>534841.95202448405</v>
      </c>
      <c r="G90" s="83">
        <f t="shared" si="6"/>
        <v>-2330006.6426247861</v>
      </c>
      <c r="K90"/>
      <c r="L90"/>
      <c r="M90"/>
      <c r="N90"/>
      <c r="O90"/>
      <c r="P90"/>
      <c r="AG90" s="79" t="s">
        <v>179</v>
      </c>
      <c r="AH90" s="78" t="s">
        <v>2576</v>
      </c>
      <c r="AI90" s="46">
        <f t="shared" si="5"/>
        <v>0</v>
      </c>
      <c r="AK90" s="46" t="s">
        <v>179</v>
      </c>
      <c r="AL90" s="46" t="s">
        <v>2576</v>
      </c>
      <c r="AM90" s="193">
        <v>-897353.77</v>
      </c>
      <c r="AQ90" s="73" t="s">
        <v>179</v>
      </c>
      <c r="AR90" s="135" t="s">
        <v>2576</v>
      </c>
      <c r="AS90" s="212">
        <v>-1011003.05</v>
      </c>
    </row>
    <row r="91" spans="1:45">
      <c r="A91" t="s">
        <v>213</v>
      </c>
      <c r="B91" t="s">
        <v>2592</v>
      </c>
      <c r="C91" s="260">
        <v>-413151.38</v>
      </c>
      <c r="D91" s="260">
        <v>-455720.45</v>
      </c>
      <c r="E91" s="260">
        <v>-559150.14079465612</v>
      </c>
      <c r="F91" s="335">
        <v>-106668.91415000008</v>
      </c>
      <c r="G91" s="83">
        <f t="shared" si="6"/>
        <v>-1534690.8849446564</v>
      </c>
      <c r="K91"/>
      <c r="L91"/>
      <c r="M91"/>
      <c r="N91"/>
      <c r="O91"/>
      <c r="P91"/>
      <c r="AG91" s="79" t="s">
        <v>341</v>
      </c>
      <c r="AH91" s="78" t="s">
        <v>2593</v>
      </c>
      <c r="AI91" s="46">
        <f t="shared" si="5"/>
        <v>0</v>
      </c>
      <c r="AK91" s="46" t="s">
        <v>341</v>
      </c>
      <c r="AL91" s="46" t="s">
        <v>2593</v>
      </c>
      <c r="AM91" s="193">
        <v>-225813.36</v>
      </c>
      <c r="AQ91" s="73" t="s">
        <v>341</v>
      </c>
      <c r="AR91" s="135" t="s">
        <v>2593</v>
      </c>
      <c r="AS91" s="212">
        <v>-27029.69</v>
      </c>
    </row>
    <row r="92" spans="1:45">
      <c r="A92" t="s">
        <v>215</v>
      </c>
      <c r="B92" t="s">
        <v>2594</v>
      </c>
      <c r="C92" s="260">
        <v>-142713.78</v>
      </c>
      <c r="D92" s="260">
        <v>22624.69</v>
      </c>
      <c r="E92" s="260">
        <v>-367358.13046548242</v>
      </c>
      <c r="F92" s="335">
        <v>37789.082578182453</v>
      </c>
      <c r="G92" s="83">
        <f t="shared" si="6"/>
        <v>-449658.13788729999</v>
      </c>
      <c r="K92"/>
      <c r="L92"/>
      <c r="M92"/>
      <c r="N92"/>
      <c r="O92"/>
      <c r="P92"/>
      <c r="AG92" s="79" t="s">
        <v>249</v>
      </c>
      <c r="AH92" s="78" t="s">
        <v>2595</v>
      </c>
      <c r="AI92" s="46">
        <f t="shared" si="5"/>
        <v>0</v>
      </c>
      <c r="AK92" s="46" t="s">
        <v>249</v>
      </c>
      <c r="AL92" s="46" t="s">
        <v>2595</v>
      </c>
      <c r="AM92" s="193">
        <v>348596.09</v>
      </c>
      <c r="AQ92" s="73" t="s">
        <v>249</v>
      </c>
      <c r="AR92" s="135" t="s">
        <v>2595</v>
      </c>
      <c r="AS92" s="212">
        <v>-1408898.65</v>
      </c>
    </row>
    <row r="93" spans="1:45">
      <c r="A93" t="s">
        <v>217</v>
      </c>
      <c r="B93" t="s">
        <v>2471</v>
      </c>
      <c r="C93" s="260">
        <v>-209724.41</v>
      </c>
      <c r="D93" s="260">
        <v>-185747.43</v>
      </c>
      <c r="E93" s="260">
        <v>-279462.69585699984</v>
      </c>
      <c r="F93" s="335">
        <v>-27580.301087999949</v>
      </c>
      <c r="G93" s="83">
        <f t="shared" si="6"/>
        <v>-702514.83694499976</v>
      </c>
      <c r="K93"/>
      <c r="L93"/>
      <c r="M93"/>
      <c r="N93"/>
      <c r="O93"/>
      <c r="P93"/>
      <c r="AG93" s="79" t="s">
        <v>629</v>
      </c>
      <c r="AH93" s="78" t="s">
        <v>2596</v>
      </c>
      <c r="AI93" s="46">
        <f t="shared" si="5"/>
        <v>0</v>
      </c>
      <c r="AK93" s="46" t="s">
        <v>629</v>
      </c>
      <c r="AL93" s="46" t="s">
        <v>2596</v>
      </c>
      <c r="AM93" s="193">
        <v>-175497.44</v>
      </c>
      <c r="AQ93" s="73" t="s">
        <v>629</v>
      </c>
      <c r="AR93" s="135" t="s">
        <v>2596</v>
      </c>
      <c r="AS93" s="212">
        <v>-281705.28999999998</v>
      </c>
    </row>
    <row r="94" spans="1:45">
      <c r="A94" t="s">
        <v>219</v>
      </c>
      <c r="B94" t="s">
        <v>2597</v>
      </c>
      <c r="C94" s="260">
        <v>349901.91000000387</v>
      </c>
      <c r="D94" s="260">
        <v>-188110.24</v>
      </c>
      <c r="E94" s="260">
        <v>-580128.23787614726</v>
      </c>
      <c r="F94" s="335">
        <v>1027522.9128038259</v>
      </c>
      <c r="G94" s="83">
        <f t="shared" si="6"/>
        <v>609186.34492768254</v>
      </c>
      <c r="K94"/>
      <c r="L94"/>
      <c r="M94"/>
      <c r="N94"/>
      <c r="O94"/>
      <c r="P94"/>
      <c r="AG94" s="79" t="s">
        <v>495</v>
      </c>
      <c r="AH94" s="78" t="s">
        <v>2598</v>
      </c>
      <c r="AI94" s="46">
        <f t="shared" si="5"/>
        <v>0</v>
      </c>
      <c r="AK94" s="46" t="s">
        <v>495</v>
      </c>
      <c r="AL94" s="46" t="s">
        <v>2598</v>
      </c>
      <c r="AM94" s="193">
        <v>-1219041.1200000001</v>
      </c>
      <c r="AQ94" s="73" t="s">
        <v>495</v>
      </c>
      <c r="AR94" s="135" t="s">
        <v>2598</v>
      </c>
      <c r="AS94" s="212">
        <v>-882496.45</v>
      </c>
    </row>
    <row r="95" spans="1:45">
      <c r="A95" t="s">
        <v>221</v>
      </c>
      <c r="B95" t="s">
        <v>2599</v>
      </c>
      <c r="C95" s="260">
        <v>-74412.81</v>
      </c>
      <c r="D95" s="260">
        <v>-63262.43</v>
      </c>
      <c r="E95" s="260">
        <v>-3431.4034820000379</v>
      </c>
      <c r="F95" s="335">
        <v>29709.517044000037</v>
      </c>
      <c r="G95" s="83">
        <f t="shared" si="6"/>
        <v>-111397.12643800001</v>
      </c>
      <c r="K95"/>
      <c r="L95"/>
      <c r="M95"/>
      <c r="N95"/>
      <c r="O95"/>
      <c r="P95"/>
      <c r="AG95" s="79" t="s">
        <v>539</v>
      </c>
      <c r="AH95" s="78" t="s">
        <v>2600</v>
      </c>
      <c r="AI95" s="46">
        <f t="shared" si="5"/>
        <v>0</v>
      </c>
      <c r="AK95" s="46" t="s">
        <v>539</v>
      </c>
      <c r="AL95" s="46" t="s">
        <v>2600</v>
      </c>
      <c r="AM95" s="193">
        <v>-99373.47</v>
      </c>
      <c r="AQ95" s="73" t="s">
        <v>539</v>
      </c>
      <c r="AR95" s="135" t="s">
        <v>2600</v>
      </c>
      <c r="AS95" s="212">
        <v>-73954.37</v>
      </c>
    </row>
    <row r="96" spans="1:45">
      <c r="A96" t="s">
        <v>223</v>
      </c>
      <c r="B96" t="s">
        <v>2601</v>
      </c>
      <c r="C96" s="260">
        <v>-68467.42</v>
      </c>
      <c r="D96" s="260">
        <v>-80132.11</v>
      </c>
      <c r="E96" s="260">
        <v>-52582.434310000011</v>
      </c>
      <c r="F96" s="335">
        <v>-76150.655339999998</v>
      </c>
      <c r="G96" s="83">
        <f t="shared" si="6"/>
        <v>-277332.61965000001</v>
      </c>
      <c r="K96"/>
      <c r="L96"/>
      <c r="M96"/>
      <c r="N96"/>
      <c r="O96"/>
      <c r="P96"/>
      <c r="AG96" s="79" t="s">
        <v>53</v>
      </c>
      <c r="AH96" s="78" t="s">
        <v>2470</v>
      </c>
      <c r="AI96" s="46">
        <f t="shared" si="5"/>
        <v>0</v>
      </c>
      <c r="AK96" s="46" t="s">
        <v>53</v>
      </c>
      <c r="AL96" s="46" t="s">
        <v>2470</v>
      </c>
      <c r="AM96" s="193">
        <v>-389057.21</v>
      </c>
      <c r="AQ96" s="73" t="s">
        <v>53</v>
      </c>
      <c r="AR96" s="135" t="s">
        <v>2470</v>
      </c>
      <c r="AS96" s="212">
        <v>-1727270.97</v>
      </c>
    </row>
    <row r="97" spans="1:45">
      <c r="A97" t="s">
        <v>225</v>
      </c>
      <c r="B97" t="s">
        <v>2602</v>
      </c>
      <c r="C97" s="260">
        <v>-64017.39</v>
      </c>
      <c r="D97" s="260">
        <v>-87778.81</v>
      </c>
      <c r="E97" s="260">
        <v>-67194.995090110184</v>
      </c>
      <c r="F97" s="335">
        <v>-84814.643095000007</v>
      </c>
      <c r="G97" s="83">
        <f t="shared" si="6"/>
        <v>-303805.83818511019</v>
      </c>
      <c r="K97"/>
      <c r="L97"/>
      <c r="M97"/>
      <c r="N97"/>
      <c r="O97"/>
      <c r="P97"/>
      <c r="AG97" s="79" t="s">
        <v>617</v>
      </c>
      <c r="AH97" s="78" t="s">
        <v>2603</v>
      </c>
      <c r="AI97" s="46">
        <f t="shared" si="5"/>
        <v>0</v>
      </c>
      <c r="AK97" s="46" t="s">
        <v>617</v>
      </c>
      <c r="AL97" s="46" t="s">
        <v>2603</v>
      </c>
      <c r="AM97" s="193">
        <v>-407772.93</v>
      </c>
      <c r="AQ97" s="73" t="s">
        <v>617</v>
      </c>
      <c r="AR97" s="135" t="s">
        <v>2603</v>
      </c>
      <c r="AS97" s="212">
        <v>-371727.23</v>
      </c>
    </row>
    <row r="98" spans="1:45">
      <c r="A98" t="s">
        <v>227</v>
      </c>
      <c r="B98" t="s">
        <v>2604</v>
      </c>
      <c r="C98" s="260">
        <v>-56026.44</v>
      </c>
      <c r="D98" s="260">
        <v>-72691.45</v>
      </c>
      <c r="E98" s="260">
        <v>-83158.161240551271</v>
      </c>
      <c r="F98" s="335">
        <v>19471.84265799995</v>
      </c>
      <c r="G98" s="83">
        <f t="shared" si="6"/>
        <v>-192404.20858255133</v>
      </c>
      <c r="K98"/>
      <c r="L98"/>
      <c r="M98"/>
      <c r="N98"/>
      <c r="O98"/>
      <c r="P98"/>
      <c r="AG98" s="79" t="s">
        <v>507</v>
      </c>
      <c r="AH98" s="78" t="s">
        <v>2605</v>
      </c>
      <c r="AI98" s="46">
        <f t="shared" si="5"/>
        <v>0</v>
      </c>
      <c r="AK98" s="46" t="s">
        <v>507</v>
      </c>
      <c r="AL98" s="46" t="s">
        <v>2605</v>
      </c>
      <c r="AM98" s="193">
        <v>-133366.69</v>
      </c>
      <c r="AQ98" s="73" t="s">
        <v>507</v>
      </c>
      <c r="AR98" s="135" t="s">
        <v>2605</v>
      </c>
      <c r="AS98" s="212">
        <v>-364433.07</v>
      </c>
    </row>
    <row r="99" spans="1:45">
      <c r="A99" t="s">
        <v>229</v>
      </c>
      <c r="B99" t="s">
        <v>2564</v>
      </c>
      <c r="C99" s="260">
        <v>-93625.48</v>
      </c>
      <c r="D99" s="260">
        <v>-100198.66</v>
      </c>
      <c r="E99" s="260">
        <v>-92183.806819999969</v>
      </c>
      <c r="F99" s="335">
        <v>-48882.340721999877</v>
      </c>
      <c r="G99" s="83">
        <f t="shared" si="6"/>
        <v>-334890.28754199983</v>
      </c>
      <c r="K99"/>
      <c r="L99"/>
      <c r="M99"/>
      <c r="N99"/>
      <c r="O99"/>
      <c r="P99"/>
      <c r="AG99" s="79" t="s">
        <v>47</v>
      </c>
      <c r="AH99" s="78" t="s">
        <v>2462</v>
      </c>
      <c r="AI99" s="46">
        <f t="shared" si="5"/>
        <v>0</v>
      </c>
      <c r="AK99" s="46" t="s">
        <v>47</v>
      </c>
      <c r="AL99" s="46" t="s">
        <v>2462</v>
      </c>
      <c r="AM99" s="193">
        <v>492333.09</v>
      </c>
      <c r="AQ99" s="73" t="s">
        <v>47</v>
      </c>
      <c r="AR99" s="135" t="s">
        <v>2462</v>
      </c>
      <c r="AS99" s="212">
        <v>-517270.53</v>
      </c>
    </row>
    <row r="100" spans="1:45">
      <c r="A100" t="s">
        <v>231</v>
      </c>
      <c r="B100" t="s">
        <v>2606</v>
      </c>
      <c r="C100" s="260">
        <v>-193748.81</v>
      </c>
      <c r="D100" s="260">
        <v>-2836.22</v>
      </c>
      <c r="E100" s="260">
        <v>-6895.1924279829836</v>
      </c>
      <c r="F100" s="335">
        <v>256310.57958544511</v>
      </c>
      <c r="G100" s="83">
        <f t="shared" si="6"/>
        <v>52830.357157462131</v>
      </c>
      <c r="K100"/>
      <c r="L100"/>
      <c r="M100"/>
      <c r="N100"/>
      <c r="O100"/>
      <c r="P100"/>
      <c r="AG100" s="79" t="s">
        <v>597</v>
      </c>
      <c r="AH100" s="78" t="s">
        <v>2607</v>
      </c>
      <c r="AI100" s="46">
        <f t="shared" si="5"/>
        <v>0</v>
      </c>
      <c r="AK100" s="46" t="s">
        <v>597</v>
      </c>
      <c r="AL100" s="46" t="s">
        <v>2607</v>
      </c>
      <c r="AM100" s="193">
        <v>-211280.41</v>
      </c>
      <c r="AQ100" s="73" t="s">
        <v>597</v>
      </c>
      <c r="AR100" s="135" t="s">
        <v>2607</v>
      </c>
      <c r="AS100" s="212">
        <v>-545694.12</v>
      </c>
    </row>
    <row r="101" spans="1:45">
      <c r="A101" t="s">
        <v>233</v>
      </c>
      <c r="B101" t="s">
        <v>2608</v>
      </c>
      <c r="C101" s="260">
        <v>-198772.31</v>
      </c>
      <c r="D101" s="260">
        <v>108829.19</v>
      </c>
      <c r="E101" s="260">
        <v>-149253.65196200012</v>
      </c>
      <c r="F101" s="335">
        <v>-226910.78775999998</v>
      </c>
      <c r="G101" s="83">
        <f t="shared" si="6"/>
        <v>-466107.55972200009</v>
      </c>
      <c r="K101"/>
      <c r="L101"/>
      <c r="M101"/>
      <c r="N101"/>
      <c r="O101"/>
      <c r="P101"/>
      <c r="AG101" s="79" t="s">
        <v>543</v>
      </c>
      <c r="AH101" s="78" t="s">
        <v>2609</v>
      </c>
      <c r="AI101" s="46">
        <f t="shared" si="5"/>
        <v>0</v>
      </c>
      <c r="AK101" s="46" t="s">
        <v>543</v>
      </c>
      <c r="AL101" s="46" t="s">
        <v>2609</v>
      </c>
      <c r="AM101" s="193">
        <v>-788419.02</v>
      </c>
      <c r="AQ101" s="73" t="s">
        <v>543</v>
      </c>
      <c r="AR101" s="135" t="s">
        <v>2609</v>
      </c>
      <c r="AS101" s="212">
        <v>-834016.95</v>
      </c>
    </row>
    <row r="102" spans="1:45">
      <c r="A102" t="s">
        <v>235</v>
      </c>
      <c r="B102" t="s">
        <v>2610</v>
      </c>
      <c r="C102" s="260">
        <v>-68223.14</v>
      </c>
      <c r="D102" s="260">
        <v>-13516.17</v>
      </c>
      <c r="E102" s="260">
        <v>-221485.9717731807</v>
      </c>
      <c r="F102" s="335">
        <v>-50326.984860000201</v>
      </c>
      <c r="G102" s="83">
        <f t="shared" si="6"/>
        <v>-353552.2666331809</v>
      </c>
      <c r="K102"/>
      <c r="L102"/>
      <c r="M102"/>
      <c r="N102"/>
      <c r="O102"/>
      <c r="P102"/>
      <c r="AG102" s="79" t="s">
        <v>267</v>
      </c>
      <c r="AH102" s="78" t="s">
        <v>2611</v>
      </c>
      <c r="AI102" s="46">
        <f t="shared" si="5"/>
        <v>0</v>
      </c>
      <c r="AK102" s="46" t="s">
        <v>267</v>
      </c>
      <c r="AL102" s="46" t="s">
        <v>2611</v>
      </c>
      <c r="AM102" s="193">
        <v>50547.1</v>
      </c>
      <c r="AQ102" s="73" t="s">
        <v>267</v>
      </c>
      <c r="AR102" s="135" t="s">
        <v>2611</v>
      </c>
      <c r="AS102" s="212">
        <v>-1642536.02</v>
      </c>
    </row>
    <row r="103" spans="1:45">
      <c r="A103" t="s">
        <v>237</v>
      </c>
      <c r="B103" t="s">
        <v>2612</v>
      </c>
      <c r="C103" s="260">
        <v>-34173.93</v>
      </c>
      <c r="D103" s="260">
        <v>-48481.65</v>
      </c>
      <c r="E103" s="260">
        <v>-11631.177407999989</v>
      </c>
      <c r="F103" s="335">
        <v>11962.853190000023</v>
      </c>
      <c r="G103" s="83">
        <f t="shared" si="6"/>
        <v>-82323.904217999967</v>
      </c>
      <c r="K103"/>
      <c r="L103"/>
      <c r="M103"/>
      <c r="N103"/>
      <c r="O103"/>
      <c r="P103"/>
      <c r="AG103" s="79" t="s">
        <v>535</v>
      </c>
      <c r="AH103" s="78" t="s">
        <v>2613</v>
      </c>
      <c r="AI103" s="46">
        <f t="shared" si="5"/>
        <v>0</v>
      </c>
      <c r="AK103" s="46" t="s">
        <v>535</v>
      </c>
      <c r="AL103" s="46" t="s">
        <v>2613</v>
      </c>
      <c r="AM103" s="193">
        <v>-388170.26</v>
      </c>
      <c r="AQ103" s="73" t="s">
        <v>535</v>
      </c>
      <c r="AR103" s="135" t="s">
        <v>2613</v>
      </c>
      <c r="AS103" s="212">
        <v>-647491.83999999997</v>
      </c>
    </row>
    <row r="104" spans="1:45">
      <c r="A104" s="337" t="s">
        <v>239</v>
      </c>
      <c r="B104" t="s">
        <v>240</v>
      </c>
      <c r="C104" s="260"/>
      <c r="D104" s="260"/>
      <c r="E104" s="260"/>
      <c r="F104" s="335">
        <v>-4789.4953000000023</v>
      </c>
      <c r="G104" s="83">
        <f t="shared" si="6"/>
        <v>-4789.4953000000023</v>
      </c>
      <c r="K104"/>
      <c r="L104"/>
      <c r="M104"/>
      <c r="N104"/>
      <c r="O104"/>
      <c r="P104"/>
      <c r="AG104" s="79" t="s">
        <v>299</v>
      </c>
      <c r="AH104" s="78" t="s">
        <v>2614</v>
      </c>
      <c r="AI104" s="46">
        <f t="shared" si="5"/>
        <v>0</v>
      </c>
      <c r="AK104" s="46" t="s">
        <v>299</v>
      </c>
      <c r="AL104" s="46" t="s">
        <v>2614</v>
      </c>
      <c r="AM104" s="193">
        <v>-648497</v>
      </c>
      <c r="AQ104" s="73" t="s">
        <v>299</v>
      </c>
      <c r="AR104" s="135" t="s">
        <v>2614</v>
      </c>
      <c r="AS104" s="212">
        <v>-473734.72</v>
      </c>
    </row>
    <row r="105" spans="1:45">
      <c r="A105" t="s">
        <v>241</v>
      </c>
      <c r="B105" t="s">
        <v>2503</v>
      </c>
      <c r="C105" s="260">
        <v>-72092.66</v>
      </c>
      <c r="D105" s="260">
        <v>-84889.22</v>
      </c>
      <c r="E105" s="260">
        <v>-36377.710695000002</v>
      </c>
      <c r="F105" s="335">
        <v>-96655.657517999978</v>
      </c>
      <c r="G105" s="83">
        <f t="shared" si="6"/>
        <v>-290015.24821300001</v>
      </c>
      <c r="K105"/>
      <c r="L105"/>
      <c r="M105"/>
      <c r="N105"/>
      <c r="O105"/>
      <c r="P105"/>
      <c r="AG105" s="162" t="s">
        <v>585</v>
      </c>
      <c r="AH105" s="163" t="s">
        <v>2332</v>
      </c>
      <c r="AI105" s="46">
        <f t="shared" si="5"/>
        <v>0</v>
      </c>
      <c r="AK105" s="46" t="s">
        <v>585</v>
      </c>
      <c r="AL105" s="46" t="s">
        <v>2332</v>
      </c>
      <c r="AM105" s="193">
        <v>-20295.400000000001</v>
      </c>
      <c r="AQ105" s="216" t="s">
        <v>585</v>
      </c>
      <c r="AR105" s="196" t="s">
        <v>2332</v>
      </c>
      <c r="AS105" s="212">
        <v>-59323</v>
      </c>
    </row>
    <row r="106" spans="1:45">
      <c r="A106" t="s">
        <v>243</v>
      </c>
      <c r="B106" t="s">
        <v>2615</v>
      </c>
      <c r="C106" s="260">
        <v>-20949.53</v>
      </c>
      <c r="D106" s="260">
        <v>-1432.68</v>
      </c>
      <c r="E106" s="260">
        <v>-10900.358520000016</v>
      </c>
      <c r="F106" s="335">
        <v>-11156.512517000025</v>
      </c>
      <c r="G106" s="83">
        <f t="shared" si="6"/>
        <v>-44439.08103700004</v>
      </c>
      <c r="K106"/>
      <c r="L106"/>
      <c r="M106"/>
      <c r="N106"/>
      <c r="O106"/>
      <c r="P106"/>
      <c r="AG106" s="69" t="s">
        <v>581</v>
      </c>
      <c r="AH106" s="164" t="s">
        <v>1523</v>
      </c>
      <c r="AI106" s="46">
        <f t="shared" si="5"/>
        <v>0</v>
      </c>
      <c r="AK106" s="46" t="s">
        <v>581</v>
      </c>
      <c r="AL106" s="46" t="s">
        <v>1523</v>
      </c>
      <c r="AM106" s="193">
        <v>-29725.63</v>
      </c>
      <c r="AQ106" s="189" t="s">
        <v>581</v>
      </c>
      <c r="AR106" s="217" t="s">
        <v>1523</v>
      </c>
      <c r="AS106" s="212">
        <v>-90654.17</v>
      </c>
    </row>
    <row r="107" spans="1:45">
      <c r="A107" t="s">
        <v>245</v>
      </c>
      <c r="B107" t="s">
        <v>2616</v>
      </c>
      <c r="C107" s="260">
        <v>-94905.32</v>
      </c>
      <c r="D107" s="260">
        <v>-79862.710000000006</v>
      </c>
      <c r="E107" s="260">
        <v>-57888.475468000026</v>
      </c>
      <c r="F107" s="335">
        <v>-64450.59666499999</v>
      </c>
      <c r="G107" s="83">
        <f t="shared" si="6"/>
        <v>-297107.10213300004</v>
      </c>
      <c r="K107"/>
      <c r="L107"/>
      <c r="M107"/>
      <c r="N107"/>
      <c r="O107"/>
      <c r="P107"/>
      <c r="AG107" s="165" t="s">
        <v>2617</v>
      </c>
      <c r="AH107" s="163" t="s">
        <v>2618</v>
      </c>
      <c r="AI107" s="46">
        <f t="shared" si="5"/>
        <v>0</v>
      </c>
      <c r="AK107" s="46" t="s">
        <v>2617</v>
      </c>
      <c r="AL107" s="46" t="s">
        <v>2618</v>
      </c>
      <c r="AM107" s="193">
        <v>-58237.84</v>
      </c>
      <c r="AQ107" s="218" t="s">
        <v>2617</v>
      </c>
      <c r="AR107" s="196" t="s">
        <v>2618</v>
      </c>
      <c r="AS107" s="212">
        <v>0</v>
      </c>
    </row>
    <row r="108" spans="1:45">
      <c r="A108" t="s">
        <v>247</v>
      </c>
      <c r="B108" t="s">
        <v>2619</v>
      </c>
      <c r="C108" s="260">
        <v>-239173.31</v>
      </c>
      <c r="D108" s="260">
        <v>96918.55</v>
      </c>
      <c r="E108" s="260">
        <v>61164.664362000127</v>
      </c>
      <c r="F108" s="335">
        <v>-28125.532046000124</v>
      </c>
      <c r="G108" s="83">
        <f t="shared" si="6"/>
        <v>-109215.62768400001</v>
      </c>
      <c r="K108"/>
      <c r="L108"/>
      <c r="M108"/>
      <c r="N108"/>
      <c r="O108"/>
      <c r="P108"/>
      <c r="AG108" s="162" t="s">
        <v>487</v>
      </c>
      <c r="AH108" s="163" t="s">
        <v>2246</v>
      </c>
      <c r="AI108" s="46">
        <f t="shared" si="5"/>
        <v>0</v>
      </c>
      <c r="AK108" s="46" t="s">
        <v>487</v>
      </c>
      <c r="AL108" s="46" t="s">
        <v>2246</v>
      </c>
      <c r="AM108" s="193">
        <v>16232.67</v>
      </c>
      <c r="AQ108" s="216" t="s">
        <v>487</v>
      </c>
      <c r="AR108" s="196" t="s">
        <v>2246</v>
      </c>
      <c r="AS108" s="212">
        <v>-20251</v>
      </c>
    </row>
    <row r="109" spans="1:45">
      <c r="A109" t="s">
        <v>249</v>
      </c>
      <c r="B109" t="s">
        <v>2595</v>
      </c>
      <c r="C109" s="260">
        <v>1758113.7200000053</v>
      </c>
      <c r="D109" s="260">
        <v>-1408898.65</v>
      </c>
      <c r="E109" s="260">
        <v>27556.991168215522</v>
      </c>
      <c r="F109" s="335">
        <v>1621375.4756620713</v>
      </c>
      <c r="G109" s="83">
        <f t="shared" si="6"/>
        <v>1998147.5368302921</v>
      </c>
      <c r="K109"/>
      <c r="L109"/>
      <c r="M109"/>
      <c r="N109"/>
      <c r="O109"/>
      <c r="P109"/>
      <c r="AG109" s="166" t="s">
        <v>489</v>
      </c>
      <c r="AH109" s="164" t="s">
        <v>2620</v>
      </c>
      <c r="AI109" s="46">
        <f t="shared" si="5"/>
        <v>0</v>
      </c>
      <c r="AK109" s="46" t="s">
        <v>489</v>
      </c>
      <c r="AL109" s="46" t="s">
        <v>2620</v>
      </c>
      <c r="AM109" s="193">
        <v>-81652.97</v>
      </c>
      <c r="AQ109" s="219" t="s">
        <v>489</v>
      </c>
      <c r="AR109" s="217" t="s">
        <v>2620</v>
      </c>
      <c r="AS109" s="212">
        <v>-60827.54</v>
      </c>
    </row>
    <row r="110" spans="1:45">
      <c r="A110" t="s">
        <v>251</v>
      </c>
      <c r="B110" t="s">
        <v>2500</v>
      </c>
      <c r="C110" s="260">
        <v>-32236.78</v>
      </c>
      <c r="D110" s="260">
        <v>-29886.33</v>
      </c>
      <c r="E110" s="260">
        <v>30068.776724999996</v>
      </c>
      <c r="F110" s="335">
        <v>131758.83179199998</v>
      </c>
      <c r="G110" s="83">
        <f t="shared" si="6"/>
        <v>99704.498516999971</v>
      </c>
      <c r="K110"/>
      <c r="L110"/>
      <c r="M110"/>
      <c r="N110"/>
      <c r="O110"/>
      <c r="P110"/>
      <c r="AG110" s="69"/>
      <c r="AH110" s="164"/>
      <c r="AI110" s="46">
        <f t="shared" si="5"/>
        <v>17911</v>
      </c>
      <c r="AK110" s="46" t="s">
        <v>259</v>
      </c>
      <c r="AL110" s="46" t="s">
        <v>2621</v>
      </c>
      <c r="AM110" s="193">
        <v>-59922.36</v>
      </c>
      <c r="AQ110" s="189"/>
      <c r="AR110" s="217"/>
      <c r="AS110" s="212">
        <v>-44800.66</v>
      </c>
    </row>
    <row r="111" spans="1:45">
      <c r="A111" t="s">
        <v>253</v>
      </c>
      <c r="B111" t="s">
        <v>2622</v>
      </c>
      <c r="C111" s="260">
        <v>-99219.46</v>
      </c>
      <c r="D111" s="260">
        <v>-108553.42</v>
      </c>
      <c r="E111" s="260">
        <v>-166429.96428400002</v>
      </c>
      <c r="F111" s="335">
        <v>-114535.43407699998</v>
      </c>
      <c r="G111" s="83">
        <f t="shared" si="6"/>
        <v>-488738.278361</v>
      </c>
      <c r="K111"/>
      <c r="L111"/>
      <c r="M111"/>
      <c r="N111"/>
      <c r="O111"/>
      <c r="P111"/>
      <c r="AG111" s="79" t="s">
        <v>67</v>
      </c>
      <c r="AH111" s="78" t="s">
        <v>2486</v>
      </c>
      <c r="AI111" s="46">
        <f t="shared" si="5"/>
        <v>0</v>
      </c>
      <c r="AK111" s="46" t="s">
        <v>67</v>
      </c>
      <c r="AL111" s="46" t="s">
        <v>2486</v>
      </c>
      <c r="AM111" s="193">
        <v>-152545.51999999999</v>
      </c>
      <c r="AQ111" s="73" t="s">
        <v>67</v>
      </c>
      <c r="AR111" s="135" t="s">
        <v>2486</v>
      </c>
      <c r="AS111" s="212">
        <v>-241293.83</v>
      </c>
    </row>
    <row r="112" spans="1:45">
      <c r="A112" t="s">
        <v>255</v>
      </c>
      <c r="B112" t="s">
        <v>2567</v>
      </c>
      <c r="C112" s="260">
        <v>-93628.38</v>
      </c>
      <c r="D112" s="260">
        <v>366888.9</v>
      </c>
      <c r="E112" s="260">
        <v>349084.78785599995</v>
      </c>
      <c r="F112" s="335">
        <v>95311.474649999756</v>
      </c>
      <c r="G112" s="83">
        <f t="shared" si="6"/>
        <v>717656.78250599978</v>
      </c>
      <c r="K112"/>
      <c r="L112"/>
      <c r="M112"/>
      <c r="N112"/>
      <c r="O112"/>
      <c r="P112"/>
      <c r="AG112" s="79" t="s">
        <v>49</v>
      </c>
      <c r="AH112" s="78" t="s">
        <v>2623</v>
      </c>
      <c r="AI112" s="46">
        <f t="shared" si="5"/>
        <v>0</v>
      </c>
      <c r="AK112" s="46" t="s">
        <v>49</v>
      </c>
      <c r="AL112" s="46" t="s">
        <v>2623</v>
      </c>
      <c r="AM112" s="193">
        <v>-210632</v>
      </c>
      <c r="AQ112" s="73" t="s">
        <v>49</v>
      </c>
      <c r="AR112" s="135" t="s">
        <v>2623</v>
      </c>
      <c r="AS112" s="212">
        <v>-244913.61</v>
      </c>
    </row>
    <row r="113" spans="1:45">
      <c r="A113" s="337" t="s">
        <v>257</v>
      </c>
      <c r="B113" s="338" t="s">
        <v>2624</v>
      </c>
      <c r="C113" s="260"/>
      <c r="D113" s="260"/>
      <c r="E113" s="260"/>
      <c r="F113" s="335">
        <v>0</v>
      </c>
      <c r="G113" s="83">
        <f t="shared" si="6"/>
        <v>0</v>
      </c>
      <c r="K113"/>
      <c r="L113"/>
      <c r="M113"/>
      <c r="N113"/>
      <c r="O113"/>
      <c r="P113"/>
      <c r="AG113" s="79" t="s">
        <v>389</v>
      </c>
      <c r="AH113" s="78" t="s">
        <v>2625</v>
      </c>
      <c r="AI113" s="46">
        <f t="shared" si="5"/>
        <v>0</v>
      </c>
      <c r="AK113" s="46" t="s">
        <v>389</v>
      </c>
      <c r="AL113" s="46" t="s">
        <v>2625</v>
      </c>
      <c r="AM113" s="193">
        <v>-403481.21</v>
      </c>
      <c r="AQ113" s="73" t="s">
        <v>389</v>
      </c>
      <c r="AR113" s="135" t="s">
        <v>2625</v>
      </c>
      <c r="AS113" s="212">
        <v>-716774.12</v>
      </c>
    </row>
    <row r="114" spans="1:45">
      <c r="A114" t="s">
        <v>259</v>
      </c>
      <c r="B114" t="s">
        <v>2626</v>
      </c>
      <c r="C114" s="260"/>
      <c r="D114" s="260"/>
      <c r="E114" s="260">
        <v>-8909.7000000000007</v>
      </c>
      <c r="F114" s="335">
        <v>-2382.4100000000035</v>
      </c>
      <c r="G114" s="83">
        <f t="shared" si="6"/>
        <v>-11292.110000000004</v>
      </c>
      <c r="K114"/>
      <c r="L114"/>
      <c r="M114"/>
      <c r="N114"/>
      <c r="O114"/>
      <c r="P114"/>
      <c r="AG114" s="79" t="s">
        <v>93</v>
      </c>
      <c r="AH114" s="78" t="s">
        <v>2506</v>
      </c>
      <c r="AI114" s="46">
        <f t="shared" si="5"/>
        <v>0</v>
      </c>
      <c r="AK114" s="46" t="s">
        <v>93</v>
      </c>
      <c r="AL114" s="46" t="s">
        <v>2506</v>
      </c>
      <c r="AM114" s="193">
        <v>-1170294.6200000001</v>
      </c>
      <c r="AQ114" s="73" t="s">
        <v>93</v>
      </c>
      <c r="AR114" s="135" t="s">
        <v>2506</v>
      </c>
      <c r="AS114" s="212">
        <v>-931076.5</v>
      </c>
    </row>
    <row r="115" spans="1:45">
      <c r="A115" t="s">
        <v>261</v>
      </c>
      <c r="B115" t="s">
        <v>262</v>
      </c>
      <c r="C115" s="260"/>
      <c r="D115" s="260"/>
      <c r="E115" s="260"/>
      <c r="F115" s="335">
        <v>-17612.550000000003</v>
      </c>
      <c r="G115" s="83">
        <f t="shared" si="6"/>
        <v>-17612.550000000003</v>
      </c>
      <c r="K115"/>
      <c r="L115"/>
      <c r="M115"/>
      <c r="N115"/>
      <c r="O115"/>
      <c r="P115"/>
      <c r="AG115" s="79" t="s">
        <v>549</v>
      </c>
      <c r="AH115" s="78" t="s">
        <v>2627</v>
      </c>
      <c r="AI115" s="46">
        <f t="shared" si="5"/>
        <v>0</v>
      </c>
      <c r="AK115" s="46" t="s">
        <v>549</v>
      </c>
      <c r="AL115" s="46" t="s">
        <v>2627</v>
      </c>
      <c r="AM115" s="193">
        <v>-120176.07</v>
      </c>
      <c r="AQ115" s="73" t="s">
        <v>549</v>
      </c>
      <c r="AR115" s="135" t="s">
        <v>2627</v>
      </c>
      <c r="AS115" s="212">
        <v>624393.42000000004</v>
      </c>
    </row>
    <row r="116" spans="1:45">
      <c r="A116" t="s">
        <v>263</v>
      </c>
      <c r="B116" t="s">
        <v>2539</v>
      </c>
      <c r="C116" s="260">
        <v>-119572.23</v>
      </c>
      <c r="D116" s="260">
        <v>-91767.8</v>
      </c>
      <c r="E116" s="260">
        <v>-107667.65815240017</v>
      </c>
      <c r="F116" s="335">
        <v>-167245.39209293295</v>
      </c>
      <c r="G116" s="83">
        <f t="shared" si="6"/>
        <v>-486253.08024533314</v>
      </c>
      <c r="K116"/>
      <c r="L116"/>
      <c r="M116"/>
      <c r="N116"/>
      <c r="O116"/>
      <c r="P116"/>
      <c r="AG116" s="79" t="s">
        <v>165</v>
      </c>
      <c r="AH116" s="78" t="s">
        <v>2565</v>
      </c>
      <c r="AI116" s="46">
        <f t="shared" si="5"/>
        <v>0</v>
      </c>
      <c r="AK116" s="46" t="s">
        <v>165</v>
      </c>
      <c r="AL116" s="46" t="s">
        <v>2565</v>
      </c>
      <c r="AM116" s="193">
        <v>-37009.54</v>
      </c>
      <c r="AQ116" s="73" t="s">
        <v>165</v>
      </c>
      <c r="AR116" s="135" t="s">
        <v>2565</v>
      </c>
      <c r="AS116" s="212">
        <v>-42305.71</v>
      </c>
    </row>
    <row r="117" spans="1:45">
      <c r="A117" t="s">
        <v>265</v>
      </c>
      <c r="B117" t="s">
        <v>2628</v>
      </c>
      <c r="C117" s="260">
        <v>-10481.48</v>
      </c>
      <c r="D117" s="260">
        <v>-14160.64</v>
      </c>
      <c r="E117" s="260">
        <v>-2670.8454049999973</v>
      </c>
      <c r="F117" s="335">
        <v>4831.9342140000008</v>
      </c>
      <c r="G117" s="83">
        <f t="shared" si="6"/>
        <v>-22481.031190999995</v>
      </c>
      <c r="K117"/>
      <c r="L117"/>
      <c r="M117"/>
      <c r="N117"/>
      <c r="O117"/>
      <c r="P117"/>
      <c r="AG117" s="79" t="s">
        <v>603</v>
      </c>
      <c r="AH117" s="78" t="s">
        <v>2629</v>
      </c>
      <c r="AI117" s="46">
        <f t="shared" si="5"/>
        <v>0</v>
      </c>
      <c r="AK117" s="46" t="s">
        <v>603</v>
      </c>
      <c r="AL117" s="46" t="s">
        <v>2629</v>
      </c>
      <c r="AM117" s="193">
        <v>-57293.66</v>
      </c>
      <c r="AQ117" s="73" t="s">
        <v>603</v>
      </c>
      <c r="AR117" s="135" t="s">
        <v>2629</v>
      </c>
      <c r="AS117" s="212">
        <v>-162302.39000000001</v>
      </c>
    </row>
    <row r="118" spans="1:45">
      <c r="A118" t="s">
        <v>267</v>
      </c>
      <c r="B118" t="s">
        <v>2611</v>
      </c>
      <c r="C118" s="260">
        <v>1818051.0200000049</v>
      </c>
      <c r="D118" s="260">
        <v>-1642536.02</v>
      </c>
      <c r="E118" s="260">
        <v>-2346486.6339160004</v>
      </c>
      <c r="F118" s="335">
        <v>-918099.25197771378</v>
      </c>
      <c r="G118" s="83">
        <f t="shared" si="6"/>
        <v>-3089070.885893709</v>
      </c>
      <c r="K118"/>
      <c r="L118"/>
      <c r="M118"/>
      <c r="N118"/>
      <c r="O118"/>
      <c r="P118"/>
      <c r="AG118" s="79" t="s">
        <v>171</v>
      </c>
      <c r="AH118" s="78" t="s">
        <v>2570</v>
      </c>
      <c r="AI118" s="46">
        <f t="shared" si="5"/>
        <v>0</v>
      </c>
      <c r="AK118" s="46" t="s">
        <v>171</v>
      </c>
      <c r="AL118" s="46" t="s">
        <v>2570</v>
      </c>
      <c r="AM118" s="193">
        <v>-187467.28</v>
      </c>
      <c r="AQ118" s="73" t="s">
        <v>171</v>
      </c>
      <c r="AR118" s="135" t="s">
        <v>2570</v>
      </c>
      <c r="AS118" s="212">
        <v>9511.2199999999993</v>
      </c>
    </row>
    <row r="119" spans="1:45">
      <c r="A119" t="s">
        <v>269</v>
      </c>
      <c r="B119" t="s">
        <v>2545</v>
      </c>
      <c r="C119" s="260">
        <v>-38899.71</v>
      </c>
      <c r="D119" s="260">
        <v>-47035.65</v>
      </c>
      <c r="E119" s="260">
        <v>-52751.261396000002</v>
      </c>
      <c r="F119" s="335">
        <v>-48998.472947999995</v>
      </c>
      <c r="G119" s="83">
        <f t="shared" si="6"/>
        <v>-187685.09434399998</v>
      </c>
      <c r="K119"/>
      <c r="L119"/>
      <c r="M119"/>
      <c r="N119"/>
      <c r="O119"/>
      <c r="P119"/>
      <c r="AG119" s="79" t="s">
        <v>285</v>
      </c>
      <c r="AH119" s="78" t="s">
        <v>2630</v>
      </c>
      <c r="AI119" s="46">
        <f t="shared" si="5"/>
        <v>0</v>
      </c>
      <c r="AK119" s="46" t="s">
        <v>285</v>
      </c>
      <c r="AL119" s="46" t="s">
        <v>2630</v>
      </c>
      <c r="AM119" s="193">
        <v>-122959.67</v>
      </c>
      <c r="AQ119" s="73" t="s">
        <v>285</v>
      </c>
      <c r="AR119" s="135" t="s">
        <v>2630</v>
      </c>
      <c r="AS119" s="212">
        <v>-126683.17</v>
      </c>
    </row>
    <row r="120" spans="1:45">
      <c r="A120" t="s">
        <v>271</v>
      </c>
      <c r="B120" t="s">
        <v>2518</v>
      </c>
      <c r="C120" s="260">
        <v>-45003.77</v>
      </c>
      <c r="D120" s="260">
        <v>-65498.96</v>
      </c>
      <c r="E120" s="260">
        <v>-85085.197545000046</v>
      </c>
      <c r="F120" s="335">
        <v>-60012.227355000097</v>
      </c>
      <c r="G120" s="83">
        <f t="shared" si="6"/>
        <v>-255600.15490000014</v>
      </c>
      <c r="K120"/>
      <c r="L120"/>
      <c r="M120"/>
      <c r="N120"/>
      <c r="O120"/>
      <c r="P120"/>
      <c r="AG120" s="79" t="s">
        <v>111</v>
      </c>
      <c r="AH120" s="78" t="s">
        <v>2631</v>
      </c>
      <c r="AI120" s="46">
        <f t="shared" si="5"/>
        <v>0</v>
      </c>
      <c r="AK120" s="46" t="s">
        <v>111</v>
      </c>
      <c r="AL120" s="46" t="s">
        <v>2631</v>
      </c>
      <c r="AM120" s="193">
        <v>-135007.18</v>
      </c>
      <c r="AQ120" s="73" t="s">
        <v>111</v>
      </c>
      <c r="AR120" s="135" t="s">
        <v>2631</v>
      </c>
      <c r="AS120" s="212">
        <v>-121144.18</v>
      </c>
    </row>
    <row r="121" spans="1:45">
      <c r="A121" t="s">
        <v>273</v>
      </c>
      <c r="B121" t="s">
        <v>2534</v>
      </c>
      <c r="C121" s="260">
        <v>-86252.62</v>
      </c>
      <c r="D121" s="260">
        <v>-86505.2</v>
      </c>
      <c r="E121" s="260">
        <v>-72719.312998000009</v>
      </c>
      <c r="F121" s="335">
        <v>-73331.968751000008</v>
      </c>
      <c r="G121" s="83">
        <f t="shared" si="6"/>
        <v>-318809.10174900002</v>
      </c>
      <c r="K121"/>
      <c r="L121"/>
      <c r="M121"/>
      <c r="N121"/>
      <c r="O121"/>
      <c r="P121"/>
      <c r="AG121" s="79" t="s">
        <v>679</v>
      </c>
      <c r="AH121" s="78" t="s">
        <v>2632</v>
      </c>
      <c r="AI121" s="46">
        <f t="shared" si="5"/>
        <v>0</v>
      </c>
      <c r="AK121" s="46" t="s">
        <v>679</v>
      </c>
      <c r="AL121" s="46" t="s">
        <v>2632</v>
      </c>
      <c r="AM121" s="193">
        <v>-48157.14</v>
      </c>
      <c r="AQ121" s="73" t="s">
        <v>679</v>
      </c>
      <c r="AR121" s="135" t="s">
        <v>2632</v>
      </c>
      <c r="AS121" s="212">
        <v>-44761.71</v>
      </c>
    </row>
    <row r="122" spans="1:45">
      <c r="A122" t="s">
        <v>275</v>
      </c>
      <c r="B122" t="s">
        <v>2521</v>
      </c>
      <c r="C122" s="260">
        <v>-556013.54</v>
      </c>
      <c r="D122" s="260">
        <v>-251728.97</v>
      </c>
      <c r="E122" s="260">
        <v>-643169.5267759813</v>
      </c>
      <c r="F122" s="335">
        <v>-126757.00728404755</v>
      </c>
      <c r="G122" s="83">
        <f t="shared" si="6"/>
        <v>-1577669.0440600289</v>
      </c>
      <c r="K122"/>
      <c r="L122"/>
      <c r="M122"/>
      <c r="N122"/>
      <c r="O122"/>
      <c r="P122"/>
      <c r="AG122" s="79" t="s">
        <v>91</v>
      </c>
      <c r="AH122" s="78" t="s">
        <v>2504</v>
      </c>
      <c r="AI122" s="46">
        <f t="shared" si="5"/>
        <v>0</v>
      </c>
      <c r="AK122" s="46" t="s">
        <v>91</v>
      </c>
      <c r="AL122" s="46" t="s">
        <v>2504</v>
      </c>
      <c r="AM122" s="193">
        <v>-33096.379999999997</v>
      </c>
      <c r="AQ122" s="73" t="s">
        <v>91</v>
      </c>
      <c r="AR122" s="135" t="s">
        <v>2504</v>
      </c>
      <c r="AS122" s="212">
        <v>-40912.629999999997</v>
      </c>
    </row>
    <row r="123" spans="1:45">
      <c r="A123" t="s">
        <v>277</v>
      </c>
      <c r="B123" t="s">
        <v>2464</v>
      </c>
      <c r="C123" s="260">
        <v>-1039119.16</v>
      </c>
      <c r="D123" s="260">
        <v>-409020.59</v>
      </c>
      <c r="E123" s="260">
        <v>-514059.97149599809</v>
      </c>
      <c r="F123" s="335">
        <v>1873120.7494391166</v>
      </c>
      <c r="G123" s="83">
        <f t="shared" si="6"/>
        <v>-89078.972056881525</v>
      </c>
      <c r="K123"/>
      <c r="L123"/>
      <c r="M123"/>
      <c r="N123"/>
      <c r="O123"/>
      <c r="P123"/>
      <c r="AG123" s="79" t="s">
        <v>225</v>
      </c>
      <c r="AH123" s="78" t="s">
        <v>2602</v>
      </c>
      <c r="AI123" s="46">
        <f t="shared" si="5"/>
        <v>0</v>
      </c>
      <c r="AK123" s="46" t="s">
        <v>225</v>
      </c>
      <c r="AL123" s="46" t="s">
        <v>2602</v>
      </c>
      <c r="AM123" s="193">
        <v>-64017.39</v>
      </c>
      <c r="AQ123" s="73" t="s">
        <v>225</v>
      </c>
      <c r="AR123" s="135" t="s">
        <v>2602</v>
      </c>
      <c r="AS123" s="212">
        <v>-87778.81</v>
      </c>
    </row>
    <row r="124" spans="1:45">
      <c r="A124" t="s">
        <v>279</v>
      </c>
      <c r="B124" t="s">
        <v>2633</v>
      </c>
      <c r="C124" s="260">
        <v>1530506.3299999996</v>
      </c>
      <c r="D124" s="260">
        <v>-466427.29</v>
      </c>
      <c r="E124" s="260">
        <v>1397183.8477007186</v>
      </c>
      <c r="F124" s="335">
        <v>1425514.1100778133</v>
      </c>
      <c r="G124" s="83">
        <f t="shared" si="6"/>
        <v>3886776.9977785312</v>
      </c>
      <c r="K124"/>
      <c r="L124"/>
      <c r="M124"/>
      <c r="N124"/>
      <c r="O124"/>
      <c r="P124"/>
      <c r="AG124" s="79" t="s">
        <v>287</v>
      </c>
      <c r="AH124" s="78" t="s">
        <v>288</v>
      </c>
      <c r="AI124" s="46">
        <f t="shared" si="5"/>
        <v>0</v>
      </c>
      <c r="AK124" s="46" t="s">
        <v>287</v>
      </c>
      <c r="AL124" s="46" t="s">
        <v>288</v>
      </c>
      <c r="AM124" s="193">
        <v>-96378.98</v>
      </c>
      <c r="AQ124" s="73" t="s">
        <v>287</v>
      </c>
      <c r="AR124" s="135" t="s">
        <v>288</v>
      </c>
      <c r="AS124" s="212">
        <v>-81333.509999999995</v>
      </c>
    </row>
    <row r="125" spans="1:45">
      <c r="A125" t="s">
        <v>281</v>
      </c>
      <c r="B125" t="s">
        <v>2634</v>
      </c>
      <c r="C125" s="260">
        <v>-27992.16</v>
      </c>
      <c r="D125" s="260">
        <v>-22632.880000000001</v>
      </c>
      <c r="E125" s="260">
        <v>-73647.599533660672</v>
      </c>
      <c r="F125" s="335">
        <v>-74683.690240586642</v>
      </c>
      <c r="G125" s="83">
        <f t="shared" si="6"/>
        <v>-198956.32977424731</v>
      </c>
      <c r="K125"/>
      <c r="L125"/>
      <c r="M125"/>
      <c r="N125"/>
      <c r="O125"/>
      <c r="P125"/>
      <c r="AG125" s="79" t="s">
        <v>227</v>
      </c>
      <c r="AH125" s="78" t="s">
        <v>2604</v>
      </c>
      <c r="AI125" s="46">
        <f t="shared" si="5"/>
        <v>0</v>
      </c>
      <c r="AK125" s="46" t="s">
        <v>227</v>
      </c>
      <c r="AL125" s="46" t="s">
        <v>2604</v>
      </c>
      <c r="AM125" s="193">
        <v>-56026.44</v>
      </c>
      <c r="AQ125" s="73" t="s">
        <v>227</v>
      </c>
      <c r="AR125" s="135" t="s">
        <v>2604</v>
      </c>
      <c r="AS125" s="212">
        <v>-72691.45</v>
      </c>
    </row>
    <row r="126" spans="1:45">
      <c r="A126" t="s">
        <v>283</v>
      </c>
      <c r="B126" t="s">
        <v>1201</v>
      </c>
      <c r="C126" s="260">
        <v>-71029.490000000005</v>
      </c>
      <c r="D126" s="260">
        <v>-113441.34</v>
      </c>
      <c r="E126" s="260">
        <v>-19041.925214999821</v>
      </c>
      <c r="F126" s="335">
        <v>5126.2600349999266</v>
      </c>
      <c r="G126" s="83">
        <f t="shared" si="6"/>
        <v>-198386.49517999991</v>
      </c>
      <c r="K126"/>
      <c r="L126"/>
      <c r="M126"/>
      <c r="N126"/>
      <c r="O126"/>
      <c r="P126"/>
      <c r="AG126" s="79" t="s">
        <v>665</v>
      </c>
      <c r="AH126" s="78" t="s">
        <v>2635</v>
      </c>
      <c r="AI126" s="46">
        <f t="shared" si="5"/>
        <v>0</v>
      </c>
      <c r="AK126" s="46" t="s">
        <v>665</v>
      </c>
      <c r="AL126" s="46" t="s">
        <v>2635</v>
      </c>
      <c r="AM126" s="193">
        <v>-107475.51</v>
      </c>
      <c r="AQ126" s="73" t="s">
        <v>665</v>
      </c>
      <c r="AR126" s="135" t="s">
        <v>2635</v>
      </c>
      <c r="AS126" s="212">
        <v>-66289.67</v>
      </c>
    </row>
    <row r="127" spans="1:45">
      <c r="A127" t="s">
        <v>285</v>
      </c>
      <c r="B127" t="s">
        <v>2630</v>
      </c>
      <c r="C127" s="260">
        <v>-122959.67</v>
      </c>
      <c r="D127" s="260">
        <v>-126683.17</v>
      </c>
      <c r="E127" s="260">
        <v>4635.9290399999918</v>
      </c>
      <c r="F127" s="335">
        <v>69295.254334999889</v>
      </c>
      <c r="G127" s="83">
        <f t="shared" si="6"/>
        <v>-175711.65662500012</v>
      </c>
      <c r="K127"/>
      <c r="L127"/>
      <c r="M127"/>
      <c r="N127"/>
      <c r="O127"/>
      <c r="P127"/>
      <c r="AG127" s="79" t="s">
        <v>319</v>
      </c>
      <c r="AH127" s="78" t="s">
        <v>2636</v>
      </c>
      <c r="AI127" s="46">
        <f t="shared" si="5"/>
        <v>0</v>
      </c>
      <c r="AK127" s="46" t="s">
        <v>319</v>
      </c>
      <c r="AL127" s="46" t="s">
        <v>2636</v>
      </c>
      <c r="AM127" s="193">
        <v>-110457.66</v>
      </c>
      <c r="AQ127" s="73" t="s">
        <v>319</v>
      </c>
      <c r="AR127" s="135" t="s">
        <v>2636</v>
      </c>
      <c r="AS127" s="212">
        <v>-122406.56</v>
      </c>
    </row>
    <row r="128" spans="1:45">
      <c r="A128" t="s">
        <v>287</v>
      </c>
      <c r="B128" t="s">
        <v>288</v>
      </c>
      <c r="C128" s="260">
        <v>-96378.98</v>
      </c>
      <c r="D128" s="260">
        <v>-81333.509999999995</v>
      </c>
      <c r="E128" s="260">
        <v>-55435.333620000019</v>
      </c>
      <c r="F128" s="335">
        <v>-79225.946079999994</v>
      </c>
      <c r="G128" s="83">
        <f t="shared" si="6"/>
        <v>-312373.7697</v>
      </c>
      <c r="K128"/>
      <c r="L128"/>
      <c r="M128"/>
      <c r="N128"/>
      <c r="O128"/>
      <c r="P128"/>
      <c r="AG128" s="79" t="s">
        <v>373</v>
      </c>
      <c r="AH128" s="78" t="s">
        <v>2637</v>
      </c>
      <c r="AI128" s="46">
        <f t="shared" si="5"/>
        <v>0</v>
      </c>
      <c r="AK128" s="46" t="s">
        <v>373</v>
      </c>
      <c r="AL128" s="46" t="s">
        <v>2637</v>
      </c>
      <c r="AM128" s="193">
        <v>-23175.78</v>
      </c>
      <c r="AQ128" s="73" t="s">
        <v>373</v>
      </c>
      <c r="AR128" s="135" t="s">
        <v>2637</v>
      </c>
      <c r="AS128" s="212">
        <v>-1621.73</v>
      </c>
    </row>
    <row r="129" spans="1:45">
      <c r="A129" t="s">
        <v>291</v>
      </c>
      <c r="B129" t="s">
        <v>1202</v>
      </c>
      <c r="C129" s="260">
        <v>-287396.69</v>
      </c>
      <c r="D129" s="260">
        <v>-207842.92</v>
      </c>
      <c r="E129" s="260">
        <v>-320978.99953200005</v>
      </c>
      <c r="F129" s="335">
        <v>80707.262359999819</v>
      </c>
      <c r="G129" s="83">
        <f t="shared" si="6"/>
        <v>-735511.34717200021</v>
      </c>
      <c r="K129"/>
      <c r="L129"/>
      <c r="M129"/>
      <c r="N129"/>
      <c r="O129"/>
      <c r="P129"/>
      <c r="AG129" s="79" t="s">
        <v>357</v>
      </c>
      <c r="AH129" s="78" t="s">
        <v>2638</v>
      </c>
      <c r="AI129" s="46">
        <f t="shared" si="5"/>
        <v>0</v>
      </c>
      <c r="AK129" s="46" t="s">
        <v>357</v>
      </c>
      <c r="AL129" s="46" t="s">
        <v>2638</v>
      </c>
      <c r="AM129" s="193">
        <v>-6853.9</v>
      </c>
      <c r="AQ129" s="73" t="s">
        <v>357</v>
      </c>
      <c r="AR129" s="135" t="s">
        <v>2638</v>
      </c>
      <c r="AS129" s="212">
        <v>-15586.9</v>
      </c>
    </row>
    <row r="130" spans="1:45">
      <c r="A130" t="s">
        <v>289</v>
      </c>
      <c r="B130" t="s">
        <v>2639</v>
      </c>
      <c r="C130" s="260">
        <v>-245059.43</v>
      </c>
      <c r="D130" s="260">
        <v>-301009.53999999998</v>
      </c>
      <c r="E130" s="260">
        <v>-35704.441413999979</v>
      </c>
      <c r="F130" s="335">
        <v>-253798.16301999998</v>
      </c>
      <c r="G130" s="83">
        <f t="shared" si="6"/>
        <v>-835571.57443399995</v>
      </c>
      <c r="K130"/>
      <c r="L130"/>
      <c r="M130"/>
      <c r="N130"/>
      <c r="O130"/>
      <c r="P130"/>
      <c r="AG130" s="79" t="s">
        <v>353</v>
      </c>
      <c r="AH130" s="78" t="s">
        <v>2640</v>
      </c>
      <c r="AI130" s="46">
        <f t="shared" ref="AI130:AI193" si="7">+AK130-AG130</f>
        <v>0</v>
      </c>
      <c r="AK130" s="46" t="s">
        <v>353</v>
      </c>
      <c r="AL130" s="46" t="s">
        <v>2640</v>
      </c>
      <c r="AM130" s="193">
        <v>-124166.91</v>
      </c>
      <c r="AQ130" s="73" t="s">
        <v>353</v>
      </c>
      <c r="AR130" s="135" t="s">
        <v>2640</v>
      </c>
      <c r="AS130" s="212">
        <v>-45809.54</v>
      </c>
    </row>
    <row r="131" spans="1:45">
      <c r="A131" s="359" t="s">
        <v>293</v>
      </c>
      <c r="B131" s="360" t="s">
        <v>294</v>
      </c>
      <c r="C131" s="260"/>
      <c r="D131" s="260"/>
      <c r="E131" s="260"/>
      <c r="F131" s="335"/>
      <c r="G131" s="83"/>
      <c r="K131"/>
      <c r="L131"/>
      <c r="M131"/>
      <c r="N131"/>
      <c r="O131"/>
      <c r="P131"/>
      <c r="AG131" s="79" t="s">
        <v>35</v>
      </c>
      <c r="AH131" s="78" t="s">
        <v>2451</v>
      </c>
      <c r="AI131" s="46">
        <f t="shared" si="7"/>
        <v>0</v>
      </c>
      <c r="AK131" s="46" t="s">
        <v>35</v>
      </c>
      <c r="AL131" s="46" t="s">
        <v>2451</v>
      </c>
      <c r="AM131" s="193">
        <v>-86102.080000000002</v>
      </c>
      <c r="AQ131" s="73" t="s">
        <v>35</v>
      </c>
      <c r="AR131" s="135" t="s">
        <v>2451</v>
      </c>
      <c r="AS131" s="212">
        <v>-57960.15</v>
      </c>
    </row>
    <row r="132" spans="1:45">
      <c r="A132" t="s">
        <v>295</v>
      </c>
      <c r="B132" t="s">
        <v>2483</v>
      </c>
      <c r="C132" s="260">
        <v>-274808.34999999998</v>
      </c>
      <c r="D132" s="260">
        <v>-213669.82</v>
      </c>
      <c r="E132" s="260">
        <v>-199704.30309800003</v>
      </c>
      <c r="F132" s="335">
        <v>-77452.386015999946</v>
      </c>
      <c r="G132" s="83">
        <f t="shared" ref="G132:G165" si="8">SUM(C132:F132)</f>
        <v>-765634.85911399999</v>
      </c>
      <c r="K132"/>
      <c r="L132"/>
      <c r="M132"/>
      <c r="N132"/>
      <c r="O132"/>
      <c r="P132"/>
      <c r="AG132" s="79" t="s">
        <v>675</v>
      </c>
      <c r="AH132" s="78" t="s">
        <v>2641</v>
      </c>
      <c r="AI132" s="46">
        <f t="shared" si="7"/>
        <v>0</v>
      </c>
      <c r="AK132" s="46" t="s">
        <v>675</v>
      </c>
      <c r="AL132" s="46" t="s">
        <v>2641</v>
      </c>
      <c r="AM132" s="193">
        <v>-62438.5</v>
      </c>
      <c r="AQ132" s="73" t="s">
        <v>675</v>
      </c>
      <c r="AR132" s="135" t="s">
        <v>2641</v>
      </c>
      <c r="AS132" s="212">
        <v>-14349.66</v>
      </c>
    </row>
    <row r="133" spans="1:45">
      <c r="A133" t="s">
        <v>297</v>
      </c>
      <c r="B133" t="s">
        <v>2642</v>
      </c>
      <c r="C133" s="260">
        <v>-497265.14</v>
      </c>
      <c r="D133" s="260">
        <v>-179997.16</v>
      </c>
      <c r="E133" s="260">
        <v>44444.276059020078</v>
      </c>
      <c r="F133" s="335">
        <v>251116.53556962032</v>
      </c>
      <c r="G133" s="83">
        <f t="shared" si="8"/>
        <v>-381701.48837135965</v>
      </c>
      <c r="K133"/>
      <c r="L133"/>
      <c r="M133"/>
      <c r="N133"/>
      <c r="O133"/>
      <c r="P133"/>
      <c r="AG133" s="79" t="s">
        <v>65</v>
      </c>
      <c r="AH133" s="78" t="s">
        <v>2484</v>
      </c>
      <c r="AI133" s="46">
        <f t="shared" si="7"/>
        <v>0</v>
      </c>
      <c r="AK133" s="46" t="s">
        <v>65</v>
      </c>
      <c r="AL133" s="46" t="s">
        <v>2484</v>
      </c>
      <c r="AM133" s="193">
        <v>-58234.74</v>
      </c>
      <c r="AQ133" s="73" t="s">
        <v>65</v>
      </c>
      <c r="AR133" s="135" t="s">
        <v>2484</v>
      </c>
      <c r="AS133" s="212">
        <v>-52898.53</v>
      </c>
    </row>
    <row r="134" spans="1:45">
      <c r="A134" t="s">
        <v>299</v>
      </c>
      <c r="B134" t="s">
        <v>2614</v>
      </c>
      <c r="C134" s="260">
        <v>-648497</v>
      </c>
      <c r="D134" s="260">
        <v>-473734.72</v>
      </c>
      <c r="E134" s="260">
        <v>13425.404310072394</v>
      </c>
      <c r="F134" s="335">
        <v>440134.05452983081</v>
      </c>
      <c r="G134" s="83">
        <f t="shared" si="8"/>
        <v>-668672.26116009685</v>
      </c>
      <c r="K134"/>
      <c r="L134"/>
      <c r="M134"/>
      <c r="N134"/>
      <c r="O134"/>
      <c r="P134"/>
      <c r="AG134" s="79" t="s">
        <v>605</v>
      </c>
      <c r="AH134" s="78" t="s">
        <v>2643</v>
      </c>
      <c r="AI134" s="46">
        <f t="shared" si="7"/>
        <v>0</v>
      </c>
      <c r="AK134" s="46" t="s">
        <v>605</v>
      </c>
      <c r="AL134" s="46" t="s">
        <v>2643</v>
      </c>
      <c r="AM134" s="193">
        <v>-27669.4</v>
      </c>
      <c r="AQ134" s="73" t="s">
        <v>605</v>
      </c>
      <c r="AR134" s="135" t="s">
        <v>2643</v>
      </c>
      <c r="AS134" s="212">
        <v>345.02</v>
      </c>
    </row>
    <row r="135" spans="1:45">
      <c r="A135" t="s">
        <v>301</v>
      </c>
      <c r="B135" t="s">
        <v>2644</v>
      </c>
      <c r="C135" s="260">
        <v>-146483.12</v>
      </c>
      <c r="D135" s="260">
        <v>-100309.47</v>
      </c>
      <c r="E135" s="260">
        <v>-137726.69743200013</v>
      </c>
      <c r="F135" s="335">
        <v>145527.28920400003</v>
      </c>
      <c r="G135" s="83">
        <f t="shared" si="8"/>
        <v>-238991.99822800013</v>
      </c>
      <c r="K135"/>
      <c r="L135"/>
      <c r="M135"/>
      <c r="N135"/>
      <c r="O135"/>
      <c r="P135"/>
      <c r="AG135" s="79" t="s">
        <v>419</v>
      </c>
      <c r="AH135" s="78" t="s">
        <v>2645</v>
      </c>
      <c r="AI135" s="46">
        <f t="shared" si="7"/>
        <v>0</v>
      </c>
      <c r="AK135" s="46" t="s">
        <v>419</v>
      </c>
      <c r="AL135" s="46" t="s">
        <v>2645</v>
      </c>
      <c r="AM135" s="193">
        <v>-2615.2399999999998</v>
      </c>
      <c r="AQ135" s="73" t="s">
        <v>419</v>
      </c>
      <c r="AR135" s="135" t="s">
        <v>2645</v>
      </c>
      <c r="AS135" s="212">
        <v>72234.649999999994</v>
      </c>
    </row>
    <row r="136" spans="1:45">
      <c r="A136" t="s">
        <v>303</v>
      </c>
      <c r="B136" t="s">
        <v>2646</v>
      </c>
      <c r="C136" s="260">
        <v>-22398.5</v>
      </c>
      <c r="D136" s="260">
        <v>-16668.04</v>
      </c>
      <c r="E136" s="260">
        <v>-15880.926325000011</v>
      </c>
      <c r="F136" s="335">
        <v>-23548.804125999995</v>
      </c>
      <c r="G136" s="83">
        <f t="shared" si="8"/>
        <v>-78496.270451000019</v>
      </c>
      <c r="K136"/>
      <c r="L136"/>
      <c r="M136"/>
      <c r="N136"/>
      <c r="O136"/>
      <c r="P136"/>
      <c r="AG136" s="79" t="s">
        <v>447</v>
      </c>
      <c r="AH136" s="78" t="s">
        <v>2647</v>
      </c>
      <c r="AI136" s="46">
        <f t="shared" si="7"/>
        <v>0</v>
      </c>
      <c r="AK136" s="46" t="s">
        <v>447</v>
      </c>
      <c r="AL136" s="46" t="s">
        <v>2647</v>
      </c>
      <c r="AM136" s="193">
        <v>-48267.42</v>
      </c>
      <c r="AQ136" s="73" t="s">
        <v>447</v>
      </c>
      <c r="AR136" s="135" t="s">
        <v>2647</v>
      </c>
      <c r="AS136" s="212">
        <v>-43176.85</v>
      </c>
    </row>
    <row r="137" spans="1:45">
      <c r="A137" t="s">
        <v>305</v>
      </c>
      <c r="B137" t="s">
        <v>2648</v>
      </c>
      <c r="C137" s="260">
        <v>-102007.91</v>
      </c>
      <c r="D137" s="260">
        <v>-80357.31</v>
      </c>
      <c r="E137" s="260">
        <v>-19420.016694999984</v>
      </c>
      <c r="F137" s="335">
        <v>83898.720550999977</v>
      </c>
      <c r="G137" s="83">
        <f t="shared" si="8"/>
        <v>-117886.51614399999</v>
      </c>
      <c r="K137"/>
      <c r="L137"/>
      <c r="M137"/>
      <c r="N137"/>
      <c r="O137"/>
      <c r="P137"/>
      <c r="AG137" s="79" t="s">
        <v>99</v>
      </c>
      <c r="AH137" s="78" t="s">
        <v>2510</v>
      </c>
      <c r="AI137" s="46">
        <f t="shared" si="7"/>
        <v>0</v>
      </c>
      <c r="AK137" s="46" t="s">
        <v>99</v>
      </c>
      <c r="AL137" s="46" t="s">
        <v>2510</v>
      </c>
      <c r="AM137" s="193">
        <v>-206126.02</v>
      </c>
      <c r="AQ137" s="73" t="s">
        <v>99</v>
      </c>
      <c r="AR137" s="135" t="s">
        <v>2510</v>
      </c>
      <c r="AS137" s="212">
        <v>-217487.89</v>
      </c>
    </row>
    <row r="138" spans="1:45">
      <c r="A138" t="s">
        <v>307</v>
      </c>
      <c r="B138" t="s">
        <v>2454</v>
      </c>
      <c r="C138" s="260">
        <v>-134660.25</v>
      </c>
      <c r="D138" s="260">
        <v>-76230.23</v>
      </c>
      <c r="E138" s="260">
        <v>-60799.307671000024</v>
      </c>
      <c r="F138" s="335">
        <v>-68618.794852000021</v>
      </c>
      <c r="G138" s="83">
        <f t="shared" si="8"/>
        <v>-340308.58252300002</v>
      </c>
      <c r="K138"/>
      <c r="L138"/>
      <c r="M138"/>
      <c r="N138"/>
      <c r="O138"/>
      <c r="P138"/>
      <c r="AG138" s="79" t="s">
        <v>661</v>
      </c>
      <c r="AH138" s="78" t="s">
        <v>2649</v>
      </c>
      <c r="AI138" s="46">
        <f t="shared" si="7"/>
        <v>0</v>
      </c>
      <c r="AK138" s="46" t="s">
        <v>661</v>
      </c>
      <c r="AL138" s="46" t="s">
        <v>2649</v>
      </c>
      <c r="AM138" s="193">
        <v>-46421.3</v>
      </c>
      <c r="AQ138" s="73" t="s">
        <v>661</v>
      </c>
      <c r="AR138" s="135" t="s">
        <v>2649</v>
      </c>
      <c r="AS138" s="212">
        <v>1124.96</v>
      </c>
    </row>
    <row r="139" spans="1:45">
      <c r="A139" t="s">
        <v>309</v>
      </c>
      <c r="B139" t="s">
        <v>2515</v>
      </c>
      <c r="C139" s="260">
        <v>-363877.95</v>
      </c>
      <c r="D139" s="260">
        <v>-177093.74</v>
      </c>
      <c r="E139" s="260">
        <v>-64443.982029430539</v>
      </c>
      <c r="F139" s="335">
        <v>382450.97587171756</v>
      </c>
      <c r="G139" s="83">
        <f t="shared" si="8"/>
        <v>-222964.69615771296</v>
      </c>
      <c r="K139"/>
      <c r="L139"/>
      <c r="M139"/>
      <c r="N139"/>
      <c r="O139"/>
      <c r="P139"/>
      <c r="AG139" s="79" t="s">
        <v>97</v>
      </c>
      <c r="AH139" s="78" t="s">
        <v>2509</v>
      </c>
      <c r="AI139" s="46">
        <f t="shared" si="7"/>
        <v>0</v>
      </c>
      <c r="AK139" s="46" t="s">
        <v>97</v>
      </c>
      <c r="AL139" s="46" t="s">
        <v>2509</v>
      </c>
      <c r="AM139" s="193">
        <v>-437692.2</v>
      </c>
      <c r="AQ139" s="73" t="s">
        <v>97</v>
      </c>
      <c r="AR139" s="135" t="s">
        <v>2509</v>
      </c>
      <c r="AS139" s="212">
        <v>-377334.31</v>
      </c>
    </row>
    <row r="140" spans="1:45">
      <c r="A140" t="s">
        <v>311</v>
      </c>
      <c r="B140" t="s">
        <v>2650</v>
      </c>
      <c r="C140" s="260">
        <v>-99125.35</v>
      </c>
      <c r="D140" s="260">
        <v>-130716.75</v>
      </c>
      <c r="E140" s="260">
        <v>-183131.88562300007</v>
      </c>
      <c r="F140" s="335">
        <v>-142979.84973400002</v>
      </c>
      <c r="G140" s="83">
        <f t="shared" si="8"/>
        <v>-555953.83535700012</v>
      </c>
      <c r="K140"/>
      <c r="L140"/>
      <c r="M140"/>
      <c r="N140"/>
      <c r="O140"/>
      <c r="P140"/>
      <c r="AG140" s="79" t="s">
        <v>559</v>
      </c>
      <c r="AH140" s="78" t="s">
        <v>2651</v>
      </c>
      <c r="AI140" s="46">
        <f t="shared" si="7"/>
        <v>0</v>
      </c>
      <c r="AK140" s="46" t="s">
        <v>559</v>
      </c>
      <c r="AL140" s="46" t="s">
        <v>2651</v>
      </c>
      <c r="AM140" s="193">
        <v>-71516.570000000007</v>
      </c>
      <c r="AQ140" s="73" t="s">
        <v>559</v>
      </c>
      <c r="AR140" s="135" t="s">
        <v>2651</v>
      </c>
      <c r="AS140" s="212">
        <v>-24758.11</v>
      </c>
    </row>
    <row r="141" spans="1:45">
      <c r="A141" t="s">
        <v>313</v>
      </c>
      <c r="B141" t="s">
        <v>314</v>
      </c>
      <c r="C141" s="260">
        <v>-121919.19</v>
      </c>
      <c r="D141" s="260">
        <v>-131825.97</v>
      </c>
      <c r="E141" s="260">
        <v>-26938.582875000004</v>
      </c>
      <c r="F141" s="335">
        <v>-69020.283839999989</v>
      </c>
      <c r="G141" s="83">
        <f t="shared" si="8"/>
        <v>-349704.02671499999</v>
      </c>
      <c r="K141"/>
      <c r="L141"/>
      <c r="M141"/>
      <c r="N141"/>
      <c r="O141"/>
      <c r="P141"/>
      <c r="AG141" s="79" t="s">
        <v>493</v>
      </c>
      <c r="AH141" s="78" t="s">
        <v>2652</v>
      </c>
      <c r="AI141" s="46">
        <f t="shared" si="7"/>
        <v>0</v>
      </c>
      <c r="AK141" s="46" t="s">
        <v>493</v>
      </c>
      <c r="AL141" s="46" t="s">
        <v>2652</v>
      </c>
      <c r="AM141" s="193">
        <v>-92663.38</v>
      </c>
      <c r="AQ141" s="73" t="s">
        <v>493</v>
      </c>
      <c r="AR141" s="135" t="s">
        <v>2652</v>
      </c>
      <c r="AS141" s="212">
        <v>-73353.89</v>
      </c>
    </row>
    <row r="142" spans="1:45">
      <c r="A142" t="s">
        <v>315</v>
      </c>
      <c r="B142" t="s">
        <v>2653</v>
      </c>
      <c r="C142" s="260">
        <v>0</v>
      </c>
      <c r="D142" s="260"/>
      <c r="E142" s="260">
        <v>-4682.3500000000004</v>
      </c>
      <c r="F142" s="335">
        <v>-5213.68</v>
      </c>
      <c r="G142" s="83">
        <f t="shared" si="8"/>
        <v>-9896.0300000000007</v>
      </c>
      <c r="K142"/>
      <c r="L142"/>
      <c r="M142"/>
      <c r="N142"/>
      <c r="O142"/>
      <c r="P142"/>
      <c r="AG142" s="79" t="s">
        <v>37</v>
      </c>
      <c r="AH142" s="78" t="s">
        <v>2453</v>
      </c>
      <c r="AI142" s="46">
        <f t="shared" si="7"/>
        <v>0</v>
      </c>
      <c r="AK142" s="46" t="s">
        <v>37</v>
      </c>
      <c r="AL142" s="46" t="s">
        <v>2453</v>
      </c>
      <c r="AM142" s="193">
        <v>-77510.17</v>
      </c>
      <c r="AQ142" s="73" t="s">
        <v>37</v>
      </c>
      <c r="AR142" s="135" t="s">
        <v>2453</v>
      </c>
      <c r="AS142" s="212">
        <v>-48001.13</v>
      </c>
    </row>
    <row r="143" spans="1:45">
      <c r="A143" t="s">
        <v>317</v>
      </c>
      <c r="B143" t="s">
        <v>1206</v>
      </c>
      <c r="C143" s="260">
        <v>-15014.37</v>
      </c>
      <c r="D143" s="260">
        <v>-14386.4</v>
      </c>
      <c r="E143" s="260">
        <v>0</v>
      </c>
      <c r="F143" s="335">
        <v>-27217.479999999923</v>
      </c>
      <c r="G143" s="83">
        <f t="shared" si="8"/>
        <v>-56618.249999999927</v>
      </c>
      <c r="K143"/>
      <c r="L143"/>
      <c r="M143"/>
      <c r="N143"/>
      <c r="O143"/>
      <c r="P143"/>
      <c r="AG143" s="79" t="s">
        <v>139</v>
      </c>
      <c r="AH143" s="78" t="s">
        <v>2543</v>
      </c>
      <c r="AI143" s="46">
        <f t="shared" si="7"/>
        <v>0</v>
      </c>
      <c r="AK143" s="46" t="s">
        <v>139</v>
      </c>
      <c r="AL143" s="46" t="s">
        <v>2543</v>
      </c>
      <c r="AM143" s="193">
        <v>-62398.45</v>
      </c>
      <c r="AQ143" s="73" t="s">
        <v>139</v>
      </c>
      <c r="AR143" s="135" t="s">
        <v>2543</v>
      </c>
      <c r="AS143" s="212">
        <v>-59115.23</v>
      </c>
    </row>
    <row r="144" spans="1:45">
      <c r="A144" t="s">
        <v>319</v>
      </c>
      <c r="B144" t="s">
        <v>2636</v>
      </c>
      <c r="C144" s="260">
        <v>-110457.66</v>
      </c>
      <c r="D144" s="260">
        <v>-122406.56</v>
      </c>
      <c r="E144" s="260">
        <v>-66003.144241999995</v>
      </c>
      <c r="F144" s="335">
        <v>-77870.268944000025</v>
      </c>
      <c r="G144" s="83">
        <f t="shared" si="8"/>
        <v>-376737.63318599999</v>
      </c>
      <c r="K144"/>
      <c r="L144"/>
      <c r="M144"/>
      <c r="N144"/>
      <c r="O144"/>
      <c r="P144"/>
      <c r="AG144" s="79" t="s">
        <v>411</v>
      </c>
      <c r="AH144" s="78" t="s">
        <v>2654</v>
      </c>
      <c r="AI144" s="46">
        <f t="shared" si="7"/>
        <v>0</v>
      </c>
      <c r="AK144" s="46" t="s">
        <v>411</v>
      </c>
      <c r="AL144" s="46" t="s">
        <v>2654</v>
      </c>
      <c r="AM144" s="193">
        <v>-48084.28</v>
      </c>
      <c r="AQ144" s="73" t="s">
        <v>411</v>
      </c>
      <c r="AR144" s="135" t="s">
        <v>2654</v>
      </c>
      <c r="AS144" s="212">
        <v>-47234.58</v>
      </c>
    </row>
    <row r="145" spans="1:45">
      <c r="A145" t="s">
        <v>321</v>
      </c>
      <c r="B145" t="s">
        <v>2655</v>
      </c>
      <c r="C145" s="260">
        <v>89473.339999999909</v>
      </c>
      <c r="D145" s="260">
        <v>204009.79</v>
      </c>
      <c r="E145" s="260">
        <v>333993.52214182896</v>
      </c>
      <c r="F145" s="335">
        <v>656004.10171130532</v>
      </c>
      <c r="G145" s="83">
        <f t="shared" si="8"/>
        <v>1283480.7538531341</v>
      </c>
      <c r="K145"/>
      <c r="L145"/>
      <c r="M145"/>
      <c r="N145"/>
      <c r="O145"/>
      <c r="P145"/>
      <c r="AG145" s="79" t="s">
        <v>669</v>
      </c>
      <c r="AH145" s="78" t="s">
        <v>2656</v>
      </c>
      <c r="AI145" s="46">
        <f t="shared" si="7"/>
        <v>0</v>
      </c>
      <c r="AK145" s="46" t="s">
        <v>669</v>
      </c>
      <c r="AL145" s="46" t="s">
        <v>2656</v>
      </c>
      <c r="AM145" s="193">
        <v>-76093.259999999995</v>
      </c>
      <c r="AQ145" s="73" t="s">
        <v>669</v>
      </c>
      <c r="AR145" s="135" t="s">
        <v>2656</v>
      </c>
      <c r="AS145" s="212">
        <v>-38670.03</v>
      </c>
    </row>
    <row r="146" spans="1:45">
      <c r="A146" t="s">
        <v>323</v>
      </c>
      <c r="B146" t="s">
        <v>2657</v>
      </c>
      <c r="C146" s="260">
        <v>94921.479999999778</v>
      </c>
      <c r="D146" s="260">
        <v>20933.759999999998</v>
      </c>
      <c r="E146" s="260">
        <v>-56088.08159999999</v>
      </c>
      <c r="F146" s="335">
        <v>81357.500400000019</v>
      </c>
      <c r="G146" s="83">
        <f t="shared" si="8"/>
        <v>141124.6587999998</v>
      </c>
      <c r="K146"/>
      <c r="L146"/>
      <c r="M146"/>
      <c r="N146"/>
      <c r="O146"/>
      <c r="P146"/>
      <c r="AG146" s="79" t="s">
        <v>245</v>
      </c>
      <c r="AH146" s="78" t="s">
        <v>2616</v>
      </c>
      <c r="AI146" s="46">
        <f t="shared" si="7"/>
        <v>0</v>
      </c>
      <c r="AK146" s="46" t="s">
        <v>245</v>
      </c>
      <c r="AL146" s="46" t="s">
        <v>2616</v>
      </c>
      <c r="AM146" s="193">
        <v>-94905.32</v>
      </c>
      <c r="AQ146" s="73" t="s">
        <v>245</v>
      </c>
      <c r="AR146" s="135" t="s">
        <v>2616</v>
      </c>
      <c r="AS146" s="212">
        <v>-79862.710000000006</v>
      </c>
    </row>
    <row r="147" spans="1:45">
      <c r="A147" t="s">
        <v>325</v>
      </c>
      <c r="B147" t="s">
        <v>2530</v>
      </c>
      <c r="C147" s="260">
        <v>-60470.85</v>
      </c>
      <c r="D147" s="260">
        <v>-79220.160000000003</v>
      </c>
      <c r="E147" s="260">
        <v>-57975.438483999998</v>
      </c>
      <c r="F147" s="335">
        <v>-48677.278245000009</v>
      </c>
      <c r="G147" s="83">
        <f t="shared" si="8"/>
        <v>-246343.72672899999</v>
      </c>
      <c r="K147"/>
      <c r="L147"/>
      <c r="M147"/>
      <c r="N147"/>
      <c r="O147"/>
      <c r="P147"/>
      <c r="AG147" s="79" t="s">
        <v>149</v>
      </c>
      <c r="AH147" s="78" t="s">
        <v>2551</v>
      </c>
      <c r="AI147" s="46">
        <f t="shared" si="7"/>
        <v>0</v>
      </c>
      <c r="AK147" s="46" t="s">
        <v>149</v>
      </c>
      <c r="AL147" s="46" t="s">
        <v>2551</v>
      </c>
      <c r="AM147" s="193">
        <v>-51747.71</v>
      </c>
      <c r="AQ147" s="73" t="s">
        <v>149</v>
      </c>
      <c r="AR147" s="135" t="s">
        <v>2551</v>
      </c>
      <c r="AS147" s="212">
        <v>-95831.63</v>
      </c>
    </row>
    <row r="148" spans="1:45">
      <c r="A148" t="s">
        <v>327</v>
      </c>
      <c r="B148" t="s">
        <v>2479</v>
      </c>
      <c r="C148" s="260">
        <v>-189727.06</v>
      </c>
      <c r="D148" s="260">
        <v>-179864.48</v>
      </c>
      <c r="E148" s="260">
        <v>-60262.116419999948</v>
      </c>
      <c r="F148" s="335">
        <v>-122826.52264000016</v>
      </c>
      <c r="G148" s="83">
        <f t="shared" si="8"/>
        <v>-552680.17906000023</v>
      </c>
      <c r="K148"/>
      <c r="L148"/>
      <c r="M148"/>
      <c r="N148"/>
      <c r="O148"/>
      <c r="P148"/>
      <c r="AG148" s="79" t="s">
        <v>553</v>
      </c>
      <c r="AH148" s="78" t="s">
        <v>2658</v>
      </c>
      <c r="AI148" s="46">
        <f t="shared" si="7"/>
        <v>0</v>
      </c>
      <c r="AK148" s="46" t="s">
        <v>553</v>
      </c>
      <c r="AL148" s="46" t="s">
        <v>2658</v>
      </c>
      <c r="AM148" s="193">
        <v>-9744.06</v>
      </c>
      <c r="AQ148" s="73" t="s">
        <v>553</v>
      </c>
      <c r="AR148" s="135" t="s">
        <v>2658</v>
      </c>
      <c r="AS148" s="212">
        <v>-18842.57</v>
      </c>
    </row>
    <row r="149" spans="1:45">
      <c r="A149" t="s">
        <v>329</v>
      </c>
      <c r="B149" t="s">
        <v>2659</v>
      </c>
      <c r="C149" s="260">
        <v>-77723.13</v>
      </c>
      <c r="D149" s="260">
        <v>-65164.76</v>
      </c>
      <c r="E149" s="260">
        <v>-72728.420000000027</v>
      </c>
      <c r="F149" s="335">
        <v>-48385.056183999986</v>
      </c>
      <c r="G149" s="83">
        <f t="shared" si="8"/>
        <v>-264001.36618400004</v>
      </c>
      <c r="K149"/>
      <c r="L149"/>
      <c r="M149"/>
      <c r="N149"/>
      <c r="O149"/>
      <c r="P149"/>
      <c r="AG149" s="79" t="s">
        <v>237</v>
      </c>
      <c r="AH149" s="78" t="s">
        <v>2612</v>
      </c>
      <c r="AI149" s="46">
        <f t="shared" si="7"/>
        <v>0</v>
      </c>
      <c r="AK149" s="46" t="s">
        <v>237</v>
      </c>
      <c r="AL149" s="46" t="s">
        <v>2612</v>
      </c>
      <c r="AM149" s="193">
        <v>-34173.93</v>
      </c>
      <c r="AQ149" s="73" t="s">
        <v>237</v>
      </c>
      <c r="AR149" s="135" t="s">
        <v>2612</v>
      </c>
      <c r="AS149" s="212">
        <v>-48481.65</v>
      </c>
    </row>
    <row r="150" spans="1:45">
      <c r="A150" t="s">
        <v>331</v>
      </c>
      <c r="B150" t="s">
        <v>2660</v>
      </c>
      <c r="C150" s="260">
        <v>52597.87</v>
      </c>
      <c r="D150" s="260">
        <v>-123341.56</v>
      </c>
      <c r="E150" s="260">
        <v>174341.18212500005</v>
      </c>
      <c r="F150" s="335">
        <v>36373.682682999992</v>
      </c>
      <c r="G150" s="83">
        <f t="shared" si="8"/>
        <v>139971.17480800004</v>
      </c>
      <c r="K150"/>
      <c r="L150"/>
      <c r="M150"/>
      <c r="N150"/>
      <c r="O150"/>
      <c r="P150"/>
      <c r="AG150" s="79" t="s">
        <v>533</v>
      </c>
      <c r="AH150" s="78" t="s">
        <v>2661</v>
      </c>
      <c r="AI150" s="46">
        <f t="shared" si="7"/>
        <v>0</v>
      </c>
      <c r="AK150" s="46" t="s">
        <v>533</v>
      </c>
      <c r="AL150" s="46" t="s">
        <v>2661</v>
      </c>
      <c r="AM150" s="193">
        <v>15055.81</v>
      </c>
      <c r="AQ150" s="73" t="s">
        <v>533</v>
      </c>
      <c r="AR150" s="135" t="s">
        <v>2661</v>
      </c>
      <c r="AS150" s="212">
        <v>-307399.08</v>
      </c>
    </row>
    <row r="151" spans="1:45">
      <c r="A151" t="s">
        <v>333</v>
      </c>
      <c r="B151" t="s">
        <v>2662</v>
      </c>
      <c r="C151" s="260">
        <v>-1124487.6599999999</v>
      </c>
      <c r="D151" s="260">
        <v>-1425197.85</v>
      </c>
      <c r="E151" s="260">
        <v>-261545.88486164337</v>
      </c>
      <c r="F151" s="335">
        <v>211466.99853949994</v>
      </c>
      <c r="G151" s="83">
        <f t="shared" si="8"/>
        <v>-2599764.3963221433</v>
      </c>
      <c r="K151"/>
      <c r="L151"/>
      <c r="M151"/>
      <c r="N151"/>
      <c r="O151"/>
      <c r="P151"/>
      <c r="AG151" s="79" t="s">
        <v>329</v>
      </c>
      <c r="AH151" s="78" t="s">
        <v>2659</v>
      </c>
      <c r="AI151" s="46">
        <f t="shared" si="7"/>
        <v>0</v>
      </c>
      <c r="AK151" s="46" t="s">
        <v>329</v>
      </c>
      <c r="AL151" s="46" t="s">
        <v>2659</v>
      </c>
      <c r="AM151" s="193">
        <v>-77723.13</v>
      </c>
      <c r="AQ151" s="73" t="s">
        <v>329</v>
      </c>
      <c r="AR151" s="135" t="s">
        <v>2659</v>
      </c>
      <c r="AS151" s="212">
        <v>-65164.76</v>
      </c>
    </row>
    <row r="152" spans="1:45">
      <c r="A152" t="s">
        <v>335</v>
      </c>
      <c r="B152" t="s">
        <v>1208</v>
      </c>
      <c r="C152" s="260">
        <v>-142818.17000000001</v>
      </c>
      <c r="D152" s="260">
        <v>-90639.39</v>
      </c>
      <c r="E152" s="260">
        <v>-25419.127711999983</v>
      </c>
      <c r="F152" s="335">
        <v>-60714.005157999985</v>
      </c>
      <c r="G152" s="83">
        <f t="shared" si="8"/>
        <v>-319590.69286999997</v>
      </c>
      <c r="K152"/>
      <c r="L152"/>
      <c r="M152"/>
      <c r="N152"/>
      <c r="O152"/>
      <c r="P152"/>
      <c r="AG152" s="79" t="s">
        <v>453</v>
      </c>
      <c r="AH152" s="78" t="s">
        <v>2663</v>
      </c>
      <c r="AI152" s="46">
        <f t="shared" si="7"/>
        <v>0</v>
      </c>
      <c r="AK152" s="46" t="s">
        <v>453</v>
      </c>
      <c r="AL152" s="46" t="s">
        <v>2663</v>
      </c>
      <c r="AM152" s="193">
        <v>-25386.43</v>
      </c>
      <c r="AQ152" s="73" t="s">
        <v>453</v>
      </c>
      <c r="AR152" s="135" t="s">
        <v>2663</v>
      </c>
      <c r="AS152" s="212">
        <v>-69665.23</v>
      </c>
    </row>
    <row r="153" spans="1:45">
      <c r="A153" t="s">
        <v>337</v>
      </c>
      <c r="B153" t="s">
        <v>2664</v>
      </c>
      <c r="C153" s="260">
        <v>-46280.99</v>
      </c>
      <c r="D153" s="260">
        <v>-151309.19</v>
      </c>
      <c r="E153" s="260">
        <v>494627.18322368839</v>
      </c>
      <c r="F153" s="335">
        <v>1437306.0641535223</v>
      </c>
      <c r="G153" s="83">
        <f t="shared" si="8"/>
        <v>1734343.0673772106</v>
      </c>
      <c r="K153"/>
      <c r="L153"/>
      <c r="M153"/>
      <c r="N153"/>
      <c r="O153"/>
      <c r="P153"/>
      <c r="AG153" s="79" t="s">
        <v>391</v>
      </c>
      <c r="AH153" s="78" t="s">
        <v>2665</v>
      </c>
      <c r="AI153" s="46">
        <f t="shared" si="7"/>
        <v>0</v>
      </c>
      <c r="AK153" s="46" t="s">
        <v>391</v>
      </c>
      <c r="AL153" s="46" t="s">
        <v>2665</v>
      </c>
      <c r="AM153" s="193">
        <v>-87380.33</v>
      </c>
      <c r="AQ153" s="73" t="s">
        <v>391</v>
      </c>
      <c r="AR153" s="135" t="s">
        <v>2665</v>
      </c>
      <c r="AS153" s="212">
        <v>-30189.34</v>
      </c>
    </row>
    <row r="154" spans="1:45">
      <c r="A154" t="s">
        <v>339</v>
      </c>
      <c r="B154" t="s">
        <v>2666</v>
      </c>
      <c r="C154" s="260">
        <v>-247906.71</v>
      </c>
      <c r="D154" s="260">
        <v>-271923.73</v>
      </c>
      <c r="E154" s="260">
        <v>-231544.20767500001</v>
      </c>
      <c r="F154" s="335">
        <v>-186917.21016899985</v>
      </c>
      <c r="G154" s="83">
        <f t="shared" si="8"/>
        <v>-938291.85784399975</v>
      </c>
      <c r="K154"/>
      <c r="L154"/>
      <c r="M154"/>
      <c r="N154"/>
      <c r="O154"/>
      <c r="P154"/>
      <c r="AG154" s="79" t="s">
        <v>253</v>
      </c>
      <c r="AH154" s="78" t="s">
        <v>2622</v>
      </c>
      <c r="AI154" s="46">
        <f t="shared" si="7"/>
        <v>0</v>
      </c>
      <c r="AK154" s="46" t="s">
        <v>253</v>
      </c>
      <c r="AL154" s="46" t="s">
        <v>2622</v>
      </c>
      <c r="AM154" s="193">
        <v>-99219.46</v>
      </c>
      <c r="AQ154" s="73" t="s">
        <v>253</v>
      </c>
      <c r="AR154" s="135" t="s">
        <v>2622</v>
      </c>
      <c r="AS154" s="212">
        <v>-108553.42</v>
      </c>
    </row>
    <row r="155" spans="1:45">
      <c r="A155" t="s">
        <v>341</v>
      </c>
      <c r="B155" t="s">
        <v>2593</v>
      </c>
      <c r="C155" s="260">
        <v>-225813.36</v>
      </c>
      <c r="D155" s="260">
        <v>-27029.69</v>
      </c>
      <c r="E155" s="260">
        <v>27494.565219713921</v>
      </c>
      <c r="F155" s="335">
        <v>-91042.906208596658</v>
      </c>
      <c r="G155" s="83">
        <f t="shared" si="8"/>
        <v>-316391.39098888275</v>
      </c>
      <c r="K155"/>
      <c r="L155"/>
      <c r="M155"/>
      <c r="N155"/>
      <c r="O155"/>
      <c r="P155"/>
      <c r="AG155" s="79" t="s">
        <v>377</v>
      </c>
      <c r="AH155" s="78" t="s">
        <v>2667</v>
      </c>
      <c r="AI155" s="46">
        <f t="shared" si="7"/>
        <v>0</v>
      </c>
      <c r="AK155" s="46" t="s">
        <v>377</v>
      </c>
      <c r="AL155" s="46" t="s">
        <v>2667</v>
      </c>
      <c r="AM155" s="193">
        <v>-92664.5</v>
      </c>
      <c r="AQ155" s="73" t="s">
        <v>377</v>
      </c>
      <c r="AR155" s="135" t="s">
        <v>2667</v>
      </c>
      <c r="AS155" s="212">
        <v>-45079.32</v>
      </c>
    </row>
    <row r="156" spans="1:45">
      <c r="A156" t="s">
        <v>343</v>
      </c>
      <c r="B156" t="s">
        <v>2668</v>
      </c>
      <c r="C156" s="260">
        <v>-12137.609999999999</v>
      </c>
      <c r="D156" s="260">
        <v>-14472.28</v>
      </c>
      <c r="E156" s="260">
        <v>121747.83845200003</v>
      </c>
      <c r="F156" s="335">
        <v>-42261.082734999945</v>
      </c>
      <c r="G156" s="83">
        <f t="shared" si="8"/>
        <v>52876.865717000081</v>
      </c>
      <c r="K156"/>
      <c r="L156"/>
      <c r="M156"/>
      <c r="N156"/>
      <c r="O156"/>
      <c r="P156"/>
      <c r="AG156" s="79" t="s">
        <v>417</v>
      </c>
      <c r="AH156" s="78" t="s">
        <v>2669</v>
      </c>
      <c r="AI156" s="46">
        <f t="shared" si="7"/>
        <v>0</v>
      </c>
      <c r="AK156" s="46" t="s">
        <v>417</v>
      </c>
      <c r="AL156" s="46" t="s">
        <v>2669</v>
      </c>
      <c r="AM156" s="193">
        <v>-194322.58</v>
      </c>
      <c r="AQ156" s="73" t="s">
        <v>417</v>
      </c>
      <c r="AR156" s="135" t="s">
        <v>2669</v>
      </c>
      <c r="AS156" s="212">
        <v>-55366.41</v>
      </c>
    </row>
    <row r="157" spans="1:45">
      <c r="A157" t="s">
        <v>345</v>
      </c>
      <c r="B157" t="s">
        <v>2670</v>
      </c>
      <c r="C157" s="260">
        <v>-111519.57</v>
      </c>
      <c r="D157" s="260">
        <v>-101399.35</v>
      </c>
      <c r="E157" s="260">
        <v>-151343.66263199999</v>
      </c>
      <c r="F157" s="335">
        <v>-60195.889557999908</v>
      </c>
      <c r="G157" s="83">
        <f t="shared" si="8"/>
        <v>-424458.47218999988</v>
      </c>
      <c r="K157"/>
      <c r="L157"/>
      <c r="M157"/>
      <c r="N157"/>
      <c r="O157"/>
      <c r="P157"/>
      <c r="AG157" s="79" t="s">
        <v>413</v>
      </c>
      <c r="AH157" s="78" t="s">
        <v>2671</v>
      </c>
      <c r="AI157" s="46">
        <f t="shared" si="7"/>
        <v>0</v>
      </c>
      <c r="AK157" s="46" t="s">
        <v>413</v>
      </c>
      <c r="AL157" s="46" t="s">
        <v>2671</v>
      </c>
      <c r="AM157" s="193">
        <v>-116383.67</v>
      </c>
      <c r="AQ157" s="73" t="s">
        <v>413</v>
      </c>
      <c r="AR157" s="135" t="s">
        <v>2671</v>
      </c>
      <c r="AS157" s="212">
        <v>-174326.58</v>
      </c>
    </row>
    <row r="158" spans="1:45">
      <c r="A158" t="s">
        <v>347</v>
      </c>
      <c r="B158" t="s">
        <v>2672</v>
      </c>
      <c r="C158" s="260">
        <v>-49181.599999999999</v>
      </c>
      <c r="D158" s="260">
        <v>-44851.25</v>
      </c>
      <c r="E158" s="260">
        <v>-36033.161083999999</v>
      </c>
      <c r="F158" s="335">
        <v>-67286.516527999978</v>
      </c>
      <c r="G158" s="83">
        <f t="shared" si="8"/>
        <v>-197352.52761199998</v>
      </c>
      <c r="K158"/>
      <c r="L158"/>
      <c r="M158"/>
      <c r="N158"/>
      <c r="O158"/>
      <c r="P158"/>
      <c r="AG158" s="79" t="s">
        <v>69</v>
      </c>
      <c r="AH158" s="78" t="s">
        <v>2488</v>
      </c>
      <c r="AI158" s="46">
        <f t="shared" si="7"/>
        <v>0</v>
      </c>
      <c r="AK158" s="46" t="s">
        <v>69</v>
      </c>
      <c r="AL158" s="46" t="s">
        <v>2488</v>
      </c>
      <c r="AM158" s="193">
        <v>-103835.11</v>
      </c>
      <c r="AQ158" s="73" t="s">
        <v>69</v>
      </c>
      <c r="AR158" s="135" t="s">
        <v>2488</v>
      </c>
      <c r="AS158" s="212">
        <v>-159195.19</v>
      </c>
    </row>
    <row r="159" spans="1:45">
      <c r="A159" t="s">
        <v>349</v>
      </c>
      <c r="B159" t="s">
        <v>2673</v>
      </c>
      <c r="C159" s="260">
        <v>-129789.3</v>
      </c>
      <c r="D159" s="260">
        <v>-35799.33</v>
      </c>
      <c r="E159" s="260">
        <v>86968.705808000261</v>
      </c>
      <c r="F159" s="335">
        <v>172923.55932999961</v>
      </c>
      <c r="G159" s="83">
        <f t="shared" si="8"/>
        <v>94303.635137999867</v>
      </c>
      <c r="K159"/>
      <c r="L159"/>
      <c r="M159"/>
      <c r="N159"/>
      <c r="O159"/>
      <c r="P159"/>
      <c r="AG159" s="79" t="s">
        <v>443</v>
      </c>
      <c r="AH159" s="78" t="s">
        <v>2674</v>
      </c>
      <c r="AI159" s="46">
        <f t="shared" si="7"/>
        <v>0</v>
      </c>
      <c r="AK159" s="46" t="s">
        <v>443</v>
      </c>
      <c r="AL159" s="46" t="s">
        <v>2674</v>
      </c>
      <c r="AM159" s="193">
        <v>-79857.740000000005</v>
      </c>
      <c r="AQ159" s="73" t="s">
        <v>443</v>
      </c>
      <c r="AR159" s="135" t="s">
        <v>2674</v>
      </c>
      <c r="AS159" s="212">
        <v>-36770.42</v>
      </c>
    </row>
    <row r="160" spans="1:45">
      <c r="A160" t="s">
        <v>351</v>
      </c>
      <c r="B160" t="s">
        <v>2573</v>
      </c>
      <c r="C160" s="260">
        <v>-79939.77</v>
      </c>
      <c r="D160" s="260">
        <v>-139487.31</v>
      </c>
      <c r="E160" s="260">
        <v>-63412.22119999992</v>
      </c>
      <c r="F160" s="335">
        <v>1374.1864750001114</v>
      </c>
      <c r="G160" s="83">
        <f t="shared" si="8"/>
        <v>-281465.11472499982</v>
      </c>
      <c r="K160"/>
      <c r="L160"/>
      <c r="M160"/>
      <c r="N160"/>
      <c r="O160"/>
      <c r="P160"/>
      <c r="AG160" s="79" t="s">
        <v>345</v>
      </c>
      <c r="AH160" s="78" t="s">
        <v>2670</v>
      </c>
      <c r="AI160" s="46">
        <f t="shared" si="7"/>
        <v>0</v>
      </c>
      <c r="AK160" s="46" t="s">
        <v>345</v>
      </c>
      <c r="AL160" s="46" t="s">
        <v>2670</v>
      </c>
      <c r="AM160" s="193">
        <v>-111519.57</v>
      </c>
      <c r="AQ160" s="73" t="s">
        <v>345</v>
      </c>
      <c r="AR160" s="135" t="s">
        <v>2670</v>
      </c>
      <c r="AS160" s="212">
        <v>-101399.35</v>
      </c>
    </row>
    <row r="161" spans="1:45">
      <c r="A161" t="s">
        <v>353</v>
      </c>
      <c r="B161" t="s">
        <v>2640</v>
      </c>
      <c r="C161" s="260">
        <v>-124166.91</v>
      </c>
      <c r="D161" s="260">
        <v>-45809.54</v>
      </c>
      <c r="E161" s="260">
        <v>-53267.641173999997</v>
      </c>
      <c r="F161" s="335">
        <v>-58207.793790000025</v>
      </c>
      <c r="G161" s="83">
        <f t="shared" si="8"/>
        <v>-281451.88496400003</v>
      </c>
      <c r="K161"/>
      <c r="L161"/>
      <c r="M161"/>
      <c r="N161"/>
      <c r="O161"/>
      <c r="P161"/>
      <c r="AG161" s="79" t="s">
        <v>607</v>
      </c>
      <c r="AH161" s="78" t="s">
        <v>2675</v>
      </c>
      <c r="AI161" s="46">
        <f t="shared" si="7"/>
        <v>0</v>
      </c>
      <c r="AK161" s="46" t="s">
        <v>607</v>
      </c>
      <c r="AL161" s="46" t="s">
        <v>2675</v>
      </c>
      <c r="AM161" s="193">
        <v>-107616.34</v>
      </c>
      <c r="AQ161" s="73" t="s">
        <v>607</v>
      </c>
      <c r="AR161" s="135" t="s">
        <v>2675</v>
      </c>
      <c r="AS161" s="212">
        <v>-57092.800000000003</v>
      </c>
    </row>
    <row r="162" spans="1:45">
      <c r="A162" t="s">
        <v>355</v>
      </c>
      <c r="B162" t="s">
        <v>2559</v>
      </c>
      <c r="C162" s="260">
        <v>-767306.53</v>
      </c>
      <c r="D162" s="260">
        <v>-1101612.05</v>
      </c>
      <c r="E162" s="260">
        <v>-658525.62757999974</v>
      </c>
      <c r="F162" s="335">
        <v>-157362.82635232899</v>
      </c>
      <c r="G162" s="83">
        <f t="shared" si="8"/>
        <v>-2684807.0339323287</v>
      </c>
      <c r="K162"/>
      <c r="L162"/>
      <c r="M162"/>
      <c r="N162"/>
      <c r="O162"/>
      <c r="P162"/>
      <c r="AG162" s="79" t="s">
        <v>431</v>
      </c>
      <c r="AH162" s="78" t="s">
        <v>2676</v>
      </c>
      <c r="AI162" s="46">
        <f t="shared" si="7"/>
        <v>0</v>
      </c>
      <c r="AK162" s="46" t="s">
        <v>431</v>
      </c>
      <c r="AL162" s="46" t="s">
        <v>2676</v>
      </c>
      <c r="AM162" s="193">
        <v>-82992.289999999994</v>
      </c>
      <c r="AQ162" s="73" t="s">
        <v>431</v>
      </c>
      <c r="AR162" s="135" t="s">
        <v>2676</v>
      </c>
      <c r="AS162" s="212">
        <v>-84831.039999999994</v>
      </c>
    </row>
    <row r="163" spans="1:45">
      <c r="A163" t="s">
        <v>357</v>
      </c>
      <c r="B163" t="s">
        <v>2638</v>
      </c>
      <c r="C163" s="260">
        <v>-6853.9</v>
      </c>
      <c r="D163" s="260">
        <v>-15586.9</v>
      </c>
      <c r="E163" s="260">
        <v>-8786.1536320000123</v>
      </c>
      <c r="F163" s="335">
        <v>65422.594999000023</v>
      </c>
      <c r="G163" s="83">
        <f t="shared" si="8"/>
        <v>34195.641367000011</v>
      </c>
      <c r="K163"/>
      <c r="L163"/>
      <c r="M163"/>
      <c r="N163"/>
      <c r="O163"/>
      <c r="P163"/>
      <c r="AG163" s="79" t="s">
        <v>407</v>
      </c>
      <c r="AH163" s="78" t="s">
        <v>2677</v>
      </c>
      <c r="AI163" s="46">
        <f t="shared" si="7"/>
        <v>0</v>
      </c>
      <c r="AK163" s="46" t="s">
        <v>407</v>
      </c>
      <c r="AL163" s="46" t="s">
        <v>2677</v>
      </c>
      <c r="AM163" s="193">
        <v>-97071.69</v>
      </c>
      <c r="AQ163" s="73" t="s">
        <v>407</v>
      </c>
      <c r="AR163" s="135" t="s">
        <v>2677</v>
      </c>
      <c r="AS163" s="212">
        <v>6861.92</v>
      </c>
    </row>
    <row r="164" spans="1:45">
      <c r="A164" t="s">
        <v>359</v>
      </c>
      <c r="B164" t="s">
        <v>2678</v>
      </c>
      <c r="C164" s="260">
        <v>1430.8199999999997</v>
      </c>
      <c r="D164" s="260">
        <v>-65696.600000000006</v>
      </c>
      <c r="E164" s="260">
        <v>24308.356998247971</v>
      </c>
      <c r="F164" s="335">
        <v>-12763.446739591658</v>
      </c>
      <c r="G164" s="83">
        <f t="shared" si="8"/>
        <v>-52720.869741343689</v>
      </c>
      <c r="K164"/>
      <c r="L164"/>
      <c r="M164"/>
      <c r="N164"/>
      <c r="O164"/>
      <c r="P164"/>
      <c r="AG164" s="79" t="s">
        <v>491</v>
      </c>
      <c r="AH164" s="78" t="s">
        <v>2679</v>
      </c>
      <c r="AI164" s="46">
        <f t="shared" si="7"/>
        <v>0</v>
      </c>
      <c r="AK164" s="46" t="s">
        <v>491</v>
      </c>
      <c r="AL164" s="46" t="s">
        <v>2679</v>
      </c>
      <c r="AM164" s="193">
        <v>-103201.19</v>
      </c>
      <c r="AQ164" s="73" t="s">
        <v>491</v>
      </c>
      <c r="AR164" s="135" t="s">
        <v>2679</v>
      </c>
      <c r="AS164" s="212">
        <v>-113716.92</v>
      </c>
    </row>
    <row r="165" spans="1:45">
      <c r="A165" t="s">
        <v>361</v>
      </c>
      <c r="B165" t="s">
        <v>2680</v>
      </c>
      <c r="C165" s="260">
        <v>-243955.53</v>
      </c>
      <c r="D165" s="260">
        <v>133164.65</v>
      </c>
      <c r="E165" s="260">
        <v>578147.21943247551</v>
      </c>
      <c r="F165" s="335">
        <v>-53713.668623075355</v>
      </c>
      <c r="G165" s="83">
        <f t="shared" si="8"/>
        <v>413642.67080940015</v>
      </c>
      <c r="K165"/>
      <c r="L165"/>
      <c r="M165"/>
      <c r="N165"/>
      <c r="O165"/>
      <c r="P165"/>
      <c r="AG165" s="79" t="s">
        <v>547</v>
      </c>
      <c r="AH165" s="78" t="s">
        <v>2681</v>
      </c>
      <c r="AI165" s="46">
        <f t="shared" si="7"/>
        <v>0</v>
      </c>
      <c r="AK165" s="46" t="s">
        <v>547</v>
      </c>
      <c r="AL165" s="46" t="s">
        <v>2681</v>
      </c>
      <c r="AM165" s="193">
        <v>-47492.41</v>
      </c>
      <c r="AQ165" s="73" t="s">
        <v>547</v>
      </c>
      <c r="AR165" s="135" t="s">
        <v>2681</v>
      </c>
      <c r="AS165" s="212">
        <v>-34103.72</v>
      </c>
    </row>
    <row r="166" spans="1:45">
      <c r="A166" s="359" t="s">
        <v>363</v>
      </c>
      <c r="B166" s="360" t="s">
        <v>364</v>
      </c>
      <c r="C166" s="260"/>
      <c r="D166" s="260"/>
      <c r="E166" s="260"/>
      <c r="F166" s="335"/>
      <c r="G166" s="83"/>
      <c r="K166"/>
      <c r="L166"/>
      <c r="M166"/>
      <c r="N166"/>
      <c r="O166"/>
      <c r="P166"/>
      <c r="AG166" s="79" t="s">
        <v>375</v>
      </c>
      <c r="AH166" s="78" t="s">
        <v>376</v>
      </c>
      <c r="AI166" s="46">
        <f t="shared" si="7"/>
        <v>0</v>
      </c>
      <c r="AK166" s="46" t="s">
        <v>375</v>
      </c>
      <c r="AL166" s="46" t="s">
        <v>376</v>
      </c>
      <c r="AM166" s="193">
        <v>-52960.71</v>
      </c>
      <c r="AQ166" s="73" t="s">
        <v>375</v>
      </c>
      <c r="AR166" s="135" t="s">
        <v>376</v>
      </c>
      <c r="AS166" s="212">
        <v>-52330.97</v>
      </c>
    </row>
    <row r="167" spans="1:45">
      <c r="A167" t="s">
        <v>365</v>
      </c>
      <c r="B167" t="s">
        <v>1209</v>
      </c>
      <c r="C167" s="260">
        <v>-300500.92</v>
      </c>
      <c r="D167" s="260">
        <v>-470712.84</v>
      </c>
      <c r="E167" s="260">
        <v>-498114.97839499969</v>
      </c>
      <c r="F167" s="335">
        <v>-314525.32392800041</v>
      </c>
      <c r="G167" s="83">
        <f>SUM(C167:F167)</f>
        <v>-1583854.062323</v>
      </c>
      <c r="K167"/>
      <c r="L167"/>
      <c r="M167"/>
      <c r="N167"/>
      <c r="O167"/>
      <c r="P167"/>
      <c r="AG167" s="79" t="s">
        <v>671</v>
      </c>
      <c r="AH167" s="78" t="s">
        <v>2682</v>
      </c>
      <c r="AI167" s="46">
        <f t="shared" si="7"/>
        <v>0</v>
      </c>
      <c r="AK167" s="46" t="s">
        <v>671</v>
      </c>
      <c r="AL167" s="46" t="s">
        <v>2682</v>
      </c>
      <c r="AM167" s="193">
        <v>-105432.14</v>
      </c>
      <c r="AQ167" s="73" t="s">
        <v>671</v>
      </c>
      <c r="AR167" s="135" t="s">
        <v>2682</v>
      </c>
      <c r="AS167" s="212">
        <v>-170972.2</v>
      </c>
    </row>
    <row r="168" spans="1:45">
      <c r="A168" s="364" t="s">
        <v>367</v>
      </c>
      <c r="B168" s="353" t="s">
        <v>368</v>
      </c>
      <c r="C168" s="260"/>
      <c r="D168" s="260"/>
      <c r="E168" s="260"/>
      <c r="F168" s="335"/>
      <c r="G168" s="83"/>
      <c r="K168"/>
      <c r="L168"/>
      <c r="M168"/>
      <c r="N168"/>
      <c r="O168"/>
      <c r="P168"/>
      <c r="AG168" s="79" t="s">
        <v>393</v>
      </c>
      <c r="AH168" s="78" t="s">
        <v>2683</v>
      </c>
      <c r="AI168" s="46">
        <f t="shared" si="7"/>
        <v>0</v>
      </c>
      <c r="AK168" s="46" t="s">
        <v>393</v>
      </c>
      <c r="AL168" s="46" t="s">
        <v>2683</v>
      </c>
      <c r="AM168" s="193">
        <v>-81249.600000000006</v>
      </c>
      <c r="AQ168" s="73" t="s">
        <v>393</v>
      </c>
      <c r="AR168" s="135" t="s">
        <v>2683</v>
      </c>
      <c r="AS168" s="212">
        <v>-81758.53</v>
      </c>
    </row>
    <row r="169" spans="1:45">
      <c r="A169" t="s">
        <v>369</v>
      </c>
      <c r="B169" t="s">
        <v>2684</v>
      </c>
      <c r="C169" s="260">
        <v>-754882.94</v>
      </c>
      <c r="D169" s="260">
        <v>-1776049.08</v>
      </c>
      <c r="E169" s="260">
        <v>-295.94858400069643</v>
      </c>
      <c r="F169" s="335">
        <v>500821.1577360006</v>
      </c>
      <c r="G169" s="83">
        <f t="shared" ref="G169:G185" si="9">SUM(C169:F169)</f>
        <v>-2030406.810848</v>
      </c>
      <c r="K169"/>
      <c r="L169"/>
      <c r="M169"/>
      <c r="N169"/>
      <c r="O169"/>
      <c r="P169"/>
      <c r="AG169" s="79" t="s">
        <v>379</v>
      </c>
      <c r="AH169" s="78" t="s">
        <v>2685</v>
      </c>
      <c r="AI169" s="46">
        <f t="shared" si="7"/>
        <v>0</v>
      </c>
      <c r="AK169" s="46" t="s">
        <v>379</v>
      </c>
      <c r="AL169" s="46" t="s">
        <v>2685</v>
      </c>
      <c r="AM169" s="193">
        <v>-187329.27</v>
      </c>
      <c r="AQ169" s="73" t="s">
        <v>379</v>
      </c>
      <c r="AR169" s="135" t="s">
        <v>2685</v>
      </c>
      <c r="AS169" s="212">
        <v>-111460</v>
      </c>
    </row>
    <row r="170" spans="1:45">
      <c r="A170" t="s">
        <v>371</v>
      </c>
      <c r="B170" t="s">
        <v>2686</v>
      </c>
      <c r="C170" s="260">
        <v>-131054.32</v>
      </c>
      <c r="D170" s="260">
        <v>-191764.77</v>
      </c>
      <c r="E170" s="260">
        <v>-33111.315049999917</v>
      </c>
      <c r="F170" s="335">
        <v>-97272.827544999891</v>
      </c>
      <c r="G170" s="83">
        <f t="shared" si="9"/>
        <v>-453203.23259499978</v>
      </c>
      <c r="K170"/>
      <c r="L170"/>
      <c r="M170"/>
      <c r="N170"/>
      <c r="O170"/>
      <c r="P170"/>
      <c r="AG170" s="79" t="s">
        <v>143</v>
      </c>
      <c r="AH170" s="78" t="s">
        <v>2546</v>
      </c>
      <c r="AI170" s="46">
        <f t="shared" si="7"/>
        <v>0</v>
      </c>
      <c r="AK170" s="46" t="s">
        <v>143</v>
      </c>
      <c r="AL170" s="46" t="s">
        <v>2546</v>
      </c>
      <c r="AM170" s="193">
        <v>-73833.460000000006</v>
      </c>
      <c r="AQ170" s="73" t="s">
        <v>143</v>
      </c>
      <c r="AR170" s="135" t="s">
        <v>2546</v>
      </c>
      <c r="AS170" s="212">
        <v>-55917.57</v>
      </c>
    </row>
    <row r="171" spans="1:45">
      <c r="A171" t="s">
        <v>373</v>
      </c>
      <c r="B171" t="s">
        <v>2637</v>
      </c>
      <c r="C171" s="260">
        <v>-23175.78</v>
      </c>
      <c r="D171" s="260">
        <v>-1621.73</v>
      </c>
      <c r="E171" s="260">
        <v>17895.482171532927</v>
      </c>
      <c r="F171" s="335">
        <v>36109.364014800638</v>
      </c>
      <c r="G171" s="83">
        <f t="shared" si="9"/>
        <v>29207.336186333567</v>
      </c>
      <c r="K171"/>
      <c r="L171"/>
      <c r="M171"/>
      <c r="N171"/>
      <c r="O171"/>
      <c r="P171"/>
      <c r="AG171" s="79" t="s">
        <v>527</v>
      </c>
      <c r="AH171" s="78" t="s">
        <v>2687</v>
      </c>
      <c r="AI171" s="46">
        <f t="shared" si="7"/>
        <v>0</v>
      </c>
      <c r="AK171" s="46" t="s">
        <v>527</v>
      </c>
      <c r="AL171" s="46" t="s">
        <v>2687</v>
      </c>
      <c r="AM171" s="193">
        <v>-101605.46</v>
      </c>
      <c r="AQ171" s="73" t="s">
        <v>527</v>
      </c>
      <c r="AR171" s="135" t="s">
        <v>2687</v>
      </c>
      <c r="AS171" s="212">
        <v>-100718.52</v>
      </c>
    </row>
    <row r="172" spans="1:45">
      <c r="A172" t="s">
        <v>375</v>
      </c>
      <c r="B172" t="s">
        <v>1211</v>
      </c>
      <c r="C172" s="260">
        <v>-52960.71</v>
      </c>
      <c r="D172" s="260">
        <v>-52330.97</v>
      </c>
      <c r="E172" s="260">
        <v>-62324.005560000012</v>
      </c>
      <c r="F172" s="335">
        <v>-67033.690501000034</v>
      </c>
      <c r="G172" s="83">
        <f t="shared" si="9"/>
        <v>-234649.37606100005</v>
      </c>
      <c r="K172"/>
      <c r="L172"/>
      <c r="M172"/>
      <c r="N172"/>
      <c r="O172"/>
      <c r="P172"/>
      <c r="AG172" s="79" t="s">
        <v>571</v>
      </c>
      <c r="AH172" s="78" t="s">
        <v>2688</v>
      </c>
      <c r="AI172" s="46">
        <f t="shared" si="7"/>
        <v>0</v>
      </c>
      <c r="AK172" s="46" t="s">
        <v>571</v>
      </c>
      <c r="AL172" s="46" t="s">
        <v>2688</v>
      </c>
      <c r="AM172" s="193">
        <v>-139809.19</v>
      </c>
      <c r="AQ172" s="73" t="s">
        <v>571</v>
      </c>
      <c r="AR172" s="135" t="s">
        <v>2688</v>
      </c>
      <c r="AS172" s="212">
        <v>-120324.63</v>
      </c>
    </row>
    <row r="173" spans="1:45">
      <c r="A173" t="s">
        <v>377</v>
      </c>
      <c r="B173" t="s">
        <v>2667</v>
      </c>
      <c r="C173" s="260">
        <v>-92664.5</v>
      </c>
      <c r="D173" s="260">
        <v>-45079.32</v>
      </c>
      <c r="E173" s="260">
        <v>-32852.772935000023</v>
      </c>
      <c r="F173" s="335">
        <v>-76859.912744000016</v>
      </c>
      <c r="G173" s="83">
        <f t="shared" si="9"/>
        <v>-247456.50567900005</v>
      </c>
      <c r="K173"/>
      <c r="L173"/>
      <c r="M173"/>
      <c r="N173"/>
      <c r="O173"/>
      <c r="P173"/>
      <c r="AG173" s="79" t="s">
        <v>471</v>
      </c>
      <c r="AH173" s="78" t="s">
        <v>2689</v>
      </c>
      <c r="AI173" s="46">
        <f t="shared" si="7"/>
        <v>0</v>
      </c>
      <c r="AK173" s="46" t="s">
        <v>471</v>
      </c>
      <c r="AL173" s="46" t="s">
        <v>2689</v>
      </c>
      <c r="AM173" s="193">
        <v>-921780</v>
      </c>
      <c r="AQ173" s="73" t="s">
        <v>471</v>
      </c>
      <c r="AR173" s="135" t="s">
        <v>2689</v>
      </c>
      <c r="AS173" s="212">
        <v>-482010.83</v>
      </c>
    </row>
    <row r="174" spans="1:45">
      <c r="A174" t="s">
        <v>379</v>
      </c>
      <c r="B174" t="s">
        <v>2685</v>
      </c>
      <c r="C174" s="260">
        <v>-187329.27</v>
      </c>
      <c r="D174" s="260">
        <v>-111460</v>
      </c>
      <c r="E174" s="260">
        <v>-63160.426460999974</v>
      </c>
      <c r="F174" s="335">
        <v>-47638.984994000057</v>
      </c>
      <c r="G174" s="83">
        <f t="shared" si="9"/>
        <v>-409588.68145500007</v>
      </c>
      <c r="K174"/>
      <c r="L174"/>
      <c r="M174"/>
      <c r="N174"/>
      <c r="O174"/>
      <c r="P174"/>
      <c r="AG174" s="79" t="s">
        <v>593</v>
      </c>
      <c r="AH174" s="78" t="s">
        <v>2690</v>
      </c>
      <c r="AI174" s="46">
        <f t="shared" si="7"/>
        <v>0</v>
      </c>
      <c r="AK174" s="46" t="s">
        <v>593</v>
      </c>
      <c r="AL174" s="46" t="s">
        <v>2690</v>
      </c>
      <c r="AM174" s="193">
        <v>-3413987.49</v>
      </c>
      <c r="AQ174" s="73" t="s">
        <v>593</v>
      </c>
      <c r="AR174" s="135" t="s">
        <v>2690</v>
      </c>
      <c r="AS174" s="212">
        <v>-3041143.11</v>
      </c>
    </row>
    <row r="175" spans="1:45">
      <c r="A175" t="s">
        <v>381</v>
      </c>
      <c r="B175" t="s">
        <v>2691</v>
      </c>
      <c r="C175" s="260">
        <v>-209058.32</v>
      </c>
      <c r="D175" s="260">
        <v>-123528.88</v>
      </c>
      <c r="E175" s="260">
        <v>-96740.19316999997</v>
      </c>
      <c r="F175" s="335">
        <v>141669.18503457296</v>
      </c>
      <c r="G175" s="83">
        <f t="shared" si="9"/>
        <v>-287658.20813542703</v>
      </c>
      <c r="K175"/>
      <c r="L175"/>
      <c r="M175"/>
      <c r="N175"/>
      <c r="O175"/>
      <c r="P175"/>
      <c r="AG175" s="79" t="s">
        <v>81</v>
      </c>
      <c r="AH175" s="78" t="s">
        <v>2498</v>
      </c>
      <c r="AI175" s="46">
        <f t="shared" si="7"/>
        <v>0</v>
      </c>
      <c r="AK175" s="46" t="s">
        <v>81</v>
      </c>
      <c r="AL175" s="46" t="s">
        <v>2498</v>
      </c>
      <c r="AM175" s="193">
        <v>-39473.82</v>
      </c>
      <c r="AQ175" s="73" t="s">
        <v>81</v>
      </c>
      <c r="AR175" s="135" t="s">
        <v>2498</v>
      </c>
      <c r="AS175" s="212">
        <v>-21493.85</v>
      </c>
    </row>
    <row r="176" spans="1:45">
      <c r="A176" t="s">
        <v>383</v>
      </c>
      <c r="B176" t="s">
        <v>2692</v>
      </c>
      <c r="C176" s="260">
        <v>-27237.61</v>
      </c>
      <c r="D176" s="260">
        <v>188835.26</v>
      </c>
      <c r="E176" s="260">
        <v>56155.033829000109</v>
      </c>
      <c r="F176" s="335">
        <v>89716.148205999983</v>
      </c>
      <c r="G176" s="83">
        <f t="shared" si="9"/>
        <v>307468.83203500009</v>
      </c>
      <c r="K176"/>
      <c r="L176"/>
      <c r="M176"/>
      <c r="N176"/>
      <c r="O176"/>
      <c r="P176"/>
      <c r="AG176" s="79" t="s">
        <v>623</v>
      </c>
      <c r="AH176" s="78" t="s">
        <v>2693</v>
      </c>
      <c r="AI176" s="46">
        <f t="shared" si="7"/>
        <v>0</v>
      </c>
      <c r="AK176" s="46" t="s">
        <v>623</v>
      </c>
      <c r="AL176" s="46" t="s">
        <v>2693</v>
      </c>
      <c r="AM176" s="193">
        <v>-529026.01</v>
      </c>
      <c r="AQ176" s="73" t="s">
        <v>623</v>
      </c>
      <c r="AR176" s="135" t="s">
        <v>2693</v>
      </c>
      <c r="AS176" s="212">
        <v>-731301.44</v>
      </c>
    </row>
    <row r="177" spans="1:45">
      <c r="A177" t="s">
        <v>385</v>
      </c>
      <c r="B177" t="s">
        <v>2569</v>
      </c>
      <c r="C177" s="260">
        <v>-148516.96</v>
      </c>
      <c r="D177" s="260">
        <v>-199110.36</v>
      </c>
      <c r="E177" s="260">
        <v>-110611.47984000001</v>
      </c>
      <c r="F177" s="335">
        <v>-176909.61581599986</v>
      </c>
      <c r="G177" s="83">
        <f t="shared" si="9"/>
        <v>-635148.41565599991</v>
      </c>
      <c r="K177"/>
      <c r="L177"/>
      <c r="M177"/>
      <c r="N177"/>
      <c r="O177"/>
      <c r="P177"/>
      <c r="AG177" s="79" t="s">
        <v>587</v>
      </c>
      <c r="AH177" s="78" t="s">
        <v>2694</v>
      </c>
      <c r="AI177" s="46">
        <f t="shared" si="7"/>
        <v>0</v>
      </c>
      <c r="AK177" s="46" t="s">
        <v>587</v>
      </c>
      <c r="AL177" s="46" t="s">
        <v>2694</v>
      </c>
      <c r="AM177" s="193">
        <v>88187.79</v>
      </c>
      <c r="AQ177" s="73" t="s">
        <v>587</v>
      </c>
      <c r="AR177" s="135" t="s">
        <v>2694</v>
      </c>
      <c r="AS177" s="212">
        <v>-196485.31</v>
      </c>
    </row>
    <row r="178" spans="1:45">
      <c r="A178" t="s">
        <v>387</v>
      </c>
      <c r="B178" t="s">
        <v>2544</v>
      </c>
      <c r="C178" s="260">
        <v>-49065.52</v>
      </c>
      <c r="D178" s="260">
        <v>-117439.2</v>
      </c>
      <c r="E178" s="260">
        <v>-109624.08280000038</v>
      </c>
      <c r="F178" s="335">
        <v>-192258.11630999995</v>
      </c>
      <c r="G178" s="83">
        <f t="shared" si="9"/>
        <v>-468386.91911000037</v>
      </c>
      <c r="K178"/>
      <c r="L178"/>
      <c r="M178"/>
      <c r="N178"/>
      <c r="O178"/>
      <c r="P178"/>
      <c r="AG178" s="79" t="s">
        <v>155</v>
      </c>
      <c r="AH178" s="78" t="s">
        <v>2556</v>
      </c>
      <c r="AI178" s="46">
        <f t="shared" si="7"/>
        <v>0</v>
      </c>
      <c r="AK178" s="46" t="s">
        <v>155</v>
      </c>
      <c r="AL178" s="46" t="s">
        <v>2556</v>
      </c>
      <c r="AM178" s="193">
        <v>-35529.370000000003</v>
      </c>
      <c r="AQ178" s="73" t="s">
        <v>155</v>
      </c>
      <c r="AR178" s="135" t="s">
        <v>2556</v>
      </c>
      <c r="AS178" s="212">
        <v>-58310.36</v>
      </c>
    </row>
    <row r="179" spans="1:45">
      <c r="A179" t="s">
        <v>389</v>
      </c>
      <c r="B179" t="s">
        <v>2625</v>
      </c>
      <c r="C179" s="260">
        <v>-403481.21</v>
      </c>
      <c r="D179" s="260">
        <v>-716774.12</v>
      </c>
      <c r="E179" s="260">
        <v>-664681.52552000026</v>
      </c>
      <c r="F179" s="335">
        <v>-280071.91371457558</v>
      </c>
      <c r="G179" s="83">
        <f t="shared" si="9"/>
        <v>-2065008.7692345758</v>
      </c>
      <c r="K179"/>
      <c r="L179"/>
      <c r="M179"/>
      <c r="N179"/>
      <c r="O179"/>
      <c r="P179"/>
      <c r="AG179" s="79" t="s">
        <v>433</v>
      </c>
      <c r="AH179" s="78" t="s">
        <v>2695</v>
      </c>
      <c r="AI179" s="46">
        <f t="shared" si="7"/>
        <v>0</v>
      </c>
      <c r="AK179" s="46" t="s">
        <v>433</v>
      </c>
      <c r="AL179" s="46" t="s">
        <v>2695</v>
      </c>
      <c r="AM179" s="193">
        <v>-242789.27</v>
      </c>
      <c r="AQ179" s="73" t="s">
        <v>433</v>
      </c>
      <c r="AR179" s="135" t="s">
        <v>2695</v>
      </c>
      <c r="AS179" s="212">
        <v>-348888.78</v>
      </c>
    </row>
    <row r="180" spans="1:45">
      <c r="A180" t="s">
        <v>391</v>
      </c>
      <c r="B180" t="s">
        <v>2665</v>
      </c>
      <c r="C180" s="260">
        <v>-87380.33</v>
      </c>
      <c r="D180" s="260">
        <v>-30189.34</v>
      </c>
      <c r="E180" s="260">
        <v>334896.0188159995</v>
      </c>
      <c r="F180" s="335">
        <v>-70273.318838491105</v>
      </c>
      <c r="G180" s="83">
        <f t="shared" si="9"/>
        <v>147053.02997750841</v>
      </c>
      <c r="K180"/>
      <c r="L180"/>
      <c r="M180"/>
      <c r="N180"/>
      <c r="O180"/>
      <c r="P180"/>
      <c r="AG180" s="79" t="s">
        <v>113</v>
      </c>
      <c r="AH180" s="78" t="s">
        <v>2520</v>
      </c>
      <c r="AI180" s="46">
        <f t="shared" si="7"/>
        <v>0</v>
      </c>
      <c r="AK180" s="46" t="s">
        <v>113</v>
      </c>
      <c r="AL180" s="46" t="s">
        <v>2520</v>
      </c>
      <c r="AM180" s="193">
        <v>-877466.15</v>
      </c>
      <c r="AQ180" s="73" t="s">
        <v>113</v>
      </c>
      <c r="AR180" s="135" t="s">
        <v>2520</v>
      </c>
      <c r="AS180" s="212">
        <v>-893526.09</v>
      </c>
    </row>
    <row r="181" spans="1:45">
      <c r="A181" t="s">
        <v>393</v>
      </c>
      <c r="B181" t="s">
        <v>2683</v>
      </c>
      <c r="C181" s="260">
        <v>-81249.600000000006</v>
      </c>
      <c r="D181" s="260">
        <v>-81758.53</v>
      </c>
      <c r="E181" s="260">
        <v>-27393.549347999993</v>
      </c>
      <c r="F181" s="335">
        <v>-93542.148549999998</v>
      </c>
      <c r="G181" s="83">
        <f t="shared" si="9"/>
        <v>-283943.82789800002</v>
      </c>
      <c r="K181"/>
      <c r="L181"/>
      <c r="M181"/>
      <c r="N181"/>
      <c r="O181"/>
      <c r="P181"/>
      <c r="AG181" s="79" t="s">
        <v>449</v>
      </c>
      <c r="AH181" s="78" t="s">
        <v>2696</v>
      </c>
      <c r="AI181" s="46">
        <f t="shared" si="7"/>
        <v>0</v>
      </c>
      <c r="AK181" s="46" t="s">
        <v>449</v>
      </c>
      <c r="AL181" s="46" t="s">
        <v>2696</v>
      </c>
      <c r="AM181" s="193">
        <v>-232701.42</v>
      </c>
      <c r="AQ181" s="73" t="s">
        <v>449</v>
      </c>
      <c r="AR181" s="135" t="s">
        <v>2696</v>
      </c>
      <c r="AS181" s="212">
        <v>425482.73</v>
      </c>
    </row>
    <row r="182" spans="1:45">
      <c r="A182" t="s">
        <v>395</v>
      </c>
      <c r="B182" t="s">
        <v>2697</v>
      </c>
      <c r="C182" s="260">
        <v>-948252.77</v>
      </c>
      <c r="D182" s="260">
        <v>-1042563.98</v>
      </c>
      <c r="E182" s="260">
        <v>-1630080.6883127913</v>
      </c>
      <c r="F182" s="335">
        <v>677090.52701453492</v>
      </c>
      <c r="G182" s="83">
        <f t="shared" si="9"/>
        <v>-2943806.9112982564</v>
      </c>
      <c r="K182"/>
      <c r="L182"/>
      <c r="M182"/>
      <c r="N182"/>
      <c r="O182"/>
      <c r="P182"/>
      <c r="AG182" s="79" t="s">
        <v>219</v>
      </c>
      <c r="AH182" s="78" t="s">
        <v>2597</v>
      </c>
      <c r="AI182" s="46">
        <f t="shared" si="7"/>
        <v>0</v>
      </c>
      <c r="AK182" s="46" t="s">
        <v>219</v>
      </c>
      <c r="AL182" s="46" t="s">
        <v>2597</v>
      </c>
      <c r="AM182" s="193">
        <v>11962.9</v>
      </c>
      <c r="AQ182" s="73" t="s">
        <v>219</v>
      </c>
      <c r="AR182" s="135" t="s">
        <v>2597</v>
      </c>
      <c r="AS182" s="212">
        <v>-188110.24</v>
      </c>
    </row>
    <row r="183" spans="1:45">
      <c r="A183" t="s">
        <v>397</v>
      </c>
      <c r="B183" t="s">
        <v>2698</v>
      </c>
      <c r="C183" s="260">
        <v>-62664.49</v>
      </c>
      <c r="D183" s="260">
        <v>-3823.08</v>
      </c>
      <c r="E183" s="260">
        <v>-11556.393620000021</v>
      </c>
      <c r="F183" s="335">
        <v>-38270.439409999992</v>
      </c>
      <c r="G183" s="83">
        <f t="shared" si="9"/>
        <v>-116314.40303</v>
      </c>
      <c r="K183"/>
      <c r="L183"/>
      <c r="M183"/>
      <c r="N183"/>
      <c r="O183"/>
      <c r="P183"/>
      <c r="AG183" s="79" t="s">
        <v>59</v>
      </c>
      <c r="AH183" s="78" t="s">
        <v>2477</v>
      </c>
      <c r="AI183" s="46">
        <f t="shared" si="7"/>
        <v>0</v>
      </c>
      <c r="AK183" s="46" t="s">
        <v>59</v>
      </c>
      <c r="AL183" s="46" t="s">
        <v>2477</v>
      </c>
      <c r="AM183" s="193">
        <v>-61290.12</v>
      </c>
      <c r="AQ183" s="73" t="s">
        <v>59</v>
      </c>
      <c r="AR183" s="135" t="s">
        <v>2477</v>
      </c>
      <c r="AS183" s="212">
        <v>-1373573.03</v>
      </c>
    </row>
    <row r="184" spans="1:45">
      <c r="A184" t="s">
        <v>399</v>
      </c>
      <c r="B184" t="s">
        <v>2699</v>
      </c>
      <c r="C184" s="260">
        <v>80994.87</v>
      </c>
      <c r="D184" s="260">
        <v>-1365829.27</v>
      </c>
      <c r="E184" s="260">
        <v>-378362.15223929728</v>
      </c>
      <c r="F184" s="335">
        <v>951554.07508270815</v>
      </c>
      <c r="G184" s="83">
        <f t="shared" si="9"/>
        <v>-711642.47715658904</v>
      </c>
      <c r="K184"/>
      <c r="L184"/>
      <c r="M184"/>
      <c r="N184"/>
      <c r="O184"/>
      <c r="P184"/>
      <c r="AG184" s="79" t="s">
        <v>167</v>
      </c>
      <c r="AH184" s="78" t="s">
        <v>2566</v>
      </c>
      <c r="AI184" s="46">
        <f t="shared" si="7"/>
        <v>0</v>
      </c>
      <c r="AK184" s="46" t="s">
        <v>167</v>
      </c>
      <c r="AL184" s="46" t="s">
        <v>2566</v>
      </c>
      <c r="AM184" s="193">
        <v>-568094.68000000005</v>
      </c>
      <c r="AQ184" s="73" t="s">
        <v>167</v>
      </c>
      <c r="AR184" s="135" t="s">
        <v>2566</v>
      </c>
      <c r="AS184" s="212">
        <v>-288414.36</v>
      </c>
    </row>
    <row r="185" spans="1:45">
      <c r="A185" t="s">
        <v>401</v>
      </c>
      <c r="B185" t="s">
        <v>2582</v>
      </c>
      <c r="C185" s="260">
        <v>-634238.52</v>
      </c>
      <c r="D185" s="260">
        <v>-996357.56</v>
      </c>
      <c r="E185" s="260">
        <v>-930911.565451</v>
      </c>
      <c r="F185" s="335">
        <v>-305525.37310400046</v>
      </c>
      <c r="G185" s="83">
        <f t="shared" si="9"/>
        <v>-2867033.0185550004</v>
      </c>
      <c r="K185"/>
      <c r="L185"/>
      <c r="M185"/>
      <c r="N185"/>
      <c r="O185"/>
      <c r="P185"/>
      <c r="AG185" s="79" t="s">
        <v>663</v>
      </c>
      <c r="AH185" s="78" t="s">
        <v>2700</v>
      </c>
      <c r="AI185" s="46">
        <f t="shared" si="7"/>
        <v>0</v>
      </c>
      <c r="AK185" s="46" t="s">
        <v>663</v>
      </c>
      <c r="AL185" s="46" t="s">
        <v>2700</v>
      </c>
      <c r="AM185" s="193">
        <v>-283061.59999999998</v>
      </c>
      <c r="AQ185" s="73" t="s">
        <v>663</v>
      </c>
      <c r="AR185" s="135" t="s">
        <v>2700</v>
      </c>
      <c r="AS185" s="212">
        <v>-306850.28999999998</v>
      </c>
    </row>
    <row r="186" spans="1:45">
      <c r="A186" s="359" t="s">
        <v>403</v>
      </c>
      <c r="B186" s="360" t="s">
        <v>404</v>
      </c>
      <c r="C186" s="260"/>
      <c r="D186" s="260"/>
      <c r="E186" s="260"/>
      <c r="F186" s="335"/>
      <c r="G186" s="83"/>
      <c r="K186"/>
      <c r="L186"/>
      <c r="M186"/>
      <c r="N186"/>
      <c r="O186"/>
      <c r="P186"/>
      <c r="AG186" s="79" t="s">
        <v>215</v>
      </c>
      <c r="AH186" s="78" t="s">
        <v>2594</v>
      </c>
      <c r="AI186" s="46">
        <f t="shared" si="7"/>
        <v>0</v>
      </c>
      <c r="AK186" s="46" t="s">
        <v>215</v>
      </c>
      <c r="AL186" s="46" t="s">
        <v>2594</v>
      </c>
      <c r="AM186" s="193">
        <v>-142713.78</v>
      </c>
      <c r="AQ186" s="73" t="s">
        <v>215</v>
      </c>
      <c r="AR186" s="135" t="s">
        <v>2594</v>
      </c>
      <c r="AS186" s="212">
        <v>22624.69</v>
      </c>
    </row>
    <row r="187" spans="1:45">
      <c r="A187" t="s">
        <v>405</v>
      </c>
      <c r="B187" t="s">
        <v>2581</v>
      </c>
      <c r="C187" s="260">
        <v>-77142.41</v>
      </c>
      <c r="D187" s="260">
        <v>-7968.42</v>
      </c>
      <c r="E187" s="260">
        <v>50048.110447999992</v>
      </c>
      <c r="F187" s="335">
        <v>-31572.615549999988</v>
      </c>
      <c r="G187" s="83">
        <f t="shared" ref="G187:G196" si="10">SUM(C187:F187)</f>
        <v>-66635.335101999997</v>
      </c>
      <c r="K187"/>
      <c r="L187"/>
      <c r="M187"/>
      <c r="N187"/>
      <c r="O187"/>
      <c r="P187"/>
      <c r="AG187" s="127" t="s">
        <v>2701</v>
      </c>
      <c r="AH187" s="128" t="s">
        <v>2702</v>
      </c>
      <c r="AI187" s="46">
        <f t="shared" si="7"/>
        <v>0</v>
      </c>
      <c r="AK187" s="46" t="s">
        <v>2701</v>
      </c>
      <c r="AL187" s="46" t="s">
        <v>2702</v>
      </c>
      <c r="AM187" s="193">
        <v>-52893.07</v>
      </c>
      <c r="AQ187" s="213" t="s">
        <v>2701</v>
      </c>
      <c r="AR187" s="214" t="s">
        <v>2702</v>
      </c>
      <c r="AS187" s="215">
        <v>0</v>
      </c>
    </row>
    <row r="188" spans="1:45">
      <c r="A188" t="s">
        <v>407</v>
      </c>
      <c r="B188" t="s">
        <v>2677</v>
      </c>
      <c r="C188" s="260">
        <v>-97071.69</v>
      </c>
      <c r="D188" s="260">
        <v>6861.92</v>
      </c>
      <c r="E188" s="260">
        <v>37511.935489000025</v>
      </c>
      <c r="F188" s="335">
        <v>-27275.159621049766</v>
      </c>
      <c r="G188" s="83">
        <f t="shared" si="10"/>
        <v>-79972.994132049746</v>
      </c>
      <c r="K188"/>
      <c r="L188"/>
      <c r="M188"/>
      <c r="N188"/>
      <c r="O188"/>
      <c r="P188"/>
      <c r="AG188" s="127" t="s">
        <v>583</v>
      </c>
      <c r="AH188" s="128" t="s">
        <v>2330</v>
      </c>
      <c r="AI188" s="46">
        <f t="shared" si="7"/>
        <v>0</v>
      </c>
      <c r="AK188" s="46" t="s">
        <v>583</v>
      </c>
      <c r="AL188" s="46" t="s">
        <v>2330</v>
      </c>
      <c r="AM188" s="193">
        <v>-35736.42</v>
      </c>
      <c r="AQ188" s="213" t="s">
        <v>583</v>
      </c>
      <c r="AR188" s="214" t="s">
        <v>2330</v>
      </c>
      <c r="AS188" s="215">
        <v>-55449.2</v>
      </c>
    </row>
    <row r="189" spans="1:45">
      <c r="A189" t="s">
        <v>409</v>
      </c>
      <c r="B189" t="s">
        <v>2580</v>
      </c>
      <c r="C189" s="260">
        <v>-238573.81</v>
      </c>
      <c r="D189" s="260">
        <v>-100350.45</v>
      </c>
      <c r="E189" s="260">
        <v>54995.173484999963</v>
      </c>
      <c r="F189" s="335">
        <v>-84137.901187999989</v>
      </c>
      <c r="G189" s="83">
        <f t="shared" si="10"/>
        <v>-368066.98770300002</v>
      </c>
      <c r="K189"/>
      <c r="L189"/>
      <c r="M189"/>
      <c r="N189"/>
      <c r="O189"/>
      <c r="P189"/>
      <c r="AG189" s="127" t="s">
        <v>2703</v>
      </c>
      <c r="AH189" s="128" t="s">
        <v>2704</v>
      </c>
      <c r="AI189" s="46">
        <f t="shared" si="7"/>
        <v>0</v>
      </c>
      <c r="AK189" s="46" t="s">
        <v>2703</v>
      </c>
      <c r="AL189" s="46" t="s">
        <v>2704</v>
      </c>
      <c r="AM189" s="193">
        <v>-107737.38</v>
      </c>
      <c r="AQ189" s="213" t="s">
        <v>2703</v>
      </c>
      <c r="AR189" s="214" t="s">
        <v>2704</v>
      </c>
      <c r="AS189" s="215">
        <v>0</v>
      </c>
    </row>
    <row r="190" spans="1:45">
      <c r="A190" t="s">
        <v>411</v>
      </c>
      <c r="B190" t="s">
        <v>2654</v>
      </c>
      <c r="C190" s="260">
        <v>-48084.28</v>
      </c>
      <c r="D190" s="260">
        <v>-47234.58</v>
      </c>
      <c r="E190" s="260">
        <v>-51357.197805999967</v>
      </c>
      <c r="F190" s="335">
        <v>-17772.232054000022</v>
      </c>
      <c r="G190" s="83">
        <f t="shared" si="10"/>
        <v>-164448.28985999999</v>
      </c>
      <c r="K190"/>
      <c r="L190"/>
      <c r="M190"/>
      <c r="N190"/>
      <c r="O190"/>
      <c r="P190"/>
      <c r="AG190" s="79" t="s">
        <v>423</v>
      </c>
      <c r="AH190" s="78" t="s">
        <v>2705</v>
      </c>
      <c r="AI190" s="46">
        <f t="shared" si="7"/>
        <v>0</v>
      </c>
      <c r="AK190" s="46" t="s">
        <v>423</v>
      </c>
      <c r="AL190" s="46" t="s">
        <v>2705</v>
      </c>
      <c r="AM190" s="193">
        <v>-49483.35</v>
      </c>
      <c r="AQ190" s="73" t="s">
        <v>423</v>
      </c>
      <c r="AR190" s="135" t="s">
        <v>2705</v>
      </c>
      <c r="AS190" s="212">
        <v>-83842.97</v>
      </c>
    </row>
    <row r="191" spans="1:45">
      <c r="A191" t="s">
        <v>413</v>
      </c>
      <c r="B191" t="s">
        <v>2671</v>
      </c>
      <c r="C191" s="260">
        <v>-116383.67</v>
      </c>
      <c r="D191" s="260">
        <v>-174326.58</v>
      </c>
      <c r="E191" s="260">
        <v>-120310.38222100005</v>
      </c>
      <c r="F191" s="335">
        <v>-154592.16988000006</v>
      </c>
      <c r="G191" s="83">
        <f t="shared" si="10"/>
        <v>-565612.8021010001</v>
      </c>
      <c r="K191"/>
      <c r="L191"/>
      <c r="M191"/>
      <c r="N191"/>
      <c r="O191"/>
      <c r="P191"/>
      <c r="AG191" s="79" t="s">
        <v>313</v>
      </c>
      <c r="AH191" s="78" t="s">
        <v>2706</v>
      </c>
      <c r="AI191" s="46">
        <f t="shared" si="7"/>
        <v>0</v>
      </c>
      <c r="AK191" s="46" t="s">
        <v>313</v>
      </c>
      <c r="AL191" s="46" t="s">
        <v>2706</v>
      </c>
      <c r="AM191" s="193">
        <v>-121919.19</v>
      </c>
      <c r="AQ191" s="73" t="s">
        <v>313</v>
      </c>
      <c r="AR191" s="135" t="s">
        <v>2706</v>
      </c>
      <c r="AS191" s="212">
        <v>-131825.97</v>
      </c>
    </row>
    <row r="192" spans="1:45">
      <c r="A192" t="s">
        <v>415</v>
      </c>
      <c r="B192" t="s">
        <v>2707</v>
      </c>
      <c r="C192" s="260">
        <v>-817479.6</v>
      </c>
      <c r="D192" s="260">
        <v>-885210.18</v>
      </c>
      <c r="E192" s="260">
        <v>-1061322.3406508819</v>
      </c>
      <c r="F192" s="335">
        <v>374924.08836635714</v>
      </c>
      <c r="G192" s="83">
        <f t="shared" si="10"/>
        <v>-2389088.0322845248</v>
      </c>
      <c r="K192"/>
      <c r="L192"/>
      <c r="M192"/>
      <c r="N192"/>
      <c r="O192"/>
      <c r="P192"/>
      <c r="AG192" s="79" t="s">
        <v>517</v>
      </c>
      <c r="AH192" s="78" t="s">
        <v>2708</v>
      </c>
      <c r="AI192" s="46">
        <f t="shared" si="7"/>
        <v>0</v>
      </c>
      <c r="AK192" s="46" t="s">
        <v>517</v>
      </c>
      <c r="AL192" s="46" t="s">
        <v>2708</v>
      </c>
      <c r="AM192" s="193">
        <v>-203289.85</v>
      </c>
      <c r="AQ192" s="73" t="s">
        <v>517</v>
      </c>
      <c r="AR192" s="135" t="s">
        <v>2708</v>
      </c>
      <c r="AS192" s="212">
        <v>-130355.56</v>
      </c>
    </row>
    <row r="193" spans="1:45">
      <c r="A193" t="s">
        <v>417</v>
      </c>
      <c r="B193" t="s">
        <v>2669</v>
      </c>
      <c r="C193" s="260">
        <v>-194322.58</v>
      </c>
      <c r="D193" s="260">
        <v>-55366.41</v>
      </c>
      <c r="E193" s="260">
        <v>67421.841451999877</v>
      </c>
      <c r="F193" s="335">
        <v>45675.936365000089</v>
      </c>
      <c r="G193" s="83">
        <f t="shared" si="10"/>
        <v>-136591.21218300003</v>
      </c>
      <c r="K193"/>
      <c r="L193"/>
      <c r="M193"/>
      <c r="N193"/>
      <c r="O193"/>
      <c r="P193"/>
      <c r="AG193" s="79" t="s">
        <v>127</v>
      </c>
      <c r="AH193" s="78" t="s">
        <v>2533</v>
      </c>
      <c r="AI193" s="46">
        <f t="shared" si="7"/>
        <v>0</v>
      </c>
      <c r="AK193" s="46" t="s">
        <v>127</v>
      </c>
      <c r="AL193" s="46" t="s">
        <v>2533</v>
      </c>
      <c r="AM193" s="193">
        <v>-113225.39</v>
      </c>
      <c r="AQ193" s="73" t="s">
        <v>127</v>
      </c>
      <c r="AR193" s="135" t="s">
        <v>2533</v>
      </c>
      <c r="AS193" s="212">
        <v>-83135.990000000005</v>
      </c>
    </row>
    <row r="194" spans="1:45">
      <c r="A194" t="s">
        <v>419</v>
      </c>
      <c r="B194" t="s">
        <v>2645</v>
      </c>
      <c r="C194" s="260">
        <v>113457.54000000008</v>
      </c>
      <c r="D194" s="260">
        <v>72234.649999999994</v>
      </c>
      <c r="E194" s="260">
        <v>100782.59518859815</v>
      </c>
      <c r="F194" s="335">
        <v>89979.936717999983</v>
      </c>
      <c r="G194" s="83">
        <f t="shared" si="10"/>
        <v>376454.72190659819</v>
      </c>
      <c r="K194"/>
      <c r="L194"/>
      <c r="M194"/>
      <c r="N194"/>
      <c r="O194"/>
      <c r="P194"/>
      <c r="AG194" s="79" t="s">
        <v>75</v>
      </c>
      <c r="AH194" s="78" t="s">
        <v>2709</v>
      </c>
      <c r="AI194" s="46">
        <f t="shared" ref="AI194:AI257" si="11">+AK194-AG194</f>
        <v>0</v>
      </c>
      <c r="AK194" s="46" t="s">
        <v>75</v>
      </c>
      <c r="AL194" s="46" t="s">
        <v>2709</v>
      </c>
      <c r="AM194" s="193">
        <v>-409365.68</v>
      </c>
      <c r="AQ194" s="73" t="s">
        <v>75</v>
      </c>
      <c r="AR194" s="135" t="s">
        <v>2709</v>
      </c>
      <c r="AS194" s="212">
        <v>-608592.59</v>
      </c>
    </row>
    <row r="195" spans="1:45">
      <c r="A195" t="s">
        <v>421</v>
      </c>
      <c r="B195" t="s">
        <v>2710</v>
      </c>
      <c r="C195" s="260">
        <v>-70214.52</v>
      </c>
      <c r="D195" s="260">
        <v>-59773.33</v>
      </c>
      <c r="E195" s="260">
        <v>-36100.950751000004</v>
      </c>
      <c r="F195" s="335">
        <v>-45066.646125999985</v>
      </c>
      <c r="G195" s="83">
        <f t="shared" si="10"/>
        <v>-211155.44687699998</v>
      </c>
      <c r="K195"/>
      <c r="L195"/>
      <c r="M195"/>
      <c r="N195"/>
      <c r="O195"/>
      <c r="P195"/>
      <c r="AG195" s="79" t="s">
        <v>523</v>
      </c>
      <c r="AH195" s="78" t="s">
        <v>2711</v>
      </c>
      <c r="AI195" s="46">
        <f t="shared" si="11"/>
        <v>0</v>
      </c>
      <c r="AK195" s="46" t="s">
        <v>523</v>
      </c>
      <c r="AL195" s="46" t="s">
        <v>2711</v>
      </c>
      <c r="AM195" s="193">
        <v>-176657.56</v>
      </c>
      <c r="AQ195" s="73" t="s">
        <v>523</v>
      </c>
      <c r="AR195" s="135" t="s">
        <v>2711</v>
      </c>
      <c r="AS195" s="212">
        <v>-151529.82</v>
      </c>
    </row>
    <row r="196" spans="1:45">
      <c r="A196" t="s">
        <v>423</v>
      </c>
      <c r="B196" t="s">
        <v>1212</v>
      </c>
      <c r="C196" s="260">
        <v>-49483.35</v>
      </c>
      <c r="D196" s="260">
        <v>-83842.97</v>
      </c>
      <c r="E196" s="260">
        <v>-135347.04663200001</v>
      </c>
      <c r="F196" s="335">
        <v>-65636.717180000036</v>
      </c>
      <c r="G196" s="83">
        <f t="shared" si="10"/>
        <v>-334310.08381200006</v>
      </c>
      <c r="K196"/>
      <c r="L196"/>
      <c r="M196"/>
      <c r="N196"/>
      <c r="O196"/>
      <c r="P196"/>
      <c r="AG196" s="79" t="s">
        <v>41</v>
      </c>
      <c r="AH196" s="78" t="s">
        <v>2455</v>
      </c>
      <c r="AI196" s="46">
        <f t="shared" si="11"/>
        <v>0</v>
      </c>
      <c r="AK196" s="46" t="s">
        <v>41</v>
      </c>
      <c r="AL196" s="46" t="s">
        <v>2455</v>
      </c>
      <c r="AM196" s="193">
        <v>-243297.15</v>
      </c>
      <c r="AQ196" s="73" t="s">
        <v>41</v>
      </c>
      <c r="AR196" s="135" t="s">
        <v>2455</v>
      </c>
      <c r="AS196" s="212">
        <v>-367275.29</v>
      </c>
    </row>
    <row r="197" spans="1:45">
      <c r="A197" s="359" t="s">
        <v>425</v>
      </c>
      <c r="B197" s="360" t="s">
        <v>426</v>
      </c>
      <c r="C197" s="260"/>
      <c r="D197" s="260"/>
      <c r="E197" s="260"/>
      <c r="F197" s="335"/>
      <c r="G197" s="83"/>
      <c r="K197"/>
      <c r="L197"/>
      <c r="M197"/>
      <c r="N197"/>
      <c r="O197"/>
      <c r="P197"/>
      <c r="AG197" s="79" t="s">
        <v>289</v>
      </c>
      <c r="AH197" s="78" t="s">
        <v>2639</v>
      </c>
      <c r="AI197" s="46">
        <f t="shared" si="11"/>
        <v>0</v>
      </c>
      <c r="AK197" s="46" t="s">
        <v>289</v>
      </c>
      <c r="AL197" s="46" t="s">
        <v>2639</v>
      </c>
      <c r="AM197" s="193">
        <v>-245059.43</v>
      </c>
      <c r="AQ197" s="73" t="s">
        <v>289</v>
      </c>
      <c r="AR197" s="135" t="s">
        <v>2639</v>
      </c>
      <c r="AS197" s="212">
        <v>-301009.53999999998</v>
      </c>
    </row>
    <row r="198" spans="1:45">
      <c r="A198" t="s">
        <v>427</v>
      </c>
      <c r="B198" t="s">
        <v>2538</v>
      </c>
      <c r="C198" s="260">
        <v>-30041.47</v>
      </c>
      <c r="D198" s="260">
        <v>-37285.480000000003</v>
      </c>
      <c r="E198" s="260">
        <v>-65702.291271999973</v>
      </c>
      <c r="F198" s="335">
        <v>-47466.549693999994</v>
      </c>
      <c r="G198" s="83">
        <f t="shared" ref="G198:G239" si="12">SUM(C198:F198)</f>
        <v>-180495.79096599997</v>
      </c>
      <c r="K198"/>
      <c r="L198"/>
      <c r="M198"/>
      <c r="N198"/>
      <c r="O198"/>
      <c r="P198"/>
      <c r="AG198" s="79" t="s">
        <v>129</v>
      </c>
      <c r="AH198" s="78" t="s">
        <v>2535</v>
      </c>
      <c r="AI198" s="46">
        <f t="shared" si="11"/>
        <v>0</v>
      </c>
      <c r="AK198" s="46" t="s">
        <v>129</v>
      </c>
      <c r="AL198" s="46" t="s">
        <v>2535</v>
      </c>
      <c r="AM198" s="193">
        <v>-75883.3</v>
      </c>
      <c r="AQ198" s="73" t="s">
        <v>129</v>
      </c>
      <c r="AR198" s="135" t="s">
        <v>2535</v>
      </c>
      <c r="AS198" s="212">
        <v>-73004.289999999994</v>
      </c>
    </row>
    <row r="199" spans="1:45">
      <c r="A199" t="s">
        <v>429</v>
      </c>
      <c r="B199" t="s">
        <v>2523</v>
      </c>
      <c r="C199" s="260">
        <v>-31331.37</v>
      </c>
      <c r="D199" s="260">
        <v>720.84</v>
      </c>
      <c r="E199" s="260">
        <v>-87299.863230000003</v>
      </c>
      <c r="F199" s="335">
        <v>-49310.580900999979</v>
      </c>
      <c r="G199" s="83">
        <f t="shared" si="12"/>
        <v>-167220.974131</v>
      </c>
      <c r="K199"/>
      <c r="L199"/>
      <c r="M199"/>
      <c r="N199"/>
      <c r="O199"/>
      <c r="P199"/>
      <c r="AG199" s="79" t="s">
        <v>365</v>
      </c>
      <c r="AH199" s="78" t="s">
        <v>2712</v>
      </c>
      <c r="AI199" s="46">
        <f t="shared" si="11"/>
        <v>0</v>
      </c>
      <c r="AK199" s="46" t="s">
        <v>365</v>
      </c>
      <c r="AL199" s="46" t="s">
        <v>2712</v>
      </c>
      <c r="AM199" s="193">
        <v>-300500.92</v>
      </c>
      <c r="AQ199" s="73" t="s">
        <v>365</v>
      </c>
      <c r="AR199" s="135" t="s">
        <v>2712</v>
      </c>
      <c r="AS199" s="212">
        <v>-470712.84</v>
      </c>
    </row>
    <row r="200" spans="1:45">
      <c r="A200" t="s">
        <v>431</v>
      </c>
      <c r="B200" t="s">
        <v>2676</v>
      </c>
      <c r="C200" s="260">
        <v>-82992.289999999994</v>
      </c>
      <c r="D200" s="260">
        <v>-84831.039999999994</v>
      </c>
      <c r="E200" s="260">
        <v>-17745.723837999991</v>
      </c>
      <c r="F200" s="335">
        <v>-72964.940655999992</v>
      </c>
      <c r="G200" s="83">
        <f t="shared" si="12"/>
        <v>-258533.99449399998</v>
      </c>
      <c r="K200"/>
      <c r="L200"/>
      <c r="M200"/>
      <c r="N200"/>
      <c r="O200"/>
      <c r="P200"/>
      <c r="AG200" s="79" t="s">
        <v>537</v>
      </c>
      <c r="AH200" s="78" t="s">
        <v>2713</v>
      </c>
      <c r="AI200" s="46">
        <f t="shared" si="11"/>
        <v>0</v>
      </c>
      <c r="AK200" s="46" t="s">
        <v>537</v>
      </c>
      <c r="AL200" s="46" t="s">
        <v>2713</v>
      </c>
      <c r="AM200" s="193">
        <v>-25995.29</v>
      </c>
      <c r="AQ200" s="73" t="s">
        <v>537</v>
      </c>
      <c r="AR200" s="135" t="s">
        <v>2713</v>
      </c>
      <c r="AS200" s="212">
        <v>-61298.96</v>
      </c>
    </row>
    <row r="201" spans="1:45">
      <c r="A201" t="s">
        <v>433</v>
      </c>
      <c r="B201" t="s">
        <v>2695</v>
      </c>
      <c r="C201" s="260">
        <v>-242789.27</v>
      </c>
      <c r="D201" s="260">
        <v>-348888.78</v>
      </c>
      <c r="E201" s="260">
        <v>-198471.95965199999</v>
      </c>
      <c r="F201" s="335">
        <v>41796.567958999658</v>
      </c>
      <c r="G201" s="83">
        <f t="shared" si="12"/>
        <v>-748353.44169300038</v>
      </c>
      <c r="K201"/>
      <c r="L201"/>
      <c r="M201"/>
      <c r="N201"/>
      <c r="O201"/>
      <c r="P201"/>
      <c r="AG201" s="79" t="s">
        <v>347</v>
      </c>
      <c r="AH201" s="78" t="s">
        <v>2672</v>
      </c>
      <c r="AI201" s="46">
        <f t="shared" si="11"/>
        <v>0</v>
      </c>
      <c r="AK201" s="46" t="s">
        <v>347</v>
      </c>
      <c r="AL201" s="46" t="s">
        <v>2672</v>
      </c>
      <c r="AM201" s="193">
        <v>-49181.599999999999</v>
      </c>
      <c r="AQ201" s="73" t="s">
        <v>347</v>
      </c>
      <c r="AR201" s="135" t="s">
        <v>2672</v>
      </c>
      <c r="AS201" s="212">
        <v>-44851.25</v>
      </c>
    </row>
    <row r="202" spans="1:45">
      <c r="A202" t="s">
        <v>435</v>
      </c>
      <c r="B202" t="s">
        <v>2452</v>
      </c>
      <c r="C202" s="260">
        <v>-71104.17</v>
      </c>
      <c r="D202" s="260">
        <v>-80367.61</v>
      </c>
      <c r="E202" s="260">
        <v>-138869.25699999946</v>
      </c>
      <c r="F202" s="335">
        <v>87649.056512999348</v>
      </c>
      <c r="G202" s="83">
        <f t="shared" si="12"/>
        <v>-202691.98048700008</v>
      </c>
      <c r="K202"/>
      <c r="L202"/>
      <c r="M202"/>
      <c r="N202"/>
      <c r="O202"/>
      <c r="P202"/>
      <c r="AG202" s="79" t="s">
        <v>575</v>
      </c>
      <c r="AH202" s="78" t="s">
        <v>2714</v>
      </c>
      <c r="AI202" s="46">
        <f t="shared" si="11"/>
        <v>0</v>
      </c>
      <c r="AK202" s="46" t="s">
        <v>575</v>
      </c>
      <c r="AL202" s="46" t="s">
        <v>2714</v>
      </c>
      <c r="AM202" s="193">
        <v>-139850.34</v>
      </c>
      <c r="AQ202" s="73" t="s">
        <v>575</v>
      </c>
      <c r="AR202" s="135" t="s">
        <v>2714</v>
      </c>
      <c r="AS202" s="212">
        <v>-117142.04</v>
      </c>
    </row>
    <row r="203" spans="1:45">
      <c r="A203" t="s">
        <v>437</v>
      </c>
      <c r="B203" t="s">
        <v>2526</v>
      </c>
      <c r="C203" s="260">
        <v>-22035.62</v>
      </c>
      <c r="D203" s="260">
        <v>-2891.28</v>
      </c>
      <c r="E203" s="260">
        <v>-34907.156202999991</v>
      </c>
      <c r="F203" s="335">
        <v>-70301.438900000008</v>
      </c>
      <c r="G203" s="83">
        <f t="shared" si="12"/>
        <v>-130135.49510299999</v>
      </c>
      <c r="K203"/>
      <c r="L203"/>
      <c r="M203"/>
      <c r="N203"/>
      <c r="O203"/>
      <c r="P203"/>
      <c r="AG203" s="79" t="s">
        <v>205</v>
      </c>
      <c r="AH203" s="78" t="s">
        <v>2586</v>
      </c>
      <c r="AI203" s="46">
        <f t="shared" si="11"/>
        <v>0</v>
      </c>
      <c r="AK203" s="46" t="s">
        <v>205</v>
      </c>
      <c r="AL203" s="46" t="s">
        <v>2586</v>
      </c>
      <c r="AM203" s="193">
        <v>-262104.67</v>
      </c>
      <c r="AQ203" s="73" t="s">
        <v>205</v>
      </c>
      <c r="AR203" s="135" t="s">
        <v>2586</v>
      </c>
      <c r="AS203" s="212">
        <v>-1499506.14</v>
      </c>
    </row>
    <row r="204" spans="1:45">
      <c r="A204" t="s">
        <v>439</v>
      </c>
      <c r="B204" t="s">
        <v>440</v>
      </c>
      <c r="C204" s="260">
        <v>-44442.5</v>
      </c>
      <c r="D204" s="260">
        <v>-49351.34</v>
      </c>
      <c r="E204" s="260">
        <v>-111072.262336</v>
      </c>
      <c r="F204" s="335">
        <v>-35888.837627999994</v>
      </c>
      <c r="G204" s="83">
        <f t="shared" si="12"/>
        <v>-240754.93996400002</v>
      </c>
      <c r="K204"/>
      <c r="L204"/>
      <c r="M204"/>
      <c r="N204"/>
      <c r="O204"/>
      <c r="P204"/>
      <c r="AG204" s="79" t="s">
        <v>297</v>
      </c>
      <c r="AH204" s="78" t="s">
        <v>2642</v>
      </c>
      <c r="AI204" s="46">
        <f t="shared" si="11"/>
        <v>0</v>
      </c>
      <c r="AK204" s="46" t="s">
        <v>297</v>
      </c>
      <c r="AL204" s="46" t="s">
        <v>2642</v>
      </c>
      <c r="AM204" s="193">
        <v>-497265.14</v>
      </c>
      <c r="AQ204" s="73" t="s">
        <v>297</v>
      </c>
      <c r="AR204" s="135" t="s">
        <v>2642</v>
      </c>
      <c r="AS204" s="212">
        <v>-179997.16</v>
      </c>
    </row>
    <row r="205" spans="1:45">
      <c r="A205" t="s">
        <v>441</v>
      </c>
      <c r="B205" t="s">
        <v>2542</v>
      </c>
      <c r="C205" s="260">
        <v>1668318.85</v>
      </c>
      <c r="D205" s="260">
        <v>-530087.9</v>
      </c>
      <c r="E205" s="260">
        <v>-113935.88396300015</v>
      </c>
      <c r="F205" s="335">
        <v>1600764.2540800013</v>
      </c>
      <c r="G205" s="83">
        <f t="shared" si="12"/>
        <v>2625059.3201170014</v>
      </c>
      <c r="K205"/>
      <c r="L205"/>
      <c r="M205"/>
      <c r="N205"/>
      <c r="O205"/>
      <c r="P205"/>
      <c r="AG205" s="79" t="s">
        <v>369</v>
      </c>
      <c r="AH205" s="78" t="s">
        <v>2684</v>
      </c>
      <c r="AI205" s="46">
        <f t="shared" si="11"/>
        <v>0</v>
      </c>
      <c r="AK205" s="46" t="s">
        <v>369</v>
      </c>
      <c r="AL205" s="46" t="s">
        <v>2684</v>
      </c>
      <c r="AM205" s="193">
        <v>-754882.94</v>
      </c>
      <c r="AQ205" s="73" t="s">
        <v>369</v>
      </c>
      <c r="AR205" s="135" t="s">
        <v>2684</v>
      </c>
      <c r="AS205" s="212">
        <v>-1776049.08</v>
      </c>
    </row>
    <row r="206" spans="1:45">
      <c r="A206" t="s">
        <v>443</v>
      </c>
      <c r="B206" t="s">
        <v>2674</v>
      </c>
      <c r="C206" s="260">
        <v>-79857.740000000005</v>
      </c>
      <c r="D206" s="260">
        <v>-36770.42</v>
      </c>
      <c r="E206" s="260">
        <v>-5725.6914650000508</v>
      </c>
      <c r="F206" s="335">
        <v>9495.2837289999588</v>
      </c>
      <c r="G206" s="83">
        <f t="shared" si="12"/>
        <v>-112858.5677360001</v>
      </c>
      <c r="K206"/>
      <c r="L206"/>
      <c r="M206"/>
      <c r="N206"/>
      <c r="O206"/>
      <c r="P206"/>
      <c r="AG206" s="79" t="s">
        <v>169</v>
      </c>
      <c r="AH206" s="78" t="s">
        <v>2568</v>
      </c>
      <c r="AI206" s="46">
        <f t="shared" si="11"/>
        <v>0</v>
      </c>
      <c r="AK206" s="46" t="s">
        <v>169</v>
      </c>
      <c r="AL206" s="46" t="s">
        <v>2568</v>
      </c>
      <c r="AM206" s="193">
        <v>-710885.68</v>
      </c>
      <c r="AQ206" s="73" t="s">
        <v>169</v>
      </c>
      <c r="AR206" s="135" t="s">
        <v>2568</v>
      </c>
      <c r="AS206" s="212">
        <v>-777524.5</v>
      </c>
    </row>
    <row r="207" spans="1:45">
      <c r="A207" t="s">
        <v>445</v>
      </c>
      <c r="B207" t="s">
        <v>2466</v>
      </c>
      <c r="C207" s="260">
        <v>-37167.64</v>
      </c>
      <c r="D207" s="260">
        <v>-29533.55</v>
      </c>
      <c r="E207" s="260">
        <v>-111384.00835199999</v>
      </c>
      <c r="F207" s="335">
        <v>-47126.986149999982</v>
      </c>
      <c r="G207" s="83">
        <f t="shared" si="12"/>
        <v>-225212.18450199996</v>
      </c>
      <c r="K207"/>
      <c r="L207"/>
      <c r="M207"/>
      <c r="N207"/>
      <c r="O207"/>
      <c r="P207"/>
      <c r="AG207" s="79" t="s">
        <v>43</v>
      </c>
      <c r="AH207" s="78" t="s">
        <v>2458</v>
      </c>
      <c r="AI207" s="46">
        <f t="shared" si="11"/>
        <v>0</v>
      </c>
      <c r="AK207" s="46" t="s">
        <v>43</v>
      </c>
      <c r="AL207" s="46" t="s">
        <v>2458</v>
      </c>
      <c r="AM207" s="193">
        <v>-195187.55</v>
      </c>
      <c r="AQ207" s="73" t="s">
        <v>43</v>
      </c>
      <c r="AR207" s="135" t="s">
        <v>2458</v>
      </c>
      <c r="AS207" s="212">
        <v>-256026.8</v>
      </c>
    </row>
    <row r="208" spans="1:45">
      <c r="A208" t="s">
        <v>447</v>
      </c>
      <c r="B208" t="s">
        <v>2647</v>
      </c>
      <c r="C208" s="260">
        <v>-48267.42</v>
      </c>
      <c r="D208" s="260">
        <v>-43176.85</v>
      </c>
      <c r="E208" s="260">
        <v>12407.700939999966</v>
      </c>
      <c r="F208" s="335">
        <v>-22568.612170000008</v>
      </c>
      <c r="G208" s="83">
        <f t="shared" si="12"/>
        <v>-101605.18123000003</v>
      </c>
      <c r="K208"/>
      <c r="L208"/>
      <c r="M208"/>
      <c r="N208"/>
      <c r="O208"/>
      <c r="P208"/>
      <c r="AG208" s="79" t="s">
        <v>333</v>
      </c>
      <c r="AH208" s="78" t="s">
        <v>2662</v>
      </c>
      <c r="AI208" s="46">
        <f t="shared" si="11"/>
        <v>0</v>
      </c>
      <c r="AK208" s="46" t="s">
        <v>333</v>
      </c>
      <c r="AL208" s="46" t="s">
        <v>2662</v>
      </c>
      <c r="AM208" s="193">
        <v>-1124487.6599999999</v>
      </c>
      <c r="AQ208" s="73" t="s">
        <v>333</v>
      </c>
      <c r="AR208" s="135" t="s">
        <v>2662</v>
      </c>
      <c r="AS208" s="212">
        <v>-1425197.85</v>
      </c>
    </row>
    <row r="209" spans="1:45">
      <c r="A209" t="s">
        <v>449</v>
      </c>
      <c r="B209" t="s">
        <v>2696</v>
      </c>
      <c r="C209" s="260">
        <v>-232701.42</v>
      </c>
      <c r="D209" s="260">
        <v>425482.73</v>
      </c>
      <c r="E209" s="260">
        <v>336353.26434302388</v>
      </c>
      <c r="F209" s="335">
        <v>357454.22675941652</v>
      </c>
      <c r="G209" s="83">
        <f t="shared" si="12"/>
        <v>886588.80110244034</v>
      </c>
      <c r="K209"/>
      <c r="L209"/>
      <c r="M209"/>
      <c r="N209"/>
      <c r="O209"/>
      <c r="P209"/>
      <c r="AG209" s="79" t="s">
        <v>265</v>
      </c>
      <c r="AH209" s="78" t="s">
        <v>2628</v>
      </c>
      <c r="AI209" s="46">
        <f t="shared" si="11"/>
        <v>0</v>
      </c>
      <c r="AK209" s="46" t="s">
        <v>265</v>
      </c>
      <c r="AL209" s="46" t="s">
        <v>2628</v>
      </c>
      <c r="AM209" s="193">
        <v>-10481.48</v>
      </c>
      <c r="AQ209" s="73" t="s">
        <v>265</v>
      </c>
      <c r="AR209" s="135" t="s">
        <v>2628</v>
      </c>
      <c r="AS209" s="212">
        <v>-14160.64</v>
      </c>
    </row>
    <row r="210" spans="1:45">
      <c r="A210" s="334" t="s">
        <v>451</v>
      </c>
      <c r="B210" s="336" t="s">
        <v>2715</v>
      </c>
      <c r="C210" s="260"/>
      <c r="D210" s="260"/>
      <c r="E210" s="260"/>
      <c r="F210" s="335">
        <v>-18365.97</v>
      </c>
      <c r="G210" s="83">
        <f t="shared" si="12"/>
        <v>-18365.97</v>
      </c>
      <c r="K210"/>
      <c r="L210"/>
      <c r="M210"/>
      <c r="N210"/>
      <c r="O210"/>
      <c r="P210"/>
      <c r="AG210" s="79" t="s">
        <v>349</v>
      </c>
      <c r="AH210" s="78" t="s">
        <v>2673</v>
      </c>
      <c r="AI210" s="46">
        <f t="shared" si="11"/>
        <v>0</v>
      </c>
      <c r="AK210" s="46" t="s">
        <v>349</v>
      </c>
      <c r="AL210" s="46" t="s">
        <v>2673</v>
      </c>
      <c r="AM210" s="193">
        <v>-129789.3</v>
      </c>
      <c r="AQ210" s="73" t="s">
        <v>349</v>
      </c>
      <c r="AR210" s="135" t="s">
        <v>2673</v>
      </c>
      <c r="AS210" s="212">
        <v>-35799.33</v>
      </c>
    </row>
    <row r="211" spans="1:45">
      <c r="A211" t="s">
        <v>453</v>
      </c>
      <c r="B211" t="s">
        <v>2663</v>
      </c>
      <c r="C211" s="260">
        <v>-25386.43</v>
      </c>
      <c r="D211" s="260">
        <v>-69665.23</v>
      </c>
      <c r="E211" s="260">
        <v>-102655.05035899999</v>
      </c>
      <c r="F211" s="335">
        <v>125429.59950400004</v>
      </c>
      <c r="G211" s="83">
        <f t="shared" si="12"/>
        <v>-72277.110854999948</v>
      </c>
      <c r="K211"/>
      <c r="L211"/>
      <c r="M211"/>
      <c r="N211"/>
      <c r="O211"/>
      <c r="P211"/>
      <c r="AG211" s="79" t="s">
        <v>541</v>
      </c>
      <c r="AH211" s="78" t="s">
        <v>2716</v>
      </c>
      <c r="AI211" s="46">
        <f t="shared" si="11"/>
        <v>0</v>
      </c>
      <c r="AK211" s="46" t="s">
        <v>541</v>
      </c>
      <c r="AL211" s="46" t="s">
        <v>2716</v>
      </c>
      <c r="AM211" s="193">
        <v>-231679.02</v>
      </c>
      <c r="AQ211" s="73" t="s">
        <v>541</v>
      </c>
      <c r="AR211" s="135" t="s">
        <v>2716</v>
      </c>
      <c r="AS211" s="212">
        <v>-35661.879999999997</v>
      </c>
    </row>
    <row r="212" spans="1:45">
      <c r="A212" t="s">
        <v>455</v>
      </c>
      <c r="B212" t="s">
        <v>2547</v>
      </c>
      <c r="C212" s="260">
        <v>-66877.39</v>
      </c>
      <c r="D212" s="260">
        <v>-76110.509999999995</v>
      </c>
      <c r="E212" s="260">
        <v>-54343.707399999999</v>
      </c>
      <c r="F212" s="335">
        <v>-35389.512925000017</v>
      </c>
      <c r="G212" s="83">
        <f t="shared" si="12"/>
        <v>-232721.120325</v>
      </c>
      <c r="K212"/>
      <c r="L212"/>
      <c r="M212"/>
      <c r="N212"/>
      <c r="O212"/>
      <c r="P212"/>
      <c r="AG212" s="79" t="s">
        <v>301</v>
      </c>
      <c r="AH212" s="78" t="s">
        <v>2644</v>
      </c>
      <c r="AI212" s="46">
        <f t="shared" si="11"/>
        <v>0</v>
      </c>
      <c r="AK212" s="46" t="s">
        <v>301</v>
      </c>
      <c r="AL212" s="46" t="s">
        <v>2644</v>
      </c>
      <c r="AM212" s="193">
        <v>-146483.12</v>
      </c>
      <c r="AQ212" s="73" t="s">
        <v>301</v>
      </c>
      <c r="AR212" s="135" t="s">
        <v>2644</v>
      </c>
      <c r="AS212" s="212">
        <v>-100309.47</v>
      </c>
    </row>
    <row r="213" spans="1:45">
      <c r="A213" t="s">
        <v>457</v>
      </c>
      <c r="B213" t="s">
        <v>2491</v>
      </c>
      <c r="C213" s="260">
        <v>-175481.83</v>
      </c>
      <c r="D213" s="260">
        <v>-78562.36</v>
      </c>
      <c r="E213" s="260">
        <v>217808.44856000005</v>
      </c>
      <c r="F213" s="335">
        <v>364183.14908799971</v>
      </c>
      <c r="G213" s="83">
        <f t="shared" si="12"/>
        <v>327947.40764799976</v>
      </c>
      <c r="K213"/>
      <c r="L213"/>
      <c r="M213"/>
      <c r="N213"/>
      <c r="O213"/>
      <c r="P213"/>
      <c r="AG213" s="79" t="s">
        <v>577</v>
      </c>
      <c r="AH213" s="78" t="s">
        <v>2717</v>
      </c>
      <c r="AI213" s="46">
        <f t="shared" si="11"/>
        <v>0</v>
      </c>
      <c r="AK213" s="46" t="s">
        <v>577</v>
      </c>
      <c r="AL213" s="46" t="s">
        <v>2717</v>
      </c>
      <c r="AM213" s="193">
        <v>-115815.97</v>
      </c>
      <c r="AQ213" s="73" t="s">
        <v>577</v>
      </c>
      <c r="AR213" s="135" t="s">
        <v>2717</v>
      </c>
      <c r="AS213" s="212">
        <v>45287.89</v>
      </c>
    </row>
    <row r="214" spans="1:45">
      <c r="A214" t="s">
        <v>459</v>
      </c>
      <c r="B214" t="s">
        <v>2587</v>
      </c>
      <c r="C214" s="260">
        <v>-111191.01</v>
      </c>
      <c r="D214" s="260">
        <v>-179344.31</v>
      </c>
      <c r="E214" s="260">
        <v>-176517.56296300003</v>
      </c>
      <c r="F214" s="335">
        <v>-164706.81697999989</v>
      </c>
      <c r="G214" s="83">
        <f t="shared" si="12"/>
        <v>-631759.69994299999</v>
      </c>
      <c r="K214"/>
      <c r="L214"/>
      <c r="M214"/>
      <c r="N214"/>
      <c r="O214"/>
      <c r="P214"/>
      <c r="AG214" s="79" t="s">
        <v>147</v>
      </c>
      <c r="AH214" s="78" t="s">
        <v>2549</v>
      </c>
      <c r="AI214" s="46">
        <f t="shared" si="11"/>
        <v>0</v>
      </c>
      <c r="AK214" s="46" t="s">
        <v>147</v>
      </c>
      <c r="AL214" s="46" t="s">
        <v>2549</v>
      </c>
      <c r="AM214" s="193">
        <v>-56200.95</v>
      </c>
      <c r="AQ214" s="73" t="s">
        <v>147</v>
      </c>
      <c r="AR214" s="135" t="s">
        <v>2549</v>
      </c>
      <c r="AS214" s="212">
        <v>-54191.839999999997</v>
      </c>
    </row>
    <row r="215" spans="1:45">
      <c r="A215" t="s">
        <v>461</v>
      </c>
      <c r="B215" t="s">
        <v>2718</v>
      </c>
      <c r="C215" s="260">
        <v>-68982.36</v>
      </c>
      <c r="D215" s="260">
        <v>-127276.21</v>
      </c>
      <c r="E215" s="260">
        <v>-296080.13575000002</v>
      </c>
      <c r="F215" s="335">
        <v>-266590.21613200003</v>
      </c>
      <c r="G215" s="83">
        <f t="shared" si="12"/>
        <v>-758928.92188200005</v>
      </c>
      <c r="K215"/>
      <c r="L215"/>
      <c r="M215"/>
      <c r="N215"/>
      <c r="O215"/>
      <c r="P215"/>
      <c r="AG215" s="79" t="s">
        <v>235</v>
      </c>
      <c r="AH215" s="78" t="s">
        <v>2610</v>
      </c>
      <c r="AI215" s="46">
        <f t="shared" si="11"/>
        <v>0</v>
      </c>
      <c r="AK215" s="46" t="s">
        <v>235</v>
      </c>
      <c r="AL215" s="46" t="s">
        <v>2610</v>
      </c>
      <c r="AM215" s="193">
        <v>-68223.14</v>
      </c>
      <c r="AQ215" s="73" t="s">
        <v>235</v>
      </c>
      <c r="AR215" s="135" t="s">
        <v>2610</v>
      </c>
      <c r="AS215" s="212">
        <v>-13516.17</v>
      </c>
    </row>
    <row r="216" spans="1:45">
      <c r="A216" t="s">
        <v>463</v>
      </c>
      <c r="B216" t="s">
        <v>464</v>
      </c>
      <c r="C216" s="260">
        <v>-39341.74</v>
      </c>
      <c r="D216" s="260">
        <v>-1518.72</v>
      </c>
      <c r="E216" s="260">
        <v>-20034.877979999994</v>
      </c>
      <c r="F216" s="335">
        <v>17993.128481999971</v>
      </c>
      <c r="G216" s="83">
        <f t="shared" si="12"/>
        <v>-42902.209498000026</v>
      </c>
      <c r="K216"/>
      <c r="L216"/>
      <c r="M216"/>
      <c r="N216"/>
      <c r="O216"/>
      <c r="P216"/>
      <c r="AG216" s="79" t="s">
        <v>563</v>
      </c>
      <c r="AH216" s="78" t="s">
        <v>2719</v>
      </c>
      <c r="AI216" s="46">
        <f t="shared" si="11"/>
        <v>0</v>
      </c>
      <c r="AK216" s="46" t="s">
        <v>563</v>
      </c>
      <c r="AL216" s="46" t="s">
        <v>2719</v>
      </c>
      <c r="AM216" s="193">
        <v>-585235.14</v>
      </c>
      <c r="AQ216" s="73" t="s">
        <v>563</v>
      </c>
      <c r="AR216" s="135" t="s">
        <v>2719</v>
      </c>
      <c r="AS216" s="212">
        <v>-581759.54</v>
      </c>
    </row>
    <row r="217" spans="1:45">
      <c r="A217" t="s">
        <v>465</v>
      </c>
      <c r="B217" t="s">
        <v>2474</v>
      </c>
      <c r="C217" s="260">
        <v>-203120.47</v>
      </c>
      <c r="D217" s="260">
        <v>-257019.09</v>
      </c>
      <c r="E217" s="260">
        <v>-59322.863083999924</v>
      </c>
      <c r="F217" s="335">
        <v>-232131.31226499984</v>
      </c>
      <c r="G217" s="83">
        <f t="shared" si="12"/>
        <v>-751593.73534899973</v>
      </c>
      <c r="K217"/>
      <c r="L217"/>
      <c r="M217"/>
      <c r="N217"/>
      <c r="O217"/>
      <c r="P217"/>
      <c r="AG217" s="79" t="s">
        <v>555</v>
      </c>
      <c r="AH217" s="78" t="s">
        <v>2720</v>
      </c>
      <c r="AI217" s="46">
        <f t="shared" si="11"/>
        <v>0</v>
      </c>
      <c r="AK217" s="46" t="s">
        <v>555</v>
      </c>
      <c r="AL217" s="46" t="s">
        <v>2720</v>
      </c>
      <c r="AM217" s="193">
        <v>-1964886.78</v>
      </c>
      <c r="AQ217" s="73" t="s">
        <v>555</v>
      </c>
      <c r="AR217" s="135" t="s">
        <v>2720</v>
      </c>
      <c r="AS217" s="212">
        <v>-914481.04</v>
      </c>
    </row>
    <row r="218" spans="1:45">
      <c r="A218" t="s">
        <v>467</v>
      </c>
      <c r="B218" t="s">
        <v>2721</v>
      </c>
      <c r="C218" s="260">
        <v>-139589.91</v>
      </c>
      <c r="D218" s="260">
        <v>-222694.59</v>
      </c>
      <c r="E218" s="260">
        <v>-369866.79981484055</v>
      </c>
      <c r="F218" s="335">
        <v>18203.100045592058</v>
      </c>
      <c r="G218" s="83">
        <f t="shared" si="12"/>
        <v>-713948.19976924849</v>
      </c>
      <c r="K218"/>
      <c r="L218"/>
      <c r="M218"/>
      <c r="N218"/>
      <c r="O218"/>
      <c r="P218"/>
      <c r="AG218" s="79" t="s">
        <v>381</v>
      </c>
      <c r="AH218" s="78" t="s">
        <v>2691</v>
      </c>
      <c r="AI218" s="46">
        <f t="shared" si="11"/>
        <v>0</v>
      </c>
      <c r="AK218" s="46" t="s">
        <v>381</v>
      </c>
      <c r="AL218" s="46" t="s">
        <v>2691</v>
      </c>
      <c r="AM218" s="193">
        <v>-209058.32</v>
      </c>
      <c r="AQ218" s="73" t="s">
        <v>381</v>
      </c>
      <c r="AR218" s="135" t="s">
        <v>2691</v>
      </c>
      <c r="AS218" s="212">
        <v>-123528.88</v>
      </c>
    </row>
    <row r="219" spans="1:45">
      <c r="A219" s="365" t="s">
        <v>469</v>
      </c>
      <c r="B219" s="338" t="s">
        <v>2722</v>
      </c>
      <c r="C219" s="260"/>
      <c r="D219" s="260"/>
      <c r="E219" s="260"/>
      <c r="F219" s="335">
        <v>-27685.309999999998</v>
      </c>
      <c r="G219" s="83">
        <f t="shared" si="12"/>
        <v>-27685.309999999998</v>
      </c>
      <c r="K219"/>
      <c r="L219"/>
      <c r="M219"/>
      <c r="N219"/>
      <c r="O219"/>
      <c r="P219"/>
      <c r="AG219" s="79" t="s">
        <v>339</v>
      </c>
      <c r="AH219" s="78" t="s">
        <v>2666</v>
      </c>
      <c r="AI219" s="46">
        <f t="shared" si="11"/>
        <v>0</v>
      </c>
      <c r="AK219" s="46" t="s">
        <v>339</v>
      </c>
      <c r="AL219" s="46" t="s">
        <v>2666</v>
      </c>
      <c r="AM219" s="193">
        <v>-247906.71</v>
      </c>
      <c r="AQ219" s="73" t="s">
        <v>339</v>
      </c>
      <c r="AR219" s="135" t="s">
        <v>2666</v>
      </c>
      <c r="AS219" s="212">
        <v>-271923.73</v>
      </c>
    </row>
    <row r="220" spans="1:45">
      <c r="A220" t="s">
        <v>471</v>
      </c>
      <c r="B220" t="s">
        <v>2689</v>
      </c>
      <c r="C220" s="260">
        <v>-921780</v>
      </c>
      <c r="D220" s="260">
        <v>-482010.83</v>
      </c>
      <c r="E220" s="260">
        <v>-2540877.9880818184</v>
      </c>
      <c r="F220" s="335">
        <v>700930.62905067392</v>
      </c>
      <c r="G220" s="83">
        <f t="shared" si="12"/>
        <v>-3243738.1890311446</v>
      </c>
      <c r="K220"/>
      <c r="L220"/>
      <c r="M220"/>
      <c r="N220"/>
      <c r="O220"/>
      <c r="P220"/>
      <c r="AG220" s="79" t="s">
        <v>337</v>
      </c>
      <c r="AH220" s="78" t="s">
        <v>2664</v>
      </c>
      <c r="AI220" s="46">
        <f t="shared" si="11"/>
        <v>0</v>
      </c>
      <c r="AK220" s="46" t="s">
        <v>337</v>
      </c>
      <c r="AL220" s="46" t="s">
        <v>2664</v>
      </c>
      <c r="AM220" s="193">
        <v>-46280.99</v>
      </c>
      <c r="AQ220" s="73" t="s">
        <v>337</v>
      </c>
      <c r="AR220" s="135" t="s">
        <v>2664</v>
      </c>
      <c r="AS220" s="212">
        <v>-151309.19</v>
      </c>
    </row>
    <row r="221" spans="1:45">
      <c r="A221" t="s">
        <v>473</v>
      </c>
      <c r="B221" t="s">
        <v>474</v>
      </c>
      <c r="C221" s="260">
        <v>-101753.9</v>
      </c>
      <c r="D221" s="260">
        <v>-93856.06</v>
      </c>
      <c r="E221" s="260">
        <v>-80043.325723999995</v>
      </c>
      <c r="F221" s="335">
        <v>-97293.078928000003</v>
      </c>
      <c r="G221" s="83">
        <f t="shared" si="12"/>
        <v>-372946.36465199996</v>
      </c>
      <c r="K221"/>
      <c r="L221"/>
      <c r="M221"/>
      <c r="N221"/>
      <c r="O221"/>
      <c r="P221"/>
      <c r="AG221" s="79" t="s">
        <v>95</v>
      </c>
      <c r="AH221" s="78" t="s">
        <v>2508</v>
      </c>
      <c r="AI221" s="46">
        <f t="shared" si="11"/>
        <v>0</v>
      </c>
      <c r="AK221" s="46" t="s">
        <v>95</v>
      </c>
      <c r="AL221" s="46" t="s">
        <v>2508</v>
      </c>
      <c r="AM221" s="193">
        <v>-1403428.1</v>
      </c>
      <c r="AQ221" s="73" t="s">
        <v>95</v>
      </c>
      <c r="AR221" s="135" t="s">
        <v>2508</v>
      </c>
      <c r="AS221" s="212">
        <v>-1736495.04</v>
      </c>
    </row>
    <row r="222" spans="1:45">
      <c r="A222" t="s">
        <v>475</v>
      </c>
      <c r="B222" t="s">
        <v>2585</v>
      </c>
      <c r="C222" s="260">
        <v>-72243.039999999994</v>
      </c>
      <c r="D222" s="260">
        <v>-36853.269999999997</v>
      </c>
      <c r="E222" s="260">
        <v>-95750.726506000021</v>
      </c>
      <c r="F222" s="335">
        <v>-75626.15386599995</v>
      </c>
      <c r="G222" s="83">
        <f t="shared" si="12"/>
        <v>-280473.19037199998</v>
      </c>
      <c r="K222"/>
      <c r="L222"/>
      <c r="M222"/>
      <c r="N222"/>
      <c r="O222"/>
      <c r="P222"/>
      <c r="AG222" s="79" t="s">
        <v>221</v>
      </c>
      <c r="AH222" s="78" t="s">
        <v>2599</v>
      </c>
      <c r="AI222" s="46">
        <f t="shared" si="11"/>
        <v>0</v>
      </c>
      <c r="AK222" s="46" t="s">
        <v>221</v>
      </c>
      <c r="AL222" s="46" t="s">
        <v>2599</v>
      </c>
      <c r="AM222" s="193">
        <v>-74412.81</v>
      </c>
      <c r="AQ222" s="73" t="s">
        <v>221</v>
      </c>
      <c r="AR222" s="135" t="s">
        <v>2599</v>
      </c>
      <c r="AS222" s="212">
        <v>-63262.43</v>
      </c>
    </row>
    <row r="223" spans="1:45">
      <c r="A223" t="s">
        <v>477</v>
      </c>
      <c r="B223" t="s">
        <v>2723</v>
      </c>
      <c r="C223" s="260">
        <v>-5296.78</v>
      </c>
      <c r="D223" s="260">
        <v>-98816.77</v>
      </c>
      <c r="E223" s="260">
        <v>-152385.72</v>
      </c>
      <c r="F223" s="335">
        <v>-103419.53899999999</v>
      </c>
      <c r="G223" s="83">
        <f t="shared" si="12"/>
        <v>-359918.80900000001</v>
      </c>
      <c r="K223"/>
      <c r="L223"/>
      <c r="M223"/>
      <c r="N223"/>
      <c r="O223"/>
      <c r="P223"/>
      <c r="AG223" s="79" t="s">
        <v>101</v>
      </c>
      <c r="AH223" s="78" t="s">
        <v>2512</v>
      </c>
      <c r="AI223" s="46">
        <f t="shared" si="11"/>
        <v>0</v>
      </c>
      <c r="AK223" s="46" t="s">
        <v>101</v>
      </c>
      <c r="AL223" s="46" t="s">
        <v>2512</v>
      </c>
      <c r="AM223" s="193">
        <v>-492145.03</v>
      </c>
      <c r="AQ223" s="73" t="s">
        <v>101</v>
      </c>
      <c r="AR223" s="135" t="s">
        <v>2512</v>
      </c>
      <c r="AS223" s="212">
        <v>-643208.19999999995</v>
      </c>
    </row>
    <row r="224" spans="1:45">
      <c r="A224" t="s">
        <v>479</v>
      </c>
      <c r="B224" t="s">
        <v>2497</v>
      </c>
      <c r="C224" s="260">
        <v>-243242.63</v>
      </c>
      <c r="D224" s="260">
        <v>-287729.59000000003</v>
      </c>
      <c r="E224" s="260">
        <v>-152390.1612</v>
      </c>
      <c r="F224" s="335">
        <v>-178454.26219599985</v>
      </c>
      <c r="G224" s="83">
        <f t="shared" si="12"/>
        <v>-861816.6433959998</v>
      </c>
      <c r="K224"/>
      <c r="L224"/>
      <c r="M224"/>
      <c r="N224"/>
      <c r="O224"/>
      <c r="P224"/>
      <c r="AG224" s="79" t="s">
        <v>159</v>
      </c>
      <c r="AH224" s="78" t="s">
        <v>2724</v>
      </c>
      <c r="AI224" s="46">
        <f t="shared" si="11"/>
        <v>0</v>
      </c>
      <c r="AK224" s="46" t="s">
        <v>159</v>
      </c>
      <c r="AL224" s="46" t="s">
        <v>2724</v>
      </c>
      <c r="AM224" s="193">
        <v>-336968.26</v>
      </c>
      <c r="AQ224" s="73" t="s">
        <v>159</v>
      </c>
      <c r="AR224" s="135" t="s">
        <v>2724</v>
      </c>
      <c r="AS224" s="212">
        <v>-565023.54</v>
      </c>
    </row>
    <row r="225" spans="1:45">
      <c r="A225" t="s">
        <v>481</v>
      </c>
      <c r="B225" t="s">
        <v>2577</v>
      </c>
      <c r="C225" s="260">
        <v>-67684.72</v>
      </c>
      <c r="D225" s="260">
        <v>-12093.87</v>
      </c>
      <c r="E225" s="260">
        <v>-19146.094232999985</v>
      </c>
      <c r="F225" s="335">
        <v>-77395.518276000075</v>
      </c>
      <c r="G225" s="83">
        <f t="shared" si="12"/>
        <v>-176320.20250900005</v>
      </c>
      <c r="K225"/>
      <c r="L225"/>
      <c r="M225"/>
      <c r="N225"/>
      <c r="O225"/>
      <c r="P225"/>
      <c r="AG225" s="79" t="s">
        <v>305</v>
      </c>
      <c r="AH225" s="78" t="s">
        <v>2648</v>
      </c>
      <c r="AI225" s="46">
        <f t="shared" si="11"/>
        <v>0</v>
      </c>
      <c r="AK225" s="46" t="s">
        <v>305</v>
      </c>
      <c r="AL225" s="46" t="s">
        <v>2648</v>
      </c>
      <c r="AM225" s="193">
        <v>-102007.91</v>
      </c>
      <c r="AQ225" s="73" t="s">
        <v>305</v>
      </c>
      <c r="AR225" s="135" t="s">
        <v>2648</v>
      </c>
      <c r="AS225" s="212">
        <v>-80357.31</v>
      </c>
    </row>
    <row r="226" spans="1:45">
      <c r="A226" t="s">
        <v>483</v>
      </c>
      <c r="B226" t="s">
        <v>2550</v>
      </c>
      <c r="C226" s="260">
        <v>-298716.82</v>
      </c>
      <c r="D226" s="260">
        <v>-263886.27</v>
      </c>
      <c r="E226" s="260">
        <v>-205558.26806899998</v>
      </c>
      <c r="F226" s="335">
        <v>20866.607084000017</v>
      </c>
      <c r="G226" s="83">
        <f t="shared" si="12"/>
        <v>-747294.75098500005</v>
      </c>
      <c r="K226"/>
      <c r="L226"/>
      <c r="M226"/>
      <c r="N226"/>
      <c r="O226"/>
      <c r="P226"/>
      <c r="AG226" s="79" t="s">
        <v>655</v>
      </c>
      <c r="AH226" s="78" t="s">
        <v>2725</v>
      </c>
      <c r="AI226" s="46">
        <f t="shared" si="11"/>
        <v>0</v>
      </c>
      <c r="AK226" s="46" t="s">
        <v>655</v>
      </c>
      <c r="AL226" s="46" t="s">
        <v>2725</v>
      </c>
      <c r="AM226" s="193">
        <v>-366324.28</v>
      </c>
      <c r="AQ226" s="73" t="s">
        <v>655</v>
      </c>
      <c r="AR226" s="135" t="s">
        <v>2725</v>
      </c>
      <c r="AS226" s="212">
        <v>-375453.15</v>
      </c>
    </row>
    <row r="227" spans="1:45">
      <c r="A227" t="s">
        <v>485</v>
      </c>
      <c r="B227" t="s">
        <v>2726</v>
      </c>
      <c r="C227" s="260">
        <v>-107183.94</v>
      </c>
      <c r="D227" s="260">
        <v>-151869.34</v>
      </c>
      <c r="E227" s="260">
        <v>-67546.536266000068</v>
      </c>
      <c r="F227" s="335">
        <v>-1983.0119699999923</v>
      </c>
      <c r="G227" s="83">
        <f t="shared" si="12"/>
        <v>-328582.82823600003</v>
      </c>
      <c r="K227"/>
      <c r="L227"/>
      <c r="M227"/>
      <c r="N227"/>
      <c r="O227"/>
      <c r="P227"/>
      <c r="AG227" s="79" t="s">
        <v>153</v>
      </c>
      <c r="AH227" s="78" t="s">
        <v>2554</v>
      </c>
      <c r="AI227" s="46">
        <f t="shared" si="11"/>
        <v>0</v>
      </c>
      <c r="AK227" s="46" t="s">
        <v>153</v>
      </c>
      <c r="AL227" s="46" t="s">
        <v>2554</v>
      </c>
      <c r="AM227" s="193">
        <v>-148023.71</v>
      </c>
      <c r="AQ227" s="73" t="s">
        <v>153</v>
      </c>
      <c r="AR227" s="135" t="s">
        <v>2554</v>
      </c>
      <c r="AS227" s="212">
        <v>-138048.32000000001</v>
      </c>
    </row>
    <row r="228" spans="1:45">
      <c r="A228" t="s">
        <v>487</v>
      </c>
      <c r="B228" t="s">
        <v>1216</v>
      </c>
      <c r="C228" s="260">
        <v>-81652.97</v>
      </c>
      <c r="D228" s="260">
        <v>-60827.54</v>
      </c>
      <c r="E228" s="260">
        <v>-41900.470999999998</v>
      </c>
      <c r="F228" s="335">
        <v>-89900.424999999974</v>
      </c>
      <c r="G228" s="83">
        <f t="shared" si="12"/>
        <v>-274281.40599999996</v>
      </c>
      <c r="K228"/>
      <c r="L228"/>
      <c r="M228"/>
      <c r="N228"/>
      <c r="O228"/>
      <c r="P228"/>
      <c r="AG228" s="79" t="s">
        <v>505</v>
      </c>
      <c r="AH228" s="78" t="s">
        <v>2727</v>
      </c>
      <c r="AI228" s="46">
        <f t="shared" si="11"/>
        <v>0</v>
      </c>
      <c r="AK228" s="46" t="s">
        <v>505</v>
      </c>
      <c r="AL228" s="46" t="s">
        <v>2727</v>
      </c>
      <c r="AM228" s="193">
        <v>-154892.89000000001</v>
      </c>
      <c r="AQ228" s="73" t="s">
        <v>505</v>
      </c>
      <c r="AR228" s="135" t="s">
        <v>2727</v>
      </c>
      <c r="AS228" s="212">
        <v>-153406.84</v>
      </c>
    </row>
    <row r="229" spans="1:45">
      <c r="A229" t="s">
        <v>489</v>
      </c>
      <c r="B229" s="78" t="s">
        <v>490</v>
      </c>
      <c r="C229" s="260">
        <v>-59922.36</v>
      </c>
      <c r="D229" s="260"/>
      <c r="E229" s="260">
        <v>-14062.004999999997</v>
      </c>
      <c r="F229" s="335">
        <v>-31411.993000000017</v>
      </c>
      <c r="G229" s="83">
        <f t="shared" si="12"/>
        <v>-105396.35800000001</v>
      </c>
      <c r="K229"/>
      <c r="L229"/>
      <c r="M229"/>
      <c r="N229"/>
      <c r="O229"/>
      <c r="P229"/>
      <c r="AG229" s="127" t="s">
        <v>557</v>
      </c>
      <c r="AH229" s="128" t="s">
        <v>2728</v>
      </c>
      <c r="AI229" s="46">
        <f t="shared" si="11"/>
        <v>0</v>
      </c>
      <c r="AK229" s="46" t="s">
        <v>557</v>
      </c>
      <c r="AL229" s="46" t="s">
        <v>2728</v>
      </c>
      <c r="AM229" s="193">
        <v>-8700.24</v>
      </c>
      <c r="AQ229" s="213" t="s">
        <v>557</v>
      </c>
      <c r="AR229" s="214" t="s">
        <v>2728</v>
      </c>
      <c r="AS229" s="215">
        <v>-49551.8</v>
      </c>
    </row>
    <row r="230" spans="1:45">
      <c r="A230" t="s">
        <v>491</v>
      </c>
      <c r="B230" t="s">
        <v>2679</v>
      </c>
      <c r="C230" s="260">
        <v>-103201.19</v>
      </c>
      <c r="D230" s="260">
        <v>-113716.92</v>
      </c>
      <c r="E230" s="260">
        <v>-10785.558647999991</v>
      </c>
      <c r="F230" s="335">
        <v>-19470.008844000055</v>
      </c>
      <c r="G230" s="83">
        <f t="shared" si="12"/>
        <v>-247173.67749200005</v>
      </c>
      <c r="K230"/>
      <c r="L230"/>
      <c r="M230"/>
      <c r="N230"/>
      <c r="O230"/>
      <c r="P230"/>
      <c r="AG230" s="127" t="s">
        <v>463</v>
      </c>
      <c r="AH230" s="128" t="s">
        <v>2222</v>
      </c>
      <c r="AI230" s="46">
        <f t="shared" si="11"/>
        <v>0</v>
      </c>
      <c r="AK230" s="46" t="s">
        <v>463</v>
      </c>
      <c r="AL230" s="46" t="s">
        <v>2222</v>
      </c>
      <c r="AM230" s="193">
        <v>-39341.74</v>
      </c>
      <c r="AQ230" s="213" t="s">
        <v>463</v>
      </c>
      <c r="AR230" s="214" t="s">
        <v>2222</v>
      </c>
      <c r="AS230" s="215">
        <v>-1518.72</v>
      </c>
    </row>
    <row r="231" spans="1:45">
      <c r="A231" t="s">
        <v>493</v>
      </c>
      <c r="B231" t="s">
        <v>1218</v>
      </c>
      <c r="C231" s="260">
        <v>-92663.38</v>
      </c>
      <c r="D231" s="260">
        <v>-73353.89</v>
      </c>
      <c r="E231" s="260">
        <v>-70859.221733000057</v>
      </c>
      <c r="F231" s="335">
        <v>-17344.319573000015</v>
      </c>
      <c r="G231" s="83">
        <f t="shared" si="12"/>
        <v>-254220.81130600011</v>
      </c>
      <c r="K231"/>
      <c r="L231"/>
      <c r="M231"/>
      <c r="N231"/>
      <c r="O231"/>
      <c r="P231"/>
      <c r="AG231" s="79" t="s">
        <v>421</v>
      </c>
      <c r="AH231" s="78" t="s">
        <v>2710</v>
      </c>
      <c r="AI231" s="46">
        <f t="shared" si="11"/>
        <v>0</v>
      </c>
      <c r="AK231" s="46" t="s">
        <v>421</v>
      </c>
      <c r="AL231" s="46" t="s">
        <v>2710</v>
      </c>
      <c r="AM231" s="193">
        <v>-70214.52</v>
      </c>
      <c r="AQ231" s="73" t="s">
        <v>421</v>
      </c>
      <c r="AR231" s="135" t="s">
        <v>2710</v>
      </c>
      <c r="AS231" s="212">
        <v>-59773.33</v>
      </c>
    </row>
    <row r="232" spans="1:45">
      <c r="A232" t="s">
        <v>495</v>
      </c>
      <c r="B232" t="s">
        <v>2598</v>
      </c>
      <c r="C232" s="260">
        <v>-1067630.9200000064</v>
      </c>
      <c r="D232" s="260">
        <v>-882496.45</v>
      </c>
      <c r="E232" s="260">
        <v>-1046897.085175865</v>
      </c>
      <c r="F232" s="335">
        <v>-411272.12316168193</v>
      </c>
      <c r="G232" s="83">
        <f t="shared" si="12"/>
        <v>-3408296.5783375534</v>
      </c>
      <c r="K232"/>
      <c r="L232"/>
      <c r="M232"/>
      <c r="N232"/>
      <c r="O232"/>
      <c r="P232"/>
      <c r="AG232" s="79" t="s">
        <v>103</v>
      </c>
      <c r="AH232" s="78" t="s">
        <v>2514</v>
      </c>
      <c r="AI232" s="46">
        <f t="shared" si="11"/>
        <v>0</v>
      </c>
      <c r="AK232" s="46" t="s">
        <v>103</v>
      </c>
      <c r="AL232" s="46" t="s">
        <v>2514</v>
      </c>
      <c r="AM232" s="193">
        <v>-72329.070000000007</v>
      </c>
      <c r="AQ232" s="73" t="s">
        <v>103</v>
      </c>
      <c r="AR232" s="135" t="s">
        <v>2514</v>
      </c>
      <c r="AS232" s="212">
        <v>-4469.66</v>
      </c>
    </row>
    <row r="233" spans="1:45">
      <c r="A233" t="s">
        <v>497</v>
      </c>
      <c r="B233" t="s">
        <v>2541</v>
      </c>
      <c r="C233" s="260">
        <v>-202433.52</v>
      </c>
      <c r="D233" s="260">
        <v>-159167.43</v>
      </c>
      <c r="E233" s="260">
        <v>-132692.11338099994</v>
      </c>
      <c r="F233" s="335">
        <v>-64022.365625000035</v>
      </c>
      <c r="G233" s="83">
        <f t="shared" si="12"/>
        <v>-558315.42900599993</v>
      </c>
      <c r="K233"/>
      <c r="L233"/>
      <c r="M233"/>
      <c r="N233"/>
      <c r="O233"/>
      <c r="P233"/>
      <c r="AG233" s="79" t="s">
        <v>651</v>
      </c>
      <c r="AH233" s="78" t="s">
        <v>2729</v>
      </c>
      <c r="AI233" s="46">
        <f t="shared" si="11"/>
        <v>0</v>
      </c>
      <c r="AK233" s="46" t="s">
        <v>651</v>
      </c>
      <c r="AL233" s="46" t="s">
        <v>2729</v>
      </c>
      <c r="AM233" s="193">
        <v>-157126.20000000001</v>
      </c>
      <c r="AQ233" s="73" t="s">
        <v>651</v>
      </c>
      <c r="AR233" s="135" t="s">
        <v>2729</v>
      </c>
      <c r="AS233" s="212">
        <v>-162016.4</v>
      </c>
    </row>
    <row r="234" spans="1:45">
      <c r="A234" t="s">
        <v>499</v>
      </c>
      <c r="B234" t="s">
        <v>2476</v>
      </c>
      <c r="C234" s="260">
        <v>-791246.78</v>
      </c>
      <c r="D234" s="260">
        <v>-366861.36</v>
      </c>
      <c r="E234" s="260">
        <v>578923.80415524612</v>
      </c>
      <c r="F234" s="335">
        <v>1078769.1173346918</v>
      </c>
      <c r="G234" s="83">
        <f t="shared" si="12"/>
        <v>499584.7814899378</v>
      </c>
      <c r="K234"/>
      <c r="L234"/>
      <c r="M234"/>
      <c r="N234"/>
      <c r="O234"/>
      <c r="P234"/>
      <c r="AG234" s="79" t="s">
        <v>625</v>
      </c>
      <c r="AH234" s="78" t="s">
        <v>2730</v>
      </c>
      <c r="AI234" s="46">
        <f t="shared" si="11"/>
        <v>0</v>
      </c>
      <c r="AK234" s="46" t="s">
        <v>625</v>
      </c>
      <c r="AL234" s="46" t="s">
        <v>2730</v>
      </c>
      <c r="AM234" s="193">
        <v>-64905.78</v>
      </c>
      <c r="AQ234" s="73" t="s">
        <v>625</v>
      </c>
      <c r="AR234" s="135" t="s">
        <v>2730</v>
      </c>
      <c r="AS234" s="212">
        <v>-59766.33</v>
      </c>
    </row>
    <row r="235" spans="1:45">
      <c r="A235" t="s">
        <v>501</v>
      </c>
      <c r="B235" t="s">
        <v>2511</v>
      </c>
      <c r="C235" s="260">
        <v>-51714.83</v>
      </c>
      <c r="D235" s="260">
        <v>-24225.64</v>
      </c>
      <c r="E235" s="260">
        <v>-54025.385362000263</v>
      </c>
      <c r="F235" s="335">
        <v>57272.880358000053</v>
      </c>
      <c r="G235" s="83">
        <f t="shared" si="12"/>
        <v>-72692.975004000211</v>
      </c>
      <c r="K235"/>
      <c r="L235"/>
      <c r="M235"/>
      <c r="N235"/>
      <c r="O235"/>
      <c r="P235"/>
      <c r="AG235" s="79" t="s">
        <v>125</v>
      </c>
      <c r="AH235" s="78" t="s">
        <v>2531</v>
      </c>
      <c r="AI235" s="46">
        <f t="shared" si="11"/>
        <v>0</v>
      </c>
      <c r="AK235" s="46" t="s">
        <v>125</v>
      </c>
      <c r="AL235" s="46" t="s">
        <v>2531</v>
      </c>
      <c r="AM235" s="193">
        <v>-220506.52</v>
      </c>
      <c r="AQ235" s="73" t="s">
        <v>125</v>
      </c>
      <c r="AR235" s="135" t="s">
        <v>2531</v>
      </c>
      <c r="AS235" s="212">
        <v>-202805.8</v>
      </c>
    </row>
    <row r="236" spans="1:45">
      <c r="A236" t="s">
        <v>503</v>
      </c>
      <c r="B236" t="s">
        <v>2457</v>
      </c>
      <c r="C236" s="260">
        <v>-101914.82</v>
      </c>
      <c r="D236" s="260">
        <v>-98553.17</v>
      </c>
      <c r="E236" s="260">
        <v>-34050.782236999999</v>
      </c>
      <c r="F236" s="335">
        <v>-94322.305059999984</v>
      </c>
      <c r="G236" s="83">
        <f t="shared" si="12"/>
        <v>-328841.07729699998</v>
      </c>
      <c r="K236"/>
      <c r="L236"/>
      <c r="M236"/>
      <c r="N236"/>
      <c r="O236"/>
      <c r="P236"/>
      <c r="AG236" s="79" t="s">
        <v>311</v>
      </c>
      <c r="AH236" s="78" t="s">
        <v>2650</v>
      </c>
      <c r="AI236" s="46">
        <f t="shared" si="11"/>
        <v>0</v>
      </c>
      <c r="AK236" s="46" t="s">
        <v>311</v>
      </c>
      <c r="AL236" s="46" t="s">
        <v>2650</v>
      </c>
      <c r="AM236" s="193">
        <v>-99125.35</v>
      </c>
      <c r="AQ236" s="73" t="s">
        <v>311</v>
      </c>
      <c r="AR236" s="135" t="s">
        <v>2650</v>
      </c>
      <c r="AS236" s="212">
        <v>-130716.75</v>
      </c>
    </row>
    <row r="237" spans="1:45">
      <c r="A237" t="s">
        <v>505</v>
      </c>
      <c r="B237" t="s">
        <v>2727</v>
      </c>
      <c r="C237" s="260">
        <v>-154892.89000000001</v>
      </c>
      <c r="D237" s="260">
        <v>-153406.84</v>
      </c>
      <c r="E237" s="260">
        <v>-99214.160899999988</v>
      </c>
      <c r="F237" s="335">
        <v>63626.941201000009</v>
      </c>
      <c r="G237" s="83">
        <f t="shared" si="12"/>
        <v>-343886.94969899999</v>
      </c>
      <c r="K237"/>
      <c r="L237"/>
      <c r="M237"/>
      <c r="N237"/>
      <c r="O237"/>
      <c r="P237"/>
      <c r="AG237" s="79" t="s">
        <v>579</v>
      </c>
      <c r="AH237" s="78" t="s">
        <v>2731</v>
      </c>
      <c r="AI237" s="46">
        <f t="shared" si="11"/>
        <v>0</v>
      </c>
      <c r="AK237" s="46" t="s">
        <v>579</v>
      </c>
      <c r="AL237" s="46" t="s">
        <v>2731</v>
      </c>
      <c r="AM237" s="193">
        <v>-37806.959999999999</v>
      </c>
      <c r="AQ237" s="73" t="s">
        <v>579</v>
      </c>
      <c r="AR237" s="135" t="s">
        <v>2731</v>
      </c>
      <c r="AS237" s="212">
        <v>-26038.65</v>
      </c>
    </row>
    <row r="238" spans="1:45">
      <c r="A238" t="s">
        <v>507</v>
      </c>
      <c r="B238" t="s">
        <v>2605</v>
      </c>
      <c r="C238" s="260">
        <v>-133366.69</v>
      </c>
      <c r="D238" s="260">
        <v>-364433.07</v>
      </c>
      <c r="E238" s="260">
        <v>-574907.32105999999</v>
      </c>
      <c r="F238" s="335">
        <v>-78968.891994999722</v>
      </c>
      <c r="G238" s="83">
        <f t="shared" si="12"/>
        <v>-1151675.9730549997</v>
      </c>
      <c r="K238"/>
      <c r="L238"/>
      <c r="M238"/>
      <c r="N238"/>
      <c r="O238"/>
      <c r="P238"/>
      <c r="AG238" s="79" t="s">
        <v>209</v>
      </c>
      <c r="AH238" s="78" t="s">
        <v>2507</v>
      </c>
      <c r="AI238" s="46">
        <f t="shared" si="11"/>
        <v>0</v>
      </c>
      <c r="AK238" s="46" t="s">
        <v>209</v>
      </c>
      <c r="AL238" s="46" t="s">
        <v>2507</v>
      </c>
      <c r="AM238" s="193">
        <v>-29030.95</v>
      </c>
      <c r="AQ238" s="73" t="s">
        <v>209</v>
      </c>
      <c r="AR238" s="135" t="s">
        <v>2507</v>
      </c>
      <c r="AS238" s="212">
        <v>-38494.370000000003</v>
      </c>
    </row>
    <row r="239" spans="1:45">
      <c r="A239" t="s">
        <v>509</v>
      </c>
      <c r="B239" t="s">
        <v>2732</v>
      </c>
      <c r="C239" s="260">
        <v>-100051.23</v>
      </c>
      <c r="D239" s="260">
        <v>-40474.97</v>
      </c>
      <c r="E239" s="260">
        <v>98560.942594000007</v>
      </c>
      <c r="F239" s="335">
        <v>305851.05022399977</v>
      </c>
      <c r="G239" s="83">
        <f t="shared" si="12"/>
        <v>263885.79281799978</v>
      </c>
      <c r="K239"/>
      <c r="L239"/>
      <c r="M239"/>
      <c r="N239"/>
      <c r="O239"/>
      <c r="P239"/>
      <c r="AG239" s="79" t="s">
        <v>121</v>
      </c>
      <c r="AH239" s="78" t="s">
        <v>2733</v>
      </c>
      <c r="AI239" s="46">
        <f t="shared" si="11"/>
        <v>0</v>
      </c>
      <c r="AK239" s="46" t="s">
        <v>121</v>
      </c>
      <c r="AL239" s="46" t="s">
        <v>2733</v>
      </c>
      <c r="AM239" s="193">
        <v>-77022.33</v>
      </c>
      <c r="AQ239" s="73" t="s">
        <v>121</v>
      </c>
      <c r="AR239" s="135" t="s">
        <v>2733</v>
      </c>
      <c r="AS239" s="212">
        <v>-104954.41</v>
      </c>
    </row>
    <row r="240" spans="1:45">
      <c r="A240" s="359" t="s">
        <v>511</v>
      </c>
      <c r="B240" s="360" t="s">
        <v>512</v>
      </c>
      <c r="C240" s="260"/>
      <c r="D240" s="260"/>
      <c r="E240" s="260"/>
      <c r="F240" s="335"/>
      <c r="G240" s="83"/>
      <c r="K240"/>
      <c r="L240"/>
      <c r="M240"/>
      <c r="N240"/>
      <c r="O240"/>
      <c r="P240"/>
      <c r="AG240" s="79" t="s">
        <v>331</v>
      </c>
      <c r="AH240" s="78" t="s">
        <v>2660</v>
      </c>
      <c r="AI240" s="46">
        <f t="shared" si="11"/>
        <v>0</v>
      </c>
      <c r="AK240" s="46" t="s">
        <v>331</v>
      </c>
      <c r="AL240" s="46" t="s">
        <v>2660</v>
      </c>
      <c r="AM240" s="193">
        <v>-59859.29</v>
      </c>
      <c r="AQ240" s="73" t="s">
        <v>331</v>
      </c>
      <c r="AR240" s="135" t="s">
        <v>2660</v>
      </c>
      <c r="AS240" s="212">
        <v>-123341.56</v>
      </c>
    </row>
    <row r="241" spans="1:45">
      <c r="A241" t="s">
        <v>513</v>
      </c>
      <c r="B241" t="s">
        <v>2734</v>
      </c>
      <c r="C241" s="260">
        <v>-30669.26</v>
      </c>
      <c r="D241" s="260">
        <v>-31040.47</v>
      </c>
      <c r="E241" s="260">
        <v>-19951.080036000047</v>
      </c>
      <c r="F241" s="335">
        <v>-19978.076143999991</v>
      </c>
      <c r="G241" s="83">
        <f t="shared" ref="G241:G249" si="13">SUM(C241:F241)</f>
        <v>-101638.88618000003</v>
      </c>
      <c r="K241"/>
      <c r="L241"/>
      <c r="M241"/>
      <c r="N241"/>
      <c r="O241"/>
      <c r="P241"/>
      <c r="AG241" s="79" t="s">
        <v>397</v>
      </c>
      <c r="AH241" s="78" t="s">
        <v>2698</v>
      </c>
      <c r="AI241" s="46">
        <f t="shared" si="11"/>
        <v>0</v>
      </c>
      <c r="AK241" s="46" t="s">
        <v>397</v>
      </c>
      <c r="AL241" s="46" t="s">
        <v>2698</v>
      </c>
      <c r="AM241" s="193">
        <v>-62664.49</v>
      </c>
      <c r="AQ241" s="73" t="s">
        <v>397</v>
      </c>
      <c r="AR241" s="135" t="s">
        <v>2698</v>
      </c>
      <c r="AS241" s="212">
        <v>-3823.08</v>
      </c>
    </row>
    <row r="242" spans="1:45">
      <c r="A242" t="s">
        <v>515</v>
      </c>
      <c r="B242" t="s">
        <v>2557</v>
      </c>
      <c r="C242" s="260">
        <v>-130071.37</v>
      </c>
      <c r="D242" s="260">
        <v>-5501.46</v>
      </c>
      <c r="E242" s="260">
        <v>-192748.99807764377</v>
      </c>
      <c r="F242" s="335">
        <v>143220.06913600024</v>
      </c>
      <c r="G242" s="83">
        <f t="shared" si="13"/>
        <v>-185101.75894164352</v>
      </c>
      <c r="K242"/>
      <c r="L242"/>
      <c r="M242"/>
      <c r="N242"/>
      <c r="O242"/>
      <c r="P242"/>
      <c r="AG242" s="79" t="s">
        <v>281</v>
      </c>
      <c r="AH242" s="78" t="s">
        <v>2634</v>
      </c>
      <c r="AI242" s="46">
        <f t="shared" si="11"/>
        <v>0</v>
      </c>
      <c r="AK242" s="46" t="s">
        <v>281</v>
      </c>
      <c r="AL242" s="46" t="s">
        <v>2634</v>
      </c>
      <c r="AM242" s="193">
        <v>-27992.16</v>
      </c>
      <c r="AQ242" s="73" t="s">
        <v>281</v>
      </c>
      <c r="AR242" s="135" t="s">
        <v>2634</v>
      </c>
      <c r="AS242" s="212">
        <v>-22632.880000000001</v>
      </c>
    </row>
    <row r="243" spans="1:45">
      <c r="A243" t="s">
        <v>517</v>
      </c>
      <c r="B243" t="s">
        <v>2735</v>
      </c>
      <c r="C243" s="260">
        <v>-203289.85</v>
      </c>
      <c r="D243" s="260">
        <v>-130355.56</v>
      </c>
      <c r="E243" s="260">
        <v>-149452.19531399992</v>
      </c>
      <c r="F243" s="335">
        <v>-99080.271149999928</v>
      </c>
      <c r="G243" s="83">
        <f t="shared" si="13"/>
        <v>-582177.87646399986</v>
      </c>
      <c r="K243"/>
      <c r="L243"/>
      <c r="M243"/>
      <c r="N243"/>
      <c r="O243"/>
      <c r="P243"/>
      <c r="AG243" s="79" t="s">
        <v>687</v>
      </c>
      <c r="AH243" s="78" t="s">
        <v>2736</v>
      </c>
      <c r="AI243" s="46">
        <f t="shared" si="11"/>
        <v>0</v>
      </c>
      <c r="AK243" s="46" t="s">
        <v>687</v>
      </c>
      <c r="AL243" s="46" t="s">
        <v>2736</v>
      </c>
      <c r="AM243" s="193">
        <v>-333871.56</v>
      </c>
      <c r="AQ243" s="73" t="s">
        <v>687</v>
      </c>
      <c r="AR243" s="135" t="s">
        <v>2736</v>
      </c>
      <c r="AS243" s="212">
        <v>-247312.31</v>
      </c>
    </row>
    <row r="244" spans="1:45">
      <c r="A244" t="s">
        <v>519</v>
      </c>
      <c r="B244" t="s">
        <v>2578</v>
      </c>
      <c r="C244" s="260">
        <v>-17771.28</v>
      </c>
      <c r="D244" s="260">
        <v>-23801.22</v>
      </c>
      <c r="E244" s="260">
        <v>-21458.096560000002</v>
      </c>
      <c r="F244" s="335">
        <v>-30701.7804</v>
      </c>
      <c r="G244" s="83">
        <f t="shared" si="13"/>
        <v>-93732.376960000009</v>
      </c>
      <c r="K244"/>
      <c r="L244"/>
      <c r="M244"/>
      <c r="N244"/>
      <c r="O244"/>
      <c r="P244"/>
      <c r="AG244" s="79" t="s">
        <v>395</v>
      </c>
      <c r="AH244" s="78" t="s">
        <v>2697</v>
      </c>
      <c r="AI244" s="46">
        <f t="shared" si="11"/>
        <v>0</v>
      </c>
      <c r="AK244" s="46" t="s">
        <v>395</v>
      </c>
      <c r="AL244" s="46" t="s">
        <v>2697</v>
      </c>
      <c r="AM244" s="193">
        <v>-948252.77</v>
      </c>
      <c r="AQ244" s="73" t="s">
        <v>395</v>
      </c>
      <c r="AR244" s="135" t="s">
        <v>2697</v>
      </c>
      <c r="AS244" s="212">
        <v>-1042563.98</v>
      </c>
    </row>
    <row r="245" spans="1:45">
      <c r="A245" t="s">
        <v>521</v>
      </c>
      <c r="B245" t="s">
        <v>2589</v>
      </c>
      <c r="C245" s="260">
        <v>-2837268.81</v>
      </c>
      <c r="D245" s="260">
        <v>-4079306.84</v>
      </c>
      <c r="E245" s="260">
        <v>703302.66066594142</v>
      </c>
      <c r="F245" s="335">
        <v>284128.3382306695</v>
      </c>
      <c r="G245" s="83">
        <f t="shared" si="13"/>
        <v>-5929144.6511033894</v>
      </c>
      <c r="K245"/>
      <c r="L245"/>
      <c r="M245"/>
      <c r="N245"/>
      <c r="O245"/>
      <c r="P245"/>
      <c r="AG245" s="79" t="s">
        <v>619</v>
      </c>
      <c r="AH245" s="78" t="s">
        <v>2737</v>
      </c>
      <c r="AI245" s="46">
        <f t="shared" si="11"/>
        <v>0</v>
      </c>
      <c r="AK245" s="46" t="s">
        <v>619</v>
      </c>
      <c r="AL245" s="46" t="s">
        <v>2737</v>
      </c>
      <c r="AM245" s="193">
        <v>-436194.46</v>
      </c>
      <c r="AQ245" s="73" t="s">
        <v>619</v>
      </c>
      <c r="AR245" s="135" t="s">
        <v>2737</v>
      </c>
      <c r="AS245" s="212">
        <v>-501658.83</v>
      </c>
    </row>
    <row r="246" spans="1:45">
      <c r="A246" t="s">
        <v>523</v>
      </c>
      <c r="B246" t="s">
        <v>2711</v>
      </c>
      <c r="C246" s="260">
        <v>-176657.56</v>
      </c>
      <c r="D246" s="260">
        <v>-151529.82</v>
      </c>
      <c r="E246" s="260">
        <v>133825.9191186979</v>
      </c>
      <c r="F246" s="335">
        <v>235719.71235161275</v>
      </c>
      <c r="G246" s="83">
        <f t="shared" si="13"/>
        <v>41358.251470310643</v>
      </c>
      <c r="K246"/>
      <c r="L246"/>
      <c r="M246"/>
      <c r="N246"/>
      <c r="O246"/>
      <c r="P246"/>
      <c r="AG246" s="79" t="s">
        <v>415</v>
      </c>
      <c r="AH246" s="78" t="s">
        <v>2707</v>
      </c>
      <c r="AI246" s="46">
        <f t="shared" si="11"/>
        <v>0</v>
      </c>
      <c r="AK246" s="46" t="s">
        <v>415</v>
      </c>
      <c r="AL246" s="46" t="s">
        <v>2707</v>
      </c>
      <c r="AM246" s="193">
        <v>-817479.6</v>
      </c>
      <c r="AQ246" s="73" t="s">
        <v>415</v>
      </c>
      <c r="AR246" s="135" t="s">
        <v>2707</v>
      </c>
      <c r="AS246" s="212">
        <v>-885210.18</v>
      </c>
    </row>
    <row r="247" spans="1:45">
      <c r="A247" t="s">
        <v>525</v>
      </c>
      <c r="B247" t="s">
        <v>2738</v>
      </c>
      <c r="C247" s="260">
        <v>124381.44999999934</v>
      </c>
      <c r="D247" s="260">
        <v>205463.29</v>
      </c>
      <c r="E247" s="260">
        <v>148107.87123000028</v>
      </c>
      <c r="F247" s="335">
        <v>65592.166261999635</v>
      </c>
      <c r="G247" s="83">
        <f t="shared" si="13"/>
        <v>543544.77749199932</v>
      </c>
      <c r="K247"/>
      <c r="L247"/>
      <c r="M247"/>
      <c r="N247"/>
      <c r="O247"/>
      <c r="P247"/>
      <c r="AG247" s="79" t="s">
        <v>485</v>
      </c>
      <c r="AH247" s="78" t="s">
        <v>2726</v>
      </c>
      <c r="AI247" s="46">
        <f t="shared" si="11"/>
        <v>0</v>
      </c>
      <c r="AK247" s="46" t="s">
        <v>485</v>
      </c>
      <c r="AL247" s="46" t="s">
        <v>2726</v>
      </c>
      <c r="AM247" s="193">
        <v>-107183.94</v>
      </c>
      <c r="AQ247" s="73" t="s">
        <v>485</v>
      </c>
      <c r="AR247" s="135" t="s">
        <v>2726</v>
      </c>
      <c r="AS247" s="212">
        <v>-151869.34</v>
      </c>
    </row>
    <row r="248" spans="1:45">
      <c r="A248" t="s">
        <v>527</v>
      </c>
      <c r="B248" t="s">
        <v>2687</v>
      </c>
      <c r="C248" s="260">
        <v>-101605.46</v>
      </c>
      <c r="D248" s="260">
        <v>-100718.52</v>
      </c>
      <c r="E248" s="260">
        <v>-98379.251505000051</v>
      </c>
      <c r="F248" s="335">
        <v>-92117.626439999993</v>
      </c>
      <c r="G248" s="83">
        <f t="shared" si="13"/>
        <v>-392820.85794500005</v>
      </c>
      <c r="K248"/>
      <c r="L248"/>
      <c r="M248"/>
      <c r="N248"/>
      <c r="O248"/>
      <c r="P248"/>
      <c r="AG248" s="79" t="s">
        <v>243</v>
      </c>
      <c r="AH248" s="78" t="s">
        <v>2615</v>
      </c>
      <c r="AI248" s="46">
        <f t="shared" si="11"/>
        <v>0</v>
      </c>
      <c r="AK248" s="46" t="s">
        <v>243</v>
      </c>
      <c r="AL248" s="46" t="s">
        <v>2615</v>
      </c>
      <c r="AM248" s="193">
        <v>-20949.53</v>
      </c>
      <c r="AQ248" s="73" t="s">
        <v>243</v>
      </c>
      <c r="AR248" s="135" t="s">
        <v>2615</v>
      </c>
      <c r="AS248" s="212">
        <v>-1432.68</v>
      </c>
    </row>
    <row r="249" spans="1:45">
      <c r="A249" t="s">
        <v>529</v>
      </c>
      <c r="B249" t="s">
        <v>2494</v>
      </c>
      <c r="C249" s="260">
        <v>-151909.89000000001</v>
      </c>
      <c r="D249" s="260">
        <v>-15736.5</v>
      </c>
      <c r="E249" s="260">
        <v>182898.89110499999</v>
      </c>
      <c r="F249" s="335">
        <v>142670.24432800012</v>
      </c>
      <c r="G249" s="83">
        <f t="shared" si="13"/>
        <v>157922.74543300009</v>
      </c>
      <c r="K249"/>
      <c r="L249"/>
      <c r="M249"/>
      <c r="N249"/>
      <c r="O249"/>
      <c r="P249"/>
      <c r="AG249" s="79" t="s">
        <v>509</v>
      </c>
      <c r="AH249" s="78" t="s">
        <v>2732</v>
      </c>
      <c r="AI249" s="46">
        <f t="shared" si="11"/>
        <v>0</v>
      </c>
      <c r="AK249" s="46" t="s">
        <v>509</v>
      </c>
      <c r="AL249" s="46" t="s">
        <v>2732</v>
      </c>
      <c r="AM249" s="193">
        <v>-100051.23</v>
      </c>
      <c r="AQ249" s="73" t="s">
        <v>509</v>
      </c>
      <c r="AR249" s="135" t="s">
        <v>2732</v>
      </c>
      <c r="AS249" s="212">
        <v>-40474.97</v>
      </c>
    </row>
    <row r="250" spans="1:45">
      <c r="A250" s="359" t="s">
        <v>531</v>
      </c>
      <c r="B250" s="360" t="s">
        <v>532</v>
      </c>
      <c r="C250" s="260"/>
      <c r="D250" s="260"/>
      <c r="E250" s="260"/>
      <c r="F250" s="335"/>
      <c r="G250" s="83"/>
      <c r="K250"/>
      <c r="L250"/>
      <c r="M250"/>
      <c r="N250"/>
      <c r="O250"/>
      <c r="P250"/>
      <c r="AG250" s="79" t="s">
        <v>601</v>
      </c>
      <c r="AH250" s="78" t="s">
        <v>2739</v>
      </c>
      <c r="AI250" s="46">
        <f t="shared" si="11"/>
        <v>0</v>
      </c>
      <c r="AK250" s="46" t="s">
        <v>601</v>
      </c>
      <c r="AL250" s="46" t="s">
        <v>2739</v>
      </c>
      <c r="AM250" s="193">
        <v>-210611.73</v>
      </c>
      <c r="AQ250" s="73" t="s">
        <v>601</v>
      </c>
      <c r="AR250" s="135" t="s">
        <v>2739</v>
      </c>
      <c r="AS250" s="212">
        <v>-214863.12</v>
      </c>
    </row>
    <row r="251" spans="1:45">
      <c r="A251" t="s">
        <v>533</v>
      </c>
      <c r="B251" t="s">
        <v>2661</v>
      </c>
      <c r="C251" s="260">
        <v>823248.78000000166</v>
      </c>
      <c r="D251" s="260">
        <v>-307399.08</v>
      </c>
      <c r="E251" s="260">
        <v>-119169.26690182563</v>
      </c>
      <c r="F251" s="335">
        <v>688758.06454539881</v>
      </c>
      <c r="G251" s="83">
        <f t="shared" ref="G251:G266" si="14">SUM(C251:F251)</f>
        <v>1085438.4976435748</v>
      </c>
      <c r="K251"/>
      <c r="L251"/>
      <c r="M251"/>
      <c r="N251"/>
      <c r="O251"/>
      <c r="P251"/>
      <c r="AG251" s="79" t="s">
        <v>633</v>
      </c>
      <c r="AH251" s="78" t="s">
        <v>2740</v>
      </c>
      <c r="AI251" s="46">
        <f t="shared" si="11"/>
        <v>0</v>
      </c>
      <c r="AK251" s="46" t="s">
        <v>633</v>
      </c>
      <c r="AL251" s="46" t="s">
        <v>2740</v>
      </c>
      <c r="AM251" s="193">
        <v>-96131.520000000004</v>
      </c>
      <c r="AQ251" s="73" t="s">
        <v>633</v>
      </c>
      <c r="AR251" s="135" t="s">
        <v>2740</v>
      </c>
      <c r="AS251" s="212">
        <v>-119412.62</v>
      </c>
    </row>
    <row r="252" spans="1:45">
      <c r="A252" t="s">
        <v>535</v>
      </c>
      <c r="B252" t="s">
        <v>2613</v>
      </c>
      <c r="C252" s="260">
        <v>-388170.26</v>
      </c>
      <c r="D252" s="260">
        <v>-647491.83999999997</v>
      </c>
      <c r="E252" s="260">
        <v>465234.7491716668</v>
      </c>
      <c r="F252" s="335">
        <v>273920.58455105126</v>
      </c>
      <c r="G252" s="83">
        <f t="shared" si="14"/>
        <v>-296506.76627728192</v>
      </c>
      <c r="K252"/>
      <c r="L252"/>
      <c r="M252"/>
      <c r="N252"/>
      <c r="O252"/>
      <c r="P252"/>
      <c r="AG252" s="79" t="s">
        <v>157</v>
      </c>
      <c r="AH252" s="78" t="s">
        <v>2558</v>
      </c>
      <c r="AI252" s="46">
        <f t="shared" si="11"/>
        <v>0</v>
      </c>
      <c r="AK252" s="46" t="s">
        <v>157</v>
      </c>
      <c r="AL252" s="46" t="s">
        <v>2558</v>
      </c>
      <c r="AM252" s="193">
        <v>-46693.15</v>
      </c>
      <c r="AQ252" s="73" t="s">
        <v>157</v>
      </c>
      <c r="AR252" s="135" t="s">
        <v>2558</v>
      </c>
      <c r="AS252" s="212">
        <v>-56142.83</v>
      </c>
    </row>
    <row r="253" spans="1:45">
      <c r="A253" t="s">
        <v>537</v>
      </c>
      <c r="B253" t="s">
        <v>2713</v>
      </c>
      <c r="C253" s="260">
        <v>-25995.29</v>
      </c>
      <c r="D253" s="260">
        <v>-61298.96</v>
      </c>
      <c r="E253" s="260">
        <v>-55487.455696000005</v>
      </c>
      <c r="F253" s="335">
        <v>-51014.796050000012</v>
      </c>
      <c r="G253" s="83">
        <f t="shared" si="14"/>
        <v>-193796.50174600002</v>
      </c>
      <c r="K253"/>
      <c r="L253"/>
      <c r="M253"/>
      <c r="N253"/>
      <c r="O253"/>
      <c r="P253"/>
      <c r="AG253" s="79" t="s">
        <v>639</v>
      </c>
      <c r="AH253" s="78" t="s">
        <v>2741</v>
      </c>
      <c r="AI253" s="46">
        <f t="shared" si="11"/>
        <v>0</v>
      </c>
      <c r="AK253" s="46" t="s">
        <v>639</v>
      </c>
      <c r="AL253" s="46" t="s">
        <v>2741</v>
      </c>
      <c r="AM253" s="193">
        <v>-677793.68</v>
      </c>
      <c r="AQ253" s="73" t="s">
        <v>639</v>
      </c>
      <c r="AR253" s="135" t="s">
        <v>2741</v>
      </c>
      <c r="AS253" s="212">
        <v>-772804.34</v>
      </c>
    </row>
    <row r="254" spans="1:45">
      <c r="A254" t="s">
        <v>539</v>
      </c>
      <c r="B254" t="s">
        <v>2600</v>
      </c>
      <c r="C254" s="260">
        <v>-99373.47</v>
      </c>
      <c r="D254" s="260">
        <v>-73954.37</v>
      </c>
      <c r="E254" s="260">
        <v>-52354.519844000002</v>
      </c>
      <c r="F254" s="335">
        <v>-72404.951320000007</v>
      </c>
      <c r="G254" s="83">
        <f t="shared" si="14"/>
        <v>-298087.31116400001</v>
      </c>
      <c r="K254"/>
      <c r="L254"/>
      <c r="M254"/>
      <c r="N254"/>
      <c r="O254"/>
      <c r="P254"/>
      <c r="AG254" s="79" t="s">
        <v>117</v>
      </c>
      <c r="AH254" s="78" t="s">
        <v>2524</v>
      </c>
      <c r="AI254" s="46">
        <f t="shared" si="11"/>
        <v>0</v>
      </c>
      <c r="AK254" s="46" t="s">
        <v>117</v>
      </c>
      <c r="AL254" s="46" t="s">
        <v>2524</v>
      </c>
      <c r="AM254" s="193">
        <v>-113057.34</v>
      </c>
      <c r="AQ254" s="73" t="s">
        <v>117</v>
      </c>
      <c r="AR254" s="135" t="s">
        <v>2524</v>
      </c>
      <c r="AS254" s="212">
        <v>-183460.52</v>
      </c>
    </row>
    <row r="255" spans="1:45">
      <c r="A255" t="s">
        <v>541</v>
      </c>
      <c r="B255" t="s">
        <v>2716</v>
      </c>
      <c r="C255" s="260">
        <v>-135902.94</v>
      </c>
      <c r="D255" s="260">
        <v>-35661.879999999997</v>
      </c>
      <c r="E255" s="260">
        <v>15723.009424999764</v>
      </c>
      <c r="F255" s="335">
        <v>515945.67760000052</v>
      </c>
      <c r="G255" s="83">
        <f t="shared" si="14"/>
        <v>360103.86702500028</v>
      </c>
      <c r="K255"/>
      <c r="L255"/>
      <c r="M255"/>
      <c r="N255"/>
      <c r="O255"/>
      <c r="P255"/>
      <c r="AG255" s="79" t="s">
        <v>611</v>
      </c>
      <c r="AH255" s="78" t="s">
        <v>2742</v>
      </c>
      <c r="AI255" s="46">
        <f t="shared" si="11"/>
        <v>0</v>
      </c>
      <c r="AK255" s="46" t="s">
        <v>611</v>
      </c>
      <c r="AL255" s="46" t="s">
        <v>2742</v>
      </c>
      <c r="AM255" s="193">
        <v>-136460.13</v>
      </c>
      <c r="AQ255" s="73" t="s">
        <v>611</v>
      </c>
      <c r="AR255" s="135" t="s">
        <v>2742</v>
      </c>
      <c r="AS255" s="212">
        <v>-166183.04999999999</v>
      </c>
    </row>
    <row r="256" spans="1:45">
      <c r="A256" t="s">
        <v>543</v>
      </c>
      <c r="B256" t="s">
        <v>2609</v>
      </c>
      <c r="C256" s="260">
        <v>-788419.02</v>
      </c>
      <c r="D256" s="260">
        <v>-834016.95</v>
      </c>
      <c r="E256" s="260">
        <v>-1052956.6755058398</v>
      </c>
      <c r="F256" s="335">
        <v>-529843.71187395277</v>
      </c>
      <c r="G256" s="83">
        <f t="shared" si="14"/>
        <v>-3205236.3573797927</v>
      </c>
      <c r="K256"/>
      <c r="L256"/>
      <c r="M256"/>
      <c r="N256"/>
      <c r="O256"/>
      <c r="P256"/>
      <c r="AG256" s="79" t="s">
        <v>123</v>
      </c>
      <c r="AH256" s="78" t="s">
        <v>2733</v>
      </c>
      <c r="AI256" s="46">
        <f t="shared" si="11"/>
        <v>0</v>
      </c>
      <c r="AK256" s="46" t="s">
        <v>123</v>
      </c>
      <c r="AL256" s="46" t="s">
        <v>2733</v>
      </c>
      <c r="AM256" s="193">
        <v>-126911.63</v>
      </c>
      <c r="AQ256" s="73" t="s">
        <v>123</v>
      </c>
      <c r="AR256" s="135" t="s">
        <v>2733</v>
      </c>
      <c r="AS256" s="212">
        <v>-152854.24</v>
      </c>
    </row>
    <row r="257" spans="1:45">
      <c r="A257" t="s">
        <v>545</v>
      </c>
      <c r="B257" t="s">
        <v>2555</v>
      </c>
      <c r="C257" s="260">
        <v>-168878.65</v>
      </c>
      <c r="D257" s="260">
        <v>-18779.59</v>
      </c>
      <c r="E257" s="260">
        <v>-75808.295680000025</v>
      </c>
      <c r="F257" s="335">
        <v>-64050.303435999958</v>
      </c>
      <c r="G257" s="83">
        <f t="shared" si="14"/>
        <v>-327516.83911599999</v>
      </c>
      <c r="K257"/>
      <c r="L257"/>
      <c r="M257"/>
      <c r="N257"/>
      <c r="O257"/>
      <c r="P257"/>
      <c r="AG257" s="79" t="s">
        <v>637</v>
      </c>
      <c r="AH257" s="78" t="s">
        <v>2743</v>
      </c>
      <c r="AI257" s="46">
        <f t="shared" si="11"/>
        <v>0</v>
      </c>
      <c r="AK257" s="46" t="s">
        <v>637</v>
      </c>
      <c r="AL257" s="46" t="s">
        <v>2743</v>
      </c>
      <c r="AM257" s="193">
        <v>-124254.59</v>
      </c>
      <c r="AQ257" s="73" t="s">
        <v>637</v>
      </c>
      <c r="AR257" s="135" t="s">
        <v>2743</v>
      </c>
      <c r="AS257" s="212">
        <v>-126391.74</v>
      </c>
    </row>
    <row r="258" spans="1:45">
      <c r="A258" t="s">
        <v>547</v>
      </c>
      <c r="B258" t="s">
        <v>2681</v>
      </c>
      <c r="C258" s="260">
        <v>-47492.41</v>
      </c>
      <c r="D258" s="260">
        <v>-34103.72</v>
      </c>
      <c r="E258" s="260">
        <v>709.77103999997416</v>
      </c>
      <c r="F258" s="335">
        <v>-28824.448685000069</v>
      </c>
      <c r="G258" s="83">
        <f t="shared" si="14"/>
        <v>-109710.8076450001</v>
      </c>
      <c r="K258"/>
      <c r="L258"/>
      <c r="M258"/>
      <c r="N258"/>
      <c r="O258"/>
      <c r="P258"/>
      <c r="AG258" s="79" t="s">
        <v>461</v>
      </c>
      <c r="AH258" s="78" t="s">
        <v>2718</v>
      </c>
      <c r="AI258" s="46">
        <f t="shared" ref="AI258:AI292" si="15">+AK258-AG258</f>
        <v>0</v>
      </c>
      <c r="AK258" s="46" t="s">
        <v>461</v>
      </c>
      <c r="AL258" s="46" t="s">
        <v>2718</v>
      </c>
      <c r="AM258" s="193">
        <v>-68982.36</v>
      </c>
      <c r="AQ258" s="73" t="s">
        <v>461</v>
      </c>
      <c r="AR258" s="135" t="s">
        <v>2718</v>
      </c>
      <c r="AS258" s="212">
        <v>-127276.21</v>
      </c>
    </row>
    <row r="259" spans="1:45">
      <c r="A259" t="s">
        <v>549</v>
      </c>
      <c r="B259" t="s">
        <v>2627</v>
      </c>
      <c r="C259" s="260">
        <v>-120176.07</v>
      </c>
      <c r="D259" s="260">
        <v>624393.42000000004</v>
      </c>
      <c r="E259" s="260">
        <v>-173599.53973795092</v>
      </c>
      <c r="F259" s="335">
        <v>570732.52924617007</v>
      </c>
      <c r="G259" s="83">
        <f t="shared" si="14"/>
        <v>901350.33950821916</v>
      </c>
      <c r="K259"/>
      <c r="L259"/>
      <c r="M259"/>
      <c r="N259"/>
      <c r="O259"/>
      <c r="P259"/>
      <c r="AG259" s="79"/>
      <c r="AH259" s="78"/>
      <c r="AI259" s="46">
        <f t="shared" si="15"/>
        <v>36901</v>
      </c>
      <c r="AK259" t="s">
        <v>2744</v>
      </c>
      <c r="AL259" t="s">
        <v>2745</v>
      </c>
      <c r="AM259" s="193">
        <v>-82075.679999999993</v>
      </c>
      <c r="AQ259" s="220" t="s">
        <v>2744</v>
      </c>
      <c r="AR259" s="221" t="s">
        <v>2745</v>
      </c>
      <c r="AS259" s="212">
        <v>-100195.95</v>
      </c>
    </row>
    <row r="260" spans="1:45">
      <c r="A260" t="s">
        <v>551</v>
      </c>
      <c r="B260" t="s">
        <v>2583</v>
      </c>
      <c r="C260" s="260">
        <v>-234546.43</v>
      </c>
      <c r="D260" s="260">
        <v>-263115.71999999997</v>
      </c>
      <c r="E260" s="260">
        <v>-141821.17311999999</v>
      </c>
      <c r="F260" s="335">
        <v>-231546.51909199997</v>
      </c>
      <c r="G260" s="83">
        <f t="shared" si="14"/>
        <v>-871029.84221199993</v>
      </c>
      <c r="K260"/>
      <c r="L260"/>
      <c r="M260"/>
      <c r="N260"/>
      <c r="O260"/>
      <c r="P260"/>
      <c r="AG260" s="79" t="s">
        <v>55</v>
      </c>
      <c r="AH260" s="78" t="s">
        <v>2472</v>
      </c>
      <c r="AI260" s="46">
        <f t="shared" si="15"/>
        <v>0</v>
      </c>
      <c r="AK260" s="46" t="s">
        <v>55</v>
      </c>
      <c r="AL260" s="46" t="s">
        <v>2472</v>
      </c>
      <c r="AM260" s="193">
        <v>-760323.67</v>
      </c>
      <c r="AQ260" s="73" t="s">
        <v>55</v>
      </c>
      <c r="AR260" s="135" t="s">
        <v>2472</v>
      </c>
      <c r="AS260" s="212">
        <v>-845323.2</v>
      </c>
    </row>
    <row r="261" spans="1:45">
      <c r="A261" t="s">
        <v>553</v>
      </c>
      <c r="B261" t="s">
        <v>2658</v>
      </c>
      <c r="C261" s="260">
        <v>-9744.06</v>
      </c>
      <c r="D261" s="260">
        <v>-18842.57</v>
      </c>
      <c r="E261" s="260">
        <v>7272.2539500000148</v>
      </c>
      <c r="F261" s="335">
        <v>-9458.3793559999904</v>
      </c>
      <c r="G261" s="83">
        <f t="shared" si="14"/>
        <v>-30772.755405999975</v>
      </c>
      <c r="K261"/>
      <c r="L261"/>
      <c r="M261"/>
      <c r="N261"/>
      <c r="O261"/>
      <c r="P261"/>
      <c r="AG261" s="79" t="s">
        <v>213</v>
      </c>
      <c r="AH261" s="78" t="s">
        <v>2592</v>
      </c>
      <c r="AI261" s="46">
        <f t="shared" si="15"/>
        <v>0</v>
      </c>
      <c r="AK261" s="46" t="s">
        <v>213</v>
      </c>
      <c r="AL261" s="46" t="s">
        <v>2592</v>
      </c>
      <c r="AM261" s="193">
        <v>-413151.38</v>
      </c>
      <c r="AQ261" s="73" t="s">
        <v>213</v>
      </c>
      <c r="AR261" s="135" t="s">
        <v>2592</v>
      </c>
      <c r="AS261" s="212">
        <v>-455720.45</v>
      </c>
    </row>
    <row r="262" spans="1:45">
      <c r="A262" t="s">
        <v>555</v>
      </c>
      <c r="B262" t="s">
        <v>2720</v>
      </c>
      <c r="C262" s="260">
        <v>-1964886.78</v>
      </c>
      <c r="D262" s="260">
        <v>-914481.04</v>
      </c>
      <c r="E262" s="260">
        <v>1047959.7337636823</v>
      </c>
      <c r="F262" s="335">
        <v>3764363.3037534654</v>
      </c>
      <c r="G262" s="83">
        <f t="shared" si="14"/>
        <v>1932955.2175171473</v>
      </c>
      <c r="K262"/>
      <c r="L262"/>
      <c r="M262"/>
      <c r="N262"/>
      <c r="O262"/>
      <c r="P262"/>
      <c r="AG262" s="79" t="s">
        <v>63</v>
      </c>
      <c r="AH262" s="78" t="s">
        <v>2481</v>
      </c>
      <c r="AI262" s="46">
        <f t="shared" si="15"/>
        <v>0</v>
      </c>
      <c r="AK262" s="46" t="s">
        <v>63</v>
      </c>
      <c r="AL262" s="46" t="s">
        <v>2481</v>
      </c>
      <c r="AM262" s="193">
        <v>-260208.85</v>
      </c>
      <c r="AQ262" s="73" t="s">
        <v>63</v>
      </c>
      <c r="AR262" s="135" t="s">
        <v>2481</v>
      </c>
      <c r="AS262" s="212">
        <v>-299896.39</v>
      </c>
    </row>
    <row r="263" spans="1:45">
      <c r="A263" t="s">
        <v>557</v>
      </c>
      <c r="B263" t="s">
        <v>2746</v>
      </c>
      <c r="C263" s="260">
        <v>-8700.24</v>
      </c>
      <c r="D263" s="260">
        <v>-49551.8</v>
      </c>
      <c r="E263" s="260">
        <v>0</v>
      </c>
      <c r="F263" s="335">
        <v>-71355.868557999958</v>
      </c>
      <c r="G263" s="83">
        <f t="shared" si="14"/>
        <v>-129607.90855799997</v>
      </c>
      <c r="K263"/>
      <c r="L263"/>
      <c r="M263"/>
      <c r="N263"/>
      <c r="O263"/>
      <c r="P263"/>
      <c r="AG263" s="79" t="s">
        <v>321</v>
      </c>
      <c r="AH263" s="78" t="s">
        <v>2655</v>
      </c>
      <c r="AI263" s="46">
        <f t="shared" si="15"/>
        <v>0</v>
      </c>
      <c r="AK263" s="46" t="s">
        <v>321</v>
      </c>
      <c r="AL263" s="46" t="s">
        <v>2655</v>
      </c>
      <c r="AM263" s="193">
        <v>-18414.650000000001</v>
      </c>
      <c r="AQ263" s="73" t="s">
        <v>321</v>
      </c>
      <c r="AR263" s="135" t="s">
        <v>2655</v>
      </c>
      <c r="AS263" s="212">
        <v>204009.79</v>
      </c>
    </row>
    <row r="264" spans="1:45">
      <c r="A264" t="s">
        <v>559</v>
      </c>
      <c r="B264" t="s">
        <v>2651</v>
      </c>
      <c r="C264" s="260">
        <v>-71516.570000000007</v>
      </c>
      <c r="D264" s="260">
        <v>-24758.11</v>
      </c>
      <c r="E264" s="260">
        <v>-58824.915562999995</v>
      </c>
      <c r="F264" s="335">
        <v>-42495.452113000007</v>
      </c>
      <c r="G264" s="83">
        <f t="shared" si="14"/>
        <v>-197595.04767600002</v>
      </c>
      <c r="K264"/>
      <c r="L264"/>
      <c r="M264"/>
      <c r="N264"/>
      <c r="O264"/>
      <c r="P264"/>
      <c r="AG264" s="79" t="s">
        <v>343</v>
      </c>
      <c r="AH264" s="78" t="s">
        <v>2668</v>
      </c>
      <c r="AI264" s="46">
        <f t="shared" si="15"/>
        <v>0</v>
      </c>
      <c r="AK264" s="46" t="s">
        <v>343</v>
      </c>
      <c r="AL264" s="46" t="s">
        <v>2668</v>
      </c>
      <c r="AM264" s="193">
        <v>-13814.72</v>
      </c>
      <c r="AQ264" s="73" t="s">
        <v>343</v>
      </c>
      <c r="AR264" s="135" t="s">
        <v>2668</v>
      </c>
      <c r="AS264" s="212">
        <v>-14472.28</v>
      </c>
    </row>
    <row r="265" spans="1:45">
      <c r="A265" t="s">
        <v>561</v>
      </c>
      <c r="B265" t="s">
        <v>2747</v>
      </c>
      <c r="C265" s="260">
        <v>-98137.19</v>
      </c>
      <c r="D265" s="260">
        <v>-103815.7</v>
      </c>
      <c r="E265" s="260">
        <v>-110689.854232</v>
      </c>
      <c r="F265" s="335">
        <v>-88548.762519999989</v>
      </c>
      <c r="G265" s="83">
        <f t="shared" si="14"/>
        <v>-401191.50675200002</v>
      </c>
      <c r="K265"/>
      <c r="L265"/>
      <c r="M265"/>
      <c r="N265"/>
      <c r="O265"/>
      <c r="P265"/>
      <c r="AG265" s="79" t="s">
        <v>383</v>
      </c>
      <c r="AH265" s="78" t="s">
        <v>2692</v>
      </c>
      <c r="AI265" s="46">
        <f t="shared" si="15"/>
        <v>0</v>
      </c>
      <c r="AK265" s="46" t="s">
        <v>383</v>
      </c>
      <c r="AL265" s="46" t="s">
        <v>2692</v>
      </c>
      <c r="AM265" s="193">
        <v>-27237.61</v>
      </c>
      <c r="AQ265" s="73" t="s">
        <v>383</v>
      </c>
      <c r="AR265" s="135" t="s">
        <v>2692</v>
      </c>
      <c r="AS265" s="212">
        <v>188835.26</v>
      </c>
    </row>
    <row r="266" spans="1:45">
      <c r="A266" t="s">
        <v>563</v>
      </c>
      <c r="B266" t="s">
        <v>2748</v>
      </c>
      <c r="C266" s="260">
        <v>-585235.14</v>
      </c>
      <c r="D266" s="260">
        <v>-581759.54</v>
      </c>
      <c r="E266" s="260">
        <v>-741202.79307599994</v>
      </c>
      <c r="F266" s="335">
        <v>-252886.89768495038</v>
      </c>
      <c r="G266" s="83">
        <f t="shared" si="14"/>
        <v>-2161084.3707609503</v>
      </c>
      <c r="K266"/>
      <c r="L266"/>
      <c r="M266"/>
      <c r="N266"/>
      <c r="O266"/>
      <c r="P266"/>
      <c r="AG266" s="79" t="s">
        <v>361</v>
      </c>
      <c r="AH266" s="78" t="s">
        <v>2680</v>
      </c>
      <c r="AI266" s="46">
        <f t="shared" si="15"/>
        <v>0</v>
      </c>
      <c r="AK266" s="46" t="s">
        <v>361</v>
      </c>
      <c r="AL266" s="46" t="s">
        <v>2680</v>
      </c>
      <c r="AM266" s="193">
        <v>-243955.53</v>
      </c>
      <c r="AQ266" s="73" t="s">
        <v>361</v>
      </c>
      <c r="AR266" s="135" t="s">
        <v>2680</v>
      </c>
      <c r="AS266" s="212">
        <v>133164.65</v>
      </c>
    </row>
    <row r="267" spans="1:45">
      <c r="A267" s="359" t="s">
        <v>565</v>
      </c>
      <c r="B267" s="360" t="s">
        <v>566</v>
      </c>
      <c r="C267" s="260"/>
      <c r="D267" s="260"/>
      <c r="E267" s="260"/>
      <c r="F267" s="335"/>
      <c r="G267" s="83"/>
      <c r="K267"/>
      <c r="L267"/>
      <c r="M267"/>
      <c r="N267"/>
      <c r="O267"/>
      <c r="P267"/>
      <c r="AG267" s="127" t="s">
        <v>317</v>
      </c>
      <c r="AH267" s="129" t="s">
        <v>2086</v>
      </c>
      <c r="AI267" s="46">
        <f t="shared" si="15"/>
        <v>0</v>
      </c>
      <c r="AK267" s="46" t="s">
        <v>317</v>
      </c>
      <c r="AL267" s="46" t="s">
        <v>2086</v>
      </c>
      <c r="AM267" s="193">
        <v>-15014.37</v>
      </c>
      <c r="AQ267" s="213" t="s">
        <v>317</v>
      </c>
      <c r="AR267" s="202" t="s">
        <v>2086</v>
      </c>
      <c r="AS267" s="222">
        <v>-14386.4</v>
      </c>
    </row>
    <row r="268" spans="1:45">
      <c r="A268" s="337" t="s">
        <v>567</v>
      </c>
      <c r="B268" t="s">
        <v>568</v>
      </c>
      <c r="C268" s="260"/>
      <c r="D268" s="260"/>
      <c r="E268" s="260"/>
      <c r="F268" s="335">
        <v>-62648.210387000014</v>
      </c>
      <c r="G268" s="83">
        <f>SUM(C268:F268)</f>
        <v>-62648.210387000014</v>
      </c>
      <c r="K268"/>
      <c r="L268"/>
      <c r="M268"/>
      <c r="N268"/>
      <c r="O268"/>
      <c r="P268"/>
      <c r="AG268" s="79" t="s">
        <v>303</v>
      </c>
      <c r="AH268" s="78" t="s">
        <v>2646</v>
      </c>
      <c r="AI268" s="46">
        <f t="shared" si="15"/>
        <v>0</v>
      </c>
      <c r="AK268" s="46" t="s">
        <v>303</v>
      </c>
      <c r="AL268" s="46" t="s">
        <v>2646</v>
      </c>
      <c r="AM268" s="193">
        <v>-22398.5</v>
      </c>
      <c r="AQ268" s="73" t="s">
        <v>303</v>
      </c>
      <c r="AR268" s="135" t="s">
        <v>2646</v>
      </c>
      <c r="AS268" s="212">
        <v>-16668.04</v>
      </c>
    </row>
    <row r="269" spans="1:45">
      <c r="A269" s="359" t="s">
        <v>569</v>
      </c>
      <c r="B269" s="360" t="s">
        <v>570</v>
      </c>
      <c r="C269" s="260"/>
      <c r="D269" s="260"/>
      <c r="E269" s="260"/>
      <c r="F269" s="335"/>
      <c r="G269" s="83"/>
      <c r="K269"/>
      <c r="L269"/>
      <c r="M269"/>
      <c r="N269"/>
      <c r="O269"/>
      <c r="P269"/>
      <c r="AG269" s="79" t="s">
        <v>599</v>
      </c>
      <c r="AH269" s="78" t="s">
        <v>2749</v>
      </c>
      <c r="AI269" s="46">
        <f t="shared" si="15"/>
        <v>0</v>
      </c>
      <c r="AK269" s="46" t="s">
        <v>599</v>
      </c>
      <c r="AL269" s="46" t="s">
        <v>2749</v>
      </c>
      <c r="AM269" s="193">
        <v>-32966.36</v>
      </c>
      <c r="AQ269" s="73" t="s">
        <v>599</v>
      </c>
      <c r="AR269" s="135" t="s">
        <v>2749</v>
      </c>
      <c r="AS269" s="212">
        <v>-35018.14</v>
      </c>
    </row>
    <row r="270" spans="1:45">
      <c r="A270" t="s">
        <v>571</v>
      </c>
      <c r="B270" t="s">
        <v>2688</v>
      </c>
      <c r="C270" s="260">
        <v>-139809.19</v>
      </c>
      <c r="D270" s="260">
        <v>-120324.63</v>
      </c>
      <c r="E270" s="260">
        <v>-30112.744849999784</v>
      </c>
      <c r="F270" s="335">
        <v>150884.3545260001</v>
      </c>
      <c r="G270" s="83">
        <f>SUM(C270:F270)</f>
        <v>-139362.21032399969</v>
      </c>
      <c r="K270"/>
      <c r="L270"/>
      <c r="M270"/>
      <c r="N270"/>
      <c r="O270"/>
      <c r="P270"/>
      <c r="AG270" s="79" t="s">
        <v>467</v>
      </c>
      <c r="AH270" s="78" t="s">
        <v>2721</v>
      </c>
      <c r="AI270" s="46">
        <f t="shared" si="15"/>
        <v>0</v>
      </c>
      <c r="AK270" s="46" t="s">
        <v>467</v>
      </c>
      <c r="AL270" s="46" t="s">
        <v>2721</v>
      </c>
      <c r="AM270" s="193">
        <v>-139589.91</v>
      </c>
      <c r="AQ270" s="73" t="s">
        <v>467</v>
      </c>
      <c r="AR270" s="135" t="s">
        <v>2721</v>
      </c>
      <c r="AS270" s="212">
        <v>-222694.59</v>
      </c>
    </row>
    <row r="271" spans="1:45">
      <c r="A271" s="359" t="s">
        <v>573</v>
      </c>
      <c r="B271" s="360" t="s">
        <v>574</v>
      </c>
      <c r="C271" s="260"/>
      <c r="D271" s="260"/>
      <c r="E271" s="260"/>
      <c r="F271" s="335"/>
      <c r="G271" s="83"/>
      <c r="K271"/>
      <c r="L271"/>
      <c r="M271"/>
      <c r="N271"/>
      <c r="O271"/>
      <c r="P271"/>
      <c r="AG271" s="79" t="s">
        <v>115</v>
      </c>
      <c r="AH271" s="78" t="s">
        <v>2522</v>
      </c>
      <c r="AI271" s="46">
        <f t="shared" si="15"/>
        <v>0</v>
      </c>
      <c r="AK271" s="46" t="s">
        <v>115</v>
      </c>
      <c r="AL271" s="46" t="s">
        <v>2522</v>
      </c>
      <c r="AM271" s="193">
        <v>-27392.74</v>
      </c>
      <c r="AQ271" s="73" t="s">
        <v>115</v>
      </c>
      <c r="AR271" s="135" t="s">
        <v>2522</v>
      </c>
      <c r="AS271" s="212">
        <v>-22911.58</v>
      </c>
    </row>
    <row r="272" spans="1:45">
      <c r="A272" t="s">
        <v>575</v>
      </c>
      <c r="B272" t="s">
        <v>576</v>
      </c>
      <c r="C272" s="260">
        <v>-139850.34</v>
      </c>
      <c r="D272" s="260">
        <v>-117142.04</v>
      </c>
      <c r="E272" s="260">
        <v>-93285.851157681653</v>
      </c>
      <c r="F272" s="335">
        <v>-137434.15801280562</v>
      </c>
      <c r="G272" s="83">
        <f t="shared" ref="G272:G279" si="16">SUM(C272:F272)</f>
        <v>-487712.38917048729</v>
      </c>
      <c r="K272"/>
      <c r="L272"/>
      <c r="M272"/>
      <c r="N272"/>
      <c r="O272"/>
      <c r="P272"/>
      <c r="AG272" s="79" t="s">
        <v>439</v>
      </c>
      <c r="AH272" s="78" t="s">
        <v>440</v>
      </c>
      <c r="AI272" s="46">
        <f t="shared" si="15"/>
        <v>0</v>
      </c>
      <c r="AK272" s="46" t="s">
        <v>439</v>
      </c>
      <c r="AL272" s="46" t="s">
        <v>440</v>
      </c>
      <c r="AM272" s="193">
        <v>-44442.5</v>
      </c>
      <c r="AQ272" s="73" t="s">
        <v>439</v>
      </c>
      <c r="AR272" s="135" t="s">
        <v>440</v>
      </c>
      <c r="AS272" s="212">
        <v>-49351.34</v>
      </c>
    </row>
    <row r="273" spans="1:45">
      <c r="A273" t="s">
        <v>577</v>
      </c>
      <c r="B273" t="s">
        <v>2717</v>
      </c>
      <c r="C273" s="260">
        <v>-115815.97</v>
      </c>
      <c r="D273" s="260">
        <v>45287.89</v>
      </c>
      <c r="E273" s="260">
        <v>163200.02313999977</v>
      </c>
      <c r="F273" s="335">
        <v>104310.51368300011</v>
      </c>
      <c r="G273" s="83">
        <f t="shared" si="16"/>
        <v>196982.45682299987</v>
      </c>
      <c r="K273"/>
      <c r="L273"/>
      <c r="M273"/>
      <c r="N273"/>
      <c r="O273"/>
      <c r="P273"/>
      <c r="AG273" s="79" t="s">
        <v>223</v>
      </c>
      <c r="AH273" s="78" t="s">
        <v>2601</v>
      </c>
      <c r="AI273" s="46">
        <f t="shared" si="15"/>
        <v>0</v>
      </c>
      <c r="AK273" s="46" t="s">
        <v>223</v>
      </c>
      <c r="AL273" s="46" t="s">
        <v>2601</v>
      </c>
      <c r="AM273" s="193">
        <v>-68467.42</v>
      </c>
      <c r="AQ273" s="73" t="s">
        <v>223</v>
      </c>
      <c r="AR273" s="135" t="s">
        <v>2601</v>
      </c>
      <c r="AS273" s="212">
        <v>-80132.11</v>
      </c>
    </row>
    <row r="274" spans="1:45">
      <c r="A274" t="s">
        <v>581</v>
      </c>
      <c r="B274" t="s">
        <v>1221</v>
      </c>
      <c r="C274" s="260">
        <v>-29725.63</v>
      </c>
      <c r="D274" s="260">
        <v>-90654.17</v>
      </c>
      <c r="E274" s="260">
        <v>-70812.493999999992</v>
      </c>
      <c r="F274" s="335">
        <v>-44713.510000000009</v>
      </c>
      <c r="G274" s="83">
        <f t="shared" si="16"/>
        <v>-235905.804</v>
      </c>
      <c r="K274"/>
      <c r="L274"/>
      <c r="M274"/>
      <c r="N274"/>
      <c r="O274"/>
      <c r="P274"/>
      <c r="AG274" s="79" t="s">
        <v>119</v>
      </c>
      <c r="AH274" s="78" t="s">
        <v>2525</v>
      </c>
      <c r="AI274" s="46">
        <f t="shared" si="15"/>
        <v>0</v>
      </c>
      <c r="AK274" s="46" t="s">
        <v>119</v>
      </c>
      <c r="AL274" s="46" t="s">
        <v>2525</v>
      </c>
      <c r="AM274" s="193">
        <v>-69231.66</v>
      </c>
      <c r="AQ274" s="73" t="s">
        <v>119</v>
      </c>
      <c r="AR274" s="135" t="s">
        <v>2525</v>
      </c>
      <c r="AS274" s="212">
        <v>-74197.66</v>
      </c>
    </row>
    <row r="275" spans="1:45">
      <c r="A275" t="s">
        <v>583</v>
      </c>
      <c r="B275" t="s">
        <v>1112</v>
      </c>
      <c r="C275" s="260">
        <v>-35736.42</v>
      </c>
      <c r="D275" s="260">
        <v>-55449.2</v>
      </c>
      <c r="E275" s="260">
        <v>-35526.348065000013</v>
      </c>
      <c r="F275" s="335">
        <v>-29062.916509999995</v>
      </c>
      <c r="G275" s="83">
        <f t="shared" si="16"/>
        <v>-155774.884575</v>
      </c>
      <c r="K275"/>
      <c r="L275"/>
      <c r="M275"/>
      <c r="N275"/>
      <c r="O275"/>
      <c r="P275"/>
      <c r="AG275" s="79" t="s">
        <v>175</v>
      </c>
      <c r="AH275" s="78" t="s">
        <v>2574</v>
      </c>
      <c r="AI275" s="46">
        <f t="shared" si="15"/>
        <v>0</v>
      </c>
      <c r="AK275" s="46" t="s">
        <v>175</v>
      </c>
      <c r="AL275" s="46" t="s">
        <v>2574</v>
      </c>
      <c r="AM275" s="193">
        <v>-62134.96</v>
      </c>
      <c r="AQ275" s="73" t="s">
        <v>175</v>
      </c>
      <c r="AR275" s="135" t="s">
        <v>2574</v>
      </c>
      <c r="AS275" s="212">
        <v>-72047.850000000006</v>
      </c>
    </row>
    <row r="276" spans="1:45">
      <c r="A276" t="s">
        <v>585</v>
      </c>
      <c r="B276" t="s">
        <v>1114</v>
      </c>
      <c r="C276" s="260">
        <v>-20295.400000000001</v>
      </c>
      <c r="D276" s="260">
        <v>-59323</v>
      </c>
      <c r="E276" s="260">
        <v>-59708.753303999998</v>
      </c>
      <c r="F276" s="335">
        <v>-44586.923548000006</v>
      </c>
      <c r="G276" s="83">
        <f t="shared" si="16"/>
        <v>-183914.07685199997</v>
      </c>
      <c r="K276"/>
      <c r="L276"/>
      <c r="M276"/>
      <c r="N276"/>
      <c r="O276"/>
      <c r="P276"/>
      <c r="AG276" s="79" t="s">
        <v>513</v>
      </c>
      <c r="AH276" s="78" t="s">
        <v>2734</v>
      </c>
      <c r="AI276" s="46">
        <f t="shared" si="15"/>
        <v>0</v>
      </c>
      <c r="AK276" s="46" t="s">
        <v>513</v>
      </c>
      <c r="AL276" s="46" t="s">
        <v>2734</v>
      </c>
      <c r="AM276" s="193">
        <v>-30669.26</v>
      </c>
      <c r="AQ276" s="73" t="s">
        <v>513</v>
      </c>
      <c r="AR276" s="135" t="s">
        <v>2734</v>
      </c>
      <c r="AS276" s="212">
        <v>-31040.47</v>
      </c>
    </row>
    <row r="277" spans="1:45">
      <c r="A277" t="s">
        <v>579</v>
      </c>
      <c r="B277" t="s">
        <v>2731</v>
      </c>
      <c r="C277" s="260">
        <v>-37806.959999999999</v>
      </c>
      <c r="D277" s="260">
        <v>-26038.65</v>
      </c>
      <c r="E277" s="260">
        <v>-67617.574877999985</v>
      </c>
      <c r="F277" s="335">
        <v>-5485.8716120000026</v>
      </c>
      <c r="G277" s="83">
        <f t="shared" si="16"/>
        <v>-136949.05648999999</v>
      </c>
      <c r="K277"/>
      <c r="L277"/>
      <c r="M277"/>
      <c r="N277"/>
      <c r="O277"/>
      <c r="P277"/>
      <c r="AG277" s="79" t="s">
        <v>561</v>
      </c>
      <c r="AH277" s="78" t="s">
        <v>2747</v>
      </c>
      <c r="AI277" s="46">
        <f t="shared" si="15"/>
        <v>0</v>
      </c>
      <c r="AK277" s="46" t="s">
        <v>561</v>
      </c>
      <c r="AL277" s="46" t="s">
        <v>2747</v>
      </c>
      <c r="AM277" s="193">
        <v>-98137.19</v>
      </c>
      <c r="AQ277" s="73" t="s">
        <v>561</v>
      </c>
      <c r="AR277" s="135" t="s">
        <v>2747</v>
      </c>
      <c r="AS277" s="212">
        <v>-103815.7</v>
      </c>
    </row>
    <row r="278" spans="1:45">
      <c r="A278" t="s">
        <v>587</v>
      </c>
      <c r="B278" t="s">
        <v>2694</v>
      </c>
      <c r="C278" s="260">
        <v>88187.79</v>
      </c>
      <c r="D278" s="260">
        <v>-196485.31</v>
      </c>
      <c r="E278" s="260">
        <v>-371857.04156399926</v>
      </c>
      <c r="F278" s="335">
        <v>1493890.9139413978</v>
      </c>
      <c r="G278" s="83">
        <f t="shared" si="16"/>
        <v>1013736.3523773985</v>
      </c>
      <c r="K278"/>
      <c r="L278"/>
      <c r="M278"/>
      <c r="N278"/>
      <c r="O278"/>
      <c r="P278"/>
      <c r="AG278" s="79" t="s">
        <v>621</v>
      </c>
      <c r="AH278" s="78" t="s">
        <v>2750</v>
      </c>
      <c r="AI278" s="46">
        <f t="shared" si="15"/>
        <v>0</v>
      </c>
      <c r="AK278" s="46" t="s">
        <v>621</v>
      </c>
      <c r="AL278" s="46" t="s">
        <v>2750</v>
      </c>
      <c r="AM278" s="193">
        <v>-97900.2</v>
      </c>
      <c r="AQ278" s="73" t="s">
        <v>621</v>
      </c>
      <c r="AR278" s="135" t="s">
        <v>2750</v>
      </c>
      <c r="AS278" s="212">
        <v>-58363.77</v>
      </c>
    </row>
    <row r="279" spans="1:45">
      <c r="A279" t="s">
        <v>589</v>
      </c>
      <c r="B279" t="s">
        <v>2751</v>
      </c>
      <c r="C279" s="260">
        <v>-931119.53</v>
      </c>
      <c r="D279" s="260">
        <v>-780638.5</v>
      </c>
      <c r="E279" s="260">
        <v>-1658863.9974180001</v>
      </c>
      <c r="F279" s="335">
        <v>-540206.5966409985</v>
      </c>
      <c r="G279" s="83">
        <f t="shared" si="16"/>
        <v>-3910828.6240589987</v>
      </c>
      <c r="K279"/>
      <c r="L279"/>
      <c r="M279"/>
      <c r="N279"/>
      <c r="O279"/>
      <c r="P279"/>
      <c r="AG279" s="79" t="s">
        <v>371</v>
      </c>
      <c r="AH279" s="78" t="s">
        <v>2686</v>
      </c>
      <c r="AI279" s="46">
        <f t="shared" si="15"/>
        <v>0</v>
      </c>
      <c r="AK279" s="46" t="s">
        <v>371</v>
      </c>
      <c r="AL279" s="46" t="s">
        <v>2686</v>
      </c>
      <c r="AM279" s="193">
        <v>-131054.32</v>
      </c>
      <c r="AQ279" s="73" t="s">
        <v>371</v>
      </c>
      <c r="AR279" s="135" t="s">
        <v>2686</v>
      </c>
      <c r="AS279" s="212">
        <v>-191764.77</v>
      </c>
    </row>
    <row r="280" spans="1:45">
      <c r="A280" s="364" t="s">
        <v>591</v>
      </c>
      <c r="B280" s="353" t="s">
        <v>592</v>
      </c>
      <c r="C280" s="260"/>
      <c r="D280" s="260"/>
      <c r="E280" s="260"/>
      <c r="F280" s="335"/>
      <c r="G280" s="83"/>
      <c r="K280"/>
      <c r="L280"/>
      <c r="M280"/>
      <c r="N280"/>
      <c r="O280"/>
      <c r="P280"/>
      <c r="AG280" s="79" t="s">
        <v>685</v>
      </c>
      <c r="AH280" s="78" t="s">
        <v>2752</v>
      </c>
      <c r="AI280" s="46">
        <f t="shared" si="15"/>
        <v>0</v>
      </c>
      <c r="AK280" s="46" t="s">
        <v>685</v>
      </c>
      <c r="AL280" s="46" t="s">
        <v>2752</v>
      </c>
      <c r="AM280" s="193">
        <v>-712592.97</v>
      </c>
      <c r="AQ280" s="73" t="s">
        <v>685</v>
      </c>
      <c r="AR280" s="135" t="s">
        <v>2752</v>
      </c>
      <c r="AS280" s="212">
        <v>157306.76999999999</v>
      </c>
    </row>
    <row r="281" spans="1:45">
      <c r="A281" t="s">
        <v>593</v>
      </c>
      <c r="B281" t="s">
        <v>2690</v>
      </c>
      <c r="C281" s="260">
        <v>-3413987.49</v>
      </c>
      <c r="D281" s="260">
        <v>-3041143.11</v>
      </c>
      <c r="E281" s="260">
        <v>-5950973.99039998</v>
      </c>
      <c r="F281" s="335">
        <v>-2695722.0426317044</v>
      </c>
      <c r="G281" s="83">
        <f t="shared" ref="G281:G291" si="17">SUM(C281:F281)</f>
        <v>-15101826.633031685</v>
      </c>
      <c r="K281"/>
      <c r="L281"/>
      <c r="M281"/>
      <c r="N281"/>
      <c r="O281"/>
      <c r="P281"/>
      <c r="AG281" s="79" t="s">
        <v>161</v>
      </c>
      <c r="AH281" s="78" t="s">
        <v>2724</v>
      </c>
      <c r="AI281" s="46">
        <f t="shared" si="15"/>
        <v>0</v>
      </c>
      <c r="AK281" s="46" t="s">
        <v>161</v>
      </c>
      <c r="AL281" s="46" t="s">
        <v>2724</v>
      </c>
      <c r="AM281" s="193">
        <v>-28762.29</v>
      </c>
      <c r="AQ281" s="73" t="s">
        <v>161</v>
      </c>
      <c r="AR281" s="135" t="s">
        <v>2724</v>
      </c>
      <c r="AS281" s="212">
        <v>-53777.67</v>
      </c>
    </row>
    <row r="282" spans="1:45">
      <c r="A282" t="s">
        <v>595</v>
      </c>
      <c r="B282" t="s">
        <v>2575</v>
      </c>
      <c r="C282" s="260">
        <v>-199169</v>
      </c>
      <c r="D282" s="260">
        <v>-194832.09</v>
      </c>
      <c r="E282" s="260">
        <v>-257745.80747000006</v>
      </c>
      <c r="F282" s="335">
        <v>-250743.15007599996</v>
      </c>
      <c r="G282" s="83">
        <f t="shared" si="17"/>
        <v>-902490.04754599999</v>
      </c>
      <c r="K282"/>
      <c r="L282"/>
      <c r="M282"/>
      <c r="N282"/>
      <c r="O282"/>
      <c r="P282"/>
      <c r="AG282" s="79" t="s">
        <v>525</v>
      </c>
      <c r="AH282" s="78" t="s">
        <v>2738</v>
      </c>
      <c r="AI282" s="46">
        <f t="shared" si="15"/>
        <v>0</v>
      </c>
      <c r="AK282" s="46" t="s">
        <v>525</v>
      </c>
      <c r="AL282" s="46" t="s">
        <v>2738</v>
      </c>
      <c r="AM282" s="193">
        <v>36674.019999999997</v>
      </c>
      <c r="AQ282" s="73" t="s">
        <v>525</v>
      </c>
      <c r="AR282" s="135" t="s">
        <v>2738</v>
      </c>
      <c r="AS282" s="212">
        <v>205463.29</v>
      </c>
    </row>
    <row r="283" spans="1:45">
      <c r="A283" t="s">
        <v>597</v>
      </c>
      <c r="B283" t="s">
        <v>2607</v>
      </c>
      <c r="C283" s="260">
        <v>-211280.41</v>
      </c>
      <c r="D283" s="260">
        <v>-545694.12</v>
      </c>
      <c r="E283" s="260">
        <v>-558746.50160000031</v>
      </c>
      <c r="F283" s="335">
        <v>787397.93549999967</v>
      </c>
      <c r="G283" s="83">
        <f t="shared" si="17"/>
        <v>-528323.09610000066</v>
      </c>
      <c r="K283"/>
      <c r="L283"/>
      <c r="M283"/>
      <c r="N283"/>
      <c r="O283"/>
      <c r="P283"/>
      <c r="AG283" s="79" t="s">
        <v>323</v>
      </c>
      <c r="AH283" s="78" t="s">
        <v>2657</v>
      </c>
      <c r="AI283" s="46">
        <f t="shared" si="15"/>
        <v>0</v>
      </c>
      <c r="AK283" s="46" t="s">
        <v>323</v>
      </c>
      <c r="AL283" s="46" t="s">
        <v>2657</v>
      </c>
      <c r="AM283" s="193">
        <v>-37830.32</v>
      </c>
      <c r="AQ283" s="73" t="s">
        <v>323</v>
      </c>
      <c r="AR283" s="135" t="s">
        <v>2657</v>
      </c>
      <c r="AS283" s="212">
        <v>20933.759999999998</v>
      </c>
    </row>
    <row r="284" spans="1:45">
      <c r="A284" t="s">
        <v>599</v>
      </c>
      <c r="B284" t="s">
        <v>2749</v>
      </c>
      <c r="C284" s="260">
        <v>-22561.050000000003</v>
      </c>
      <c r="D284" s="260">
        <v>-35018.14</v>
      </c>
      <c r="E284" s="260">
        <v>-38094.605971999998</v>
      </c>
      <c r="F284" s="335">
        <v>-53871.693883999993</v>
      </c>
      <c r="G284" s="83">
        <f t="shared" si="17"/>
        <v>-149545.489856</v>
      </c>
      <c r="K284"/>
      <c r="L284"/>
      <c r="M284"/>
      <c r="N284"/>
      <c r="O284"/>
      <c r="P284"/>
      <c r="AG284" s="79" t="s">
        <v>231</v>
      </c>
      <c r="AH284" s="78" t="s">
        <v>2606</v>
      </c>
      <c r="AI284" s="46">
        <f t="shared" si="15"/>
        <v>0</v>
      </c>
      <c r="AK284" s="46" t="s">
        <v>231</v>
      </c>
      <c r="AL284" s="46" t="s">
        <v>2606</v>
      </c>
      <c r="AM284" s="193">
        <v>-235262.57</v>
      </c>
      <c r="AQ284" s="73" t="s">
        <v>231</v>
      </c>
      <c r="AR284" s="135" t="s">
        <v>2606</v>
      </c>
      <c r="AS284" s="212">
        <v>-2836.22</v>
      </c>
    </row>
    <row r="285" spans="1:45">
      <c r="A285" t="s">
        <v>601</v>
      </c>
      <c r="B285" t="s">
        <v>2739</v>
      </c>
      <c r="C285" s="260">
        <v>-210611.73</v>
      </c>
      <c r="D285" s="260">
        <v>-214863.12</v>
      </c>
      <c r="E285" s="260">
        <v>-252215.19486900017</v>
      </c>
      <c r="F285" s="335">
        <v>-81288.606354000163</v>
      </c>
      <c r="G285" s="83">
        <f t="shared" si="17"/>
        <v>-758978.65122300026</v>
      </c>
      <c r="K285"/>
      <c r="L285"/>
      <c r="M285"/>
      <c r="N285"/>
      <c r="O285"/>
      <c r="P285"/>
      <c r="AG285" s="79" t="s">
        <v>589</v>
      </c>
      <c r="AH285" s="78" t="s">
        <v>2751</v>
      </c>
      <c r="AI285" s="46">
        <f t="shared" si="15"/>
        <v>0</v>
      </c>
      <c r="AK285" s="46" t="s">
        <v>589</v>
      </c>
      <c r="AL285" s="46" t="s">
        <v>2751</v>
      </c>
      <c r="AM285" s="193">
        <v>-931119.53</v>
      </c>
      <c r="AQ285" s="73" t="s">
        <v>589</v>
      </c>
      <c r="AR285" s="135" t="s">
        <v>2751</v>
      </c>
      <c r="AS285" s="212">
        <v>-780638.5</v>
      </c>
    </row>
    <row r="286" spans="1:45">
      <c r="A286" t="s">
        <v>603</v>
      </c>
      <c r="B286" t="s">
        <v>2629</v>
      </c>
      <c r="C286" s="260">
        <v>-57293.66</v>
      </c>
      <c r="D286" s="260">
        <v>-162302.39000000001</v>
      </c>
      <c r="E286" s="260">
        <v>-113732.40082400004</v>
      </c>
      <c r="F286" s="335">
        <v>-88440.604090000066</v>
      </c>
      <c r="G286" s="83">
        <f t="shared" si="17"/>
        <v>-421769.05491400009</v>
      </c>
      <c r="K286"/>
      <c r="L286"/>
      <c r="M286"/>
      <c r="N286"/>
      <c r="O286"/>
      <c r="P286"/>
      <c r="AG286" s="79" t="s">
        <v>609</v>
      </c>
      <c r="AH286" s="78" t="s">
        <v>2753</v>
      </c>
      <c r="AI286" s="46">
        <f t="shared" si="15"/>
        <v>0</v>
      </c>
      <c r="AK286" s="46" t="s">
        <v>609</v>
      </c>
      <c r="AL286" s="46" t="s">
        <v>2753</v>
      </c>
      <c r="AM286" s="193">
        <v>-404103.52</v>
      </c>
      <c r="AQ286" s="73" t="s">
        <v>609</v>
      </c>
      <c r="AR286" s="135" t="s">
        <v>2753</v>
      </c>
      <c r="AS286" s="212">
        <v>-494331.19</v>
      </c>
    </row>
    <row r="287" spans="1:45">
      <c r="A287" t="s">
        <v>605</v>
      </c>
      <c r="B287" t="s">
        <v>2643</v>
      </c>
      <c r="C287" s="260">
        <v>-27669.4</v>
      </c>
      <c r="D287" s="260">
        <v>345.02</v>
      </c>
      <c r="E287" s="260">
        <v>23945.859695000014</v>
      </c>
      <c r="F287" s="335">
        <v>3751.1903860000311</v>
      </c>
      <c r="G287" s="83">
        <f t="shared" si="17"/>
        <v>372.67008100004387</v>
      </c>
      <c r="K287"/>
      <c r="L287"/>
      <c r="M287"/>
      <c r="N287"/>
      <c r="O287"/>
      <c r="P287"/>
      <c r="AG287" s="79" t="s">
        <v>247</v>
      </c>
      <c r="AH287" s="78" t="s">
        <v>2619</v>
      </c>
      <c r="AI287" s="46">
        <f t="shared" si="15"/>
        <v>0</v>
      </c>
      <c r="AK287" s="46" t="s">
        <v>247</v>
      </c>
      <c r="AL287" s="46" t="s">
        <v>2619</v>
      </c>
      <c r="AM287" s="193">
        <v>-239173.31</v>
      </c>
      <c r="AQ287" s="73" t="s">
        <v>247</v>
      </c>
      <c r="AR287" s="135" t="s">
        <v>2619</v>
      </c>
      <c r="AS287" s="212">
        <v>96918.55</v>
      </c>
    </row>
    <row r="288" spans="1:45">
      <c r="A288" t="s">
        <v>607</v>
      </c>
      <c r="B288" t="s">
        <v>2675</v>
      </c>
      <c r="C288" s="260">
        <v>-107616.34</v>
      </c>
      <c r="D288" s="260">
        <v>-57092.800000000003</v>
      </c>
      <c r="E288" s="260">
        <v>-70261.414079999959</v>
      </c>
      <c r="F288" s="335">
        <v>22741.702208000002</v>
      </c>
      <c r="G288" s="83">
        <f t="shared" si="17"/>
        <v>-212228.85187199997</v>
      </c>
      <c r="K288"/>
      <c r="L288"/>
      <c r="M288"/>
      <c r="N288"/>
      <c r="O288"/>
      <c r="P288"/>
      <c r="AG288" s="79" t="s">
        <v>233</v>
      </c>
      <c r="AH288" s="78" t="s">
        <v>2608</v>
      </c>
      <c r="AI288" s="46">
        <f t="shared" si="15"/>
        <v>0</v>
      </c>
      <c r="AK288" s="46" t="s">
        <v>233</v>
      </c>
      <c r="AL288" s="46" t="s">
        <v>2608</v>
      </c>
      <c r="AM288" s="193">
        <v>-198772.31</v>
      </c>
      <c r="AQ288" s="73" t="s">
        <v>233</v>
      </c>
      <c r="AR288" s="135" t="s">
        <v>2608</v>
      </c>
      <c r="AS288" s="212">
        <v>108829.19</v>
      </c>
    </row>
    <row r="289" spans="1:45">
      <c r="A289" t="s">
        <v>609</v>
      </c>
      <c r="B289" t="s">
        <v>2753</v>
      </c>
      <c r="C289" s="260">
        <v>-404103.52</v>
      </c>
      <c r="D289" s="260">
        <v>-494331.19</v>
      </c>
      <c r="E289" s="260">
        <v>-692240.3835840004</v>
      </c>
      <c r="F289" s="335">
        <v>-313870.20249000005</v>
      </c>
      <c r="G289" s="83">
        <f t="shared" si="17"/>
        <v>-1904545.2960740004</v>
      </c>
      <c r="K289"/>
      <c r="L289"/>
      <c r="M289"/>
      <c r="N289"/>
      <c r="O289"/>
      <c r="P289"/>
      <c r="AG289" s="79" t="s">
        <v>689</v>
      </c>
      <c r="AH289" s="78" t="s">
        <v>2754</v>
      </c>
      <c r="AI289" s="46">
        <f t="shared" si="15"/>
        <v>0</v>
      </c>
      <c r="AK289" s="46" t="s">
        <v>689</v>
      </c>
      <c r="AL289" s="46" t="s">
        <v>2754</v>
      </c>
      <c r="AM289" s="193">
        <v>-122254.42</v>
      </c>
      <c r="AQ289" s="73" t="s">
        <v>689</v>
      </c>
      <c r="AR289" s="135" t="s">
        <v>2754</v>
      </c>
      <c r="AS289" s="212">
        <v>-137407.32</v>
      </c>
    </row>
    <row r="290" spans="1:45">
      <c r="A290" t="s">
        <v>611</v>
      </c>
      <c r="B290" t="s">
        <v>2742</v>
      </c>
      <c r="C290" s="260">
        <v>-136460.13</v>
      </c>
      <c r="D290" s="260">
        <v>-166183.04999999999</v>
      </c>
      <c r="E290" s="260">
        <v>-107800.93594200003</v>
      </c>
      <c r="F290" s="335">
        <v>-155221.78713899996</v>
      </c>
      <c r="G290" s="83">
        <f t="shared" si="17"/>
        <v>-565665.90308099997</v>
      </c>
      <c r="AG290" s="79" t="s">
        <v>641</v>
      </c>
      <c r="AH290" s="78" t="s">
        <v>2755</v>
      </c>
      <c r="AI290" s="46">
        <f t="shared" si="15"/>
        <v>0</v>
      </c>
      <c r="AK290" s="46" t="s">
        <v>641</v>
      </c>
      <c r="AL290" s="46" t="s">
        <v>2755</v>
      </c>
      <c r="AM290" s="193">
        <v>-123768.22</v>
      </c>
      <c r="AQ290" s="73" t="s">
        <v>641</v>
      </c>
      <c r="AR290" s="135" t="s">
        <v>2755</v>
      </c>
      <c r="AS290" s="212">
        <v>-96732.9</v>
      </c>
    </row>
    <row r="291" spans="1:45">
      <c r="A291" t="s">
        <v>613</v>
      </c>
      <c r="B291" t="s">
        <v>2516</v>
      </c>
      <c r="C291" s="260">
        <v>-86449.07</v>
      </c>
      <c r="D291" s="260">
        <v>-108328.2</v>
      </c>
      <c r="E291" s="260">
        <v>-140978.70752</v>
      </c>
      <c r="F291" s="335">
        <v>-3968.4280800000997</v>
      </c>
      <c r="G291" s="83">
        <f t="shared" si="17"/>
        <v>-339724.40560000011</v>
      </c>
      <c r="AG291" s="79" t="s">
        <v>657</v>
      </c>
      <c r="AH291" s="78" t="s">
        <v>2725</v>
      </c>
      <c r="AI291" s="46">
        <f t="shared" si="15"/>
        <v>0</v>
      </c>
      <c r="AK291" s="46" t="s">
        <v>657</v>
      </c>
      <c r="AL291" s="46" t="s">
        <v>2725</v>
      </c>
      <c r="AM291" s="193">
        <v>-157578.5</v>
      </c>
      <c r="AQ291" s="73" t="s">
        <v>657</v>
      </c>
      <c r="AR291" s="135" t="s">
        <v>2725</v>
      </c>
      <c r="AS291" s="212">
        <v>-214225.98</v>
      </c>
    </row>
    <row r="292" spans="1:45">
      <c r="A292" s="359" t="s">
        <v>615</v>
      </c>
      <c r="B292" s="360" t="s">
        <v>616</v>
      </c>
      <c r="C292" s="260"/>
      <c r="D292" s="260"/>
      <c r="E292" s="260"/>
      <c r="F292" s="335"/>
      <c r="G292" s="83"/>
      <c r="AG292" s="79" t="s">
        <v>359</v>
      </c>
      <c r="AH292" s="78" t="s">
        <v>2678</v>
      </c>
      <c r="AI292" s="46">
        <f t="shared" si="15"/>
        <v>0</v>
      </c>
      <c r="AK292" s="46" t="s">
        <v>359</v>
      </c>
      <c r="AL292" s="46" t="s">
        <v>2678</v>
      </c>
      <c r="AM292" s="193">
        <v>-29118.84</v>
      </c>
      <c r="AQ292" s="73" t="s">
        <v>359</v>
      </c>
      <c r="AR292" s="135" t="s">
        <v>2678</v>
      </c>
      <c r="AS292" s="212">
        <v>-65696.600000000006</v>
      </c>
    </row>
    <row r="293" spans="1:45">
      <c r="A293" t="s">
        <v>617</v>
      </c>
      <c r="B293" t="s">
        <v>2603</v>
      </c>
      <c r="C293" s="260">
        <v>-407772.93</v>
      </c>
      <c r="D293" s="260">
        <v>-371727.23</v>
      </c>
      <c r="E293" s="260">
        <v>-425295.13996328658</v>
      </c>
      <c r="F293" s="335">
        <v>25506.041747612646</v>
      </c>
      <c r="G293" s="83">
        <f t="shared" ref="G293:G299" si="18">SUM(C293:F293)</f>
        <v>-1179289.258215674</v>
      </c>
    </row>
    <row r="294" spans="1:45">
      <c r="A294" t="s">
        <v>619</v>
      </c>
      <c r="B294" t="s">
        <v>2737</v>
      </c>
      <c r="C294" s="260">
        <v>-436194.46</v>
      </c>
      <c r="D294" s="260">
        <v>-501658.83</v>
      </c>
      <c r="E294" s="260">
        <v>-759942.60431000008</v>
      </c>
      <c r="F294" s="335">
        <v>223307.82704000082</v>
      </c>
      <c r="G294" s="83">
        <f t="shared" si="18"/>
        <v>-1474488.0672699993</v>
      </c>
    </row>
    <row r="295" spans="1:45">
      <c r="A295" t="s">
        <v>621</v>
      </c>
      <c r="B295" t="s">
        <v>2750</v>
      </c>
      <c r="C295" s="260">
        <v>-97900.2</v>
      </c>
      <c r="D295" s="260">
        <v>-58363.77</v>
      </c>
      <c r="E295" s="260">
        <v>-66026.126859999931</v>
      </c>
      <c r="F295" s="335">
        <v>-109936.76562600001</v>
      </c>
      <c r="G295" s="83">
        <f t="shared" si="18"/>
        <v>-332226.86248599994</v>
      </c>
    </row>
    <row r="296" spans="1:45">
      <c r="A296" t="s">
        <v>623</v>
      </c>
      <c r="B296" t="s">
        <v>2693</v>
      </c>
      <c r="C296" s="260">
        <v>-529026.01</v>
      </c>
      <c r="D296" s="260">
        <v>-731301.44</v>
      </c>
      <c r="E296" s="260">
        <v>-657209.63847307093</v>
      </c>
      <c r="F296" s="335">
        <v>46389.359039291274</v>
      </c>
      <c r="G296" s="83">
        <f t="shared" si="18"/>
        <v>-1871147.7294337796</v>
      </c>
    </row>
    <row r="297" spans="1:45">
      <c r="A297" t="s">
        <v>625</v>
      </c>
      <c r="B297" t="s">
        <v>2730</v>
      </c>
      <c r="C297" s="260">
        <v>-64905.78</v>
      </c>
      <c r="D297" s="260">
        <v>-59766.33</v>
      </c>
      <c r="E297" s="260">
        <v>-102922.27848900002</v>
      </c>
      <c r="F297" s="335">
        <v>-171535.82974999998</v>
      </c>
      <c r="G297" s="83">
        <f t="shared" si="18"/>
        <v>-399130.21823900001</v>
      </c>
    </row>
    <row r="298" spans="1:45">
      <c r="A298" t="s">
        <v>627</v>
      </c>
      <c r="B298" t="s">
        <v>2499</v>
      </c>
      <c r="C298" s="260">
        <v>-627858.32999999996</v>
      </c>
      <c r="D298" s="260">
        <v>-2069682.58</v>
      </c>
      <c r="E298" s="260">
        <v>-1896018.002848</v>
      </c>
      <c r="F298" s="335">
        <v>1170598.7930880021</v>
      </c>
      <c r="G298" s="83">
        <f t="shared" si="18"/>
        <v>-3422960.1197599983</v>
      </c>
    </row>
    <row r="299" spans="1:45">
      <c r="A299" t="s">
        <v>629</v>
      </c>
      <c r="B299" t="s">
        <v>2596</v>
      </c>
      <c r="C299" s="260">
        <v>-175497.44</v>
      </c>
      <c r="D299" s="260">
        <v>-281705.28999999998</v>
      </c>
      <c r="E299" s="260">
        <v>-351417.21320718038</v>
      </c>
      <c r="F299" s="335">
        <v>-231556.90609086351</v>
      </c>
      <c r="G299" s="83">
        <f t="shared" si="18"/>
        <v>-1040176.8492980439</v>
      </c>
    </row>
    <row r="300" spans="1:45">
      <c r="A300" s="355" t="s">
        <v>631</v>
      </c>
      <c r="B300" s="353" t="s">
        <v>632</v>
      </c>
      <c r="C300" s="260"/>
      <c r="D300" s="260"/>
      <c r="E300" s="260"/>
      <c r="F300" s="335"/>
      <c r="G300" s="83"/>
    </row>
    <row r="301" spans="1:45">
      <c r="A301" t="s">
        <v>633</v>
      </c>
      <c r="B301" t="s">
        <v>2740</v>
      </c>
      <c r="C301" s="260">
        <v>-96131.520000000004</v>
      </c>
      <c r="D301" s="260">
        <v>-119412.62</v>
      </c>
      <c r="E301" s="260">
        <v>-73586.376629999984</v>
      </c>
      <c r="F301" s="335">
        <v>-47545.889877999958</v>
      </c>
      <c r="G301" s="83">
        <f t="shared" ref="G301:G313" si="19">SUM(C301:F301)</f>
        <v>-336676.40650799993</v>
      </c>
    </row>
    <row r="302" spans="1:45">
      <c r="A302" t="s">
        <v>635</v>
      </c>
      <c r="B302" t="s">
        <v>2548</v>
      </c>
      <c r="C302" s="260">
        <v>72427.239999999583</v>
      </c>
      <c r="D302" s="260">
        <v>248434.76</v>
      </c>
      <c r="E302" s="260">
        <v>-12399.407540000131</v>
      </c>
      <c r="F302" s="335">
        <v>-10235.763930000365</v>
      </c>
      <c r="G302" s="83">
        <f t="shared" si="19"/>
        <v>298226.82852999913</v>
      </c>
    </row>
    <row r="303" spans="1:45">
      <c r="A303" t="s">
        <v>637</v>
      </c>
      <c r="B303" t="s">
        <v>2743</v>
      </c>
      <c r="C303" s="260">
        <v>-124254.59</v>
      </c>
      <c r="D303" s="260">
        <v>-126391.74</v>
      </c>
      <c r="E303" s="260">
        <v>-67873.881135140022</v>
      </c>
      <c r="F303" s="335">
        <v>-84623.044819999952</v>
      </c>
      <c r="G303" s="83">
        <f t="shared" si="19"/>
        <v>-403143.25595513999</v>
      </c>
    </row>
    <row r="304" spans="1:45">
      <c r="A304" t="s">
        <v>639</v>
      </c>
      <c r="B304" t="s">
        <v>2741</v>
      </c>
      <c r="C304" s="260">
        <v>-677793.68</v>
      </c>
      <c r="D304" s="260">
        <v>-772804.34</v>
      </c>
      <c r="E304" s="260">
        <v>87641.413936000201</v>
      </c>
      <c r="F304" s="335">
        <v>-45596.272679999471</v>
      </c>
      <c r="G304" s="83">
        <f t="shared" si="19"/>
        <v>-1408552.8787439992</v>
      </c>
    </row>
    <row r="305" spans="1:7">
      <c r="A305" t="s">
        <v>641</v>
      </c>
      <c r="B305" t="s">
        <v>2755</v>
      </c>
      <c r="C305" s="260">
        <v>-123768.22</v>
      </c>
      <c r="D305" s="260">
        <v>-96732.9</v>
      </c>
      <c r="E305" s="260">
        <v>-634202.14298000035</v>
      </c>
      <c r="F305" s="335">
        <v>-69384.487425999716</v>
      </c>
      <c r="G305" s="83">
        <f t="shared" si="19"/>
        <v>-924087.75040600006</v>
      </c>
    </row>
    <row r="306" spans="1:7">
      <c r="A306" t="s">
        <v>643</v>
      </c>
      <c r="B306" t="s">
        <v>2552</v>
      </c>
      <c r="C306" s="260">
        <v>71212.98000000004</v>
      </c>
      <c r="D306" s="260">
        <v>6912.71</v>
      </c>
      <c r="E306" s="260">
        <v>-110966.24369600005</v>
      </c>
      <c r="F306" s="335">
        <v>-51596.209300000104</v>
      </c>
      <c r="G306" s="83">
        <f t="shared" si="19"/>
        <v>-84436.762996000107</v>
      </c>
    </row>
    <row r="307" spans="1:7">
      <c r="A307" t="s">
        <v>645</v>
      </c>
      <c r="B307" t="s">
        <v>2505</v>
      </c>
      <c r="C307" s="260">
        <v>-343673.29</v>
      </c>
      <c r="D307" s="260">
        <v>-299778.71000000002</v>
      </c>
      <c r="E307" s="260">
        <v>-896814.27217200014</v>
      </c>
      <c r="F307" s="335">
        <v>-723494.86853799969</v>
      </c>
      <c r="G307" s="83">
        <f t="shared" si="19"/>
        <v>-2263761.1407099999</v>
      </c>
    </row>
    <row r="308" spans="1:7">
      <c r="A308" t="s">
        <v>647</v>
      </c>
      <c r="B308" t="s">
        <v>2450</v>
      </c>
      <c r="C308" s="260">
        <v>-43557.53</v>
      </c>
      <c r="D308" s="260">
        <v>-49487.59</v>
      </c>
      <c r="E308" s="260">
        <v>-60183.960500000001</v>
      </c>
      <c r="F308" s="335">
        <v>-50533.533744999964</v>
      </c>
      <c r="G308" s="83">
        <f t="shared" si="19"/>
        <v>-203762.61424499995</v>
      </c>
    </row>
    <row r="309" spans="1:7">
      <c r="A309" t="s">
        <v>649</v>
      </c>
      <c r="B309" t="s">
        <v>2532</v>
      </c>
      <c r="C309" s="260">
        <v>-57427.89</v>
      </c>
      <c r="D309" s="260">
        <v>-78947.839999999997</v>
      </c>
      <c r="E309" s="260">
        <v>-15092.509624000013</v>
      </c>
      <c r="F309" s="335">
        <v>100700.509131</v>
      </c>
      <c r="G309" s="83">
        <f t="shared" si="19"/>
        <v>-50767.730492999981</v>
      </c>
    </row>
    <row r="310" spans="1:7">
      <c r="A310" t="s">
        <v>651</v>
      </c>
      <c r="B310" t="s">
        <v>2729</v>
      </c>
      <c r="C310" s="260">
        <v>-157126.20000000001</v>
      </c>
      <c r="D310" s="260">
        <v>-162016.4</v>
      </c>
      <c r="E310" s="260">
        <v>-109092.65642199997</v>
      </c>
      <c r="F310" s="335">
        <v>-101983.24753600001</v>
      </c>
      <c r="G310" s="83">
        <f t="shared" si="19"/>
        <v>-530218.50395799999</v>
      </c>
    </row>
    <row r="311" spans="1:7">
      <c r="A311" t="s">
        <v>653</v>
      </c>
      <c r="B311" t="s">
        <v>2489</v>
      </c>
      <c r="C311" s="260">
        <v>-296014.12</v>
      </c>
      <c r="D311" s="260">
        <v>-412089.25</v>
      </c>
      <c r="E311" s="260">
        <v>46206.384793000005</v>
      </c>
      <c r="F311" s="335">
        <v>402463.71014592284</v>
      </c>
      <c r="G311" s="83">
        <f t="shared" si="19"/>
        <v>-259433.27506107721</v>
      </c>
    </row>
    <row r="312" spans="1:7">
      <c r="A312" t="s">
        <v>655</v>
      </c>
      <c r="B312" t="s">
        <v>2756</v>
      </c>
      <c r="C312" s="260">
        <v>-366324.28</v>
      </c>
      <c r="D312" s="260">
        <v>-375453.15</v>
      </c>
      <c r="E312" s="260">
        <v>-293712.58326100017</v>
      </c>
      <c r="F312" s="335">
        <v>-172702.87323200004</v>
      </c>
      <c r="G312" s="83">
        <f t="shared" si="19"/>
        <v>-1208192.8864930002</v>
      </c>
    </row>
    <row r="313" spans="1:7">
      <c r="A313" t="s">
        <v>657</v>
      </c>
      <c r="B313" t="s">
        <v>2757</v>
      </c>
      <c r="C313" s="260">
        <v>879632.47999999847</v>
      </c>
      <c r="D313" s="260">
        <v>-214225.98</v>
      </c>
      <c r="E313" s="260">
        <v>-207440.16727335087</v>
      </c>
      <c r="F313" s="335">
        <v>332429.59180651046</v>
      </c>
      <c r="G313" s="83">
        <f t="shared" si="19"/>
        <v>790395.92453315808</v>
      </c>
    </row>
    <row r="314" spans="1:7">
      <c r="A314" s="367" t="s">
        <v>659</v>
      </c>
      <c r="B314" s="363" t="s">
        <v>660</v>
      </c>
      <c r="C314" s="260"/>
      <c r="D314" s="260"/>
      <c r="E314" s="260"/>
      <c r="F314" s="335"/>
      <c r="G314" s="83"/>
    </row>
    <row r="315" spans="1:7">
      <c r="A315" t="s">
        <v>661</v>
      </c>
      <c r="B315" t="s">
        <v>2649</v>
      </c>
      <c r="C315" s="260">
        <v>-46421.3</v>
      </c>
      <c r="D315" s="260">
        <v>1124.96</v>
      </c>
      <c r="E315" s="260">
        <v>-74967.085432000007</v>
      </c>
      <c r="F315" s="335">
        <v>-52356.277533999993</v>
      </c>
      <c r="G315" s="83">
        <f>SUM(C315:F315)</f>
        <v>-172619.70296600001</v>
      </c>
    </row>
    <row r="316" spans="1:7">
      <c r="A316" t="s">
        <v>663</v>
      </c>
      <c r="B316" t="s">
        <v>2700</v>
      </c>
      <c r="C316" s="260">
        <v>-283061.59999999998</v>
      </c>
      <c r="D316" s="260">
        <v>-306850.28999999998</v>
      </c>
      <c r="E316" s="260">
        <v>-163400.14934709825</v>
      </c>
      <c r="F316" s="335">
        <v>77558.735797837842</v>
      </c>
      <c r="G316" s="83">
        <f>SUM(C316:F316)</f>
        <v>-675753.30354926037</v>
      </c>
    </row>
    <row r="317" spans="1:7">
      <c r="A317" t="s">
        <v>665</v>
      </c>
      <c r="B317" t="s">
        <v>2635</v>
      </c>
      <c r="C317" s="260">
        <v>-107475.51</v>
      </c>
      <c r="D317" s="260">
        <v>-66289.67</v>
      </c>
      <c r="E317" s="260">
        <v>-115197.94454099993</v>
      </c>
      <c r="F317" s="335">
        <v>-164487.44099800009</v>
      </c>
      <c r="G317" s="83">
        <f>SUM(C317:F317)</f>
        <v>-453450.56553900003</v>
      </c>
    </row>
    <row r="318" spans="1:7">
      <c r="A318" s="363" t="s">
        <v>667</v>
      </c>
      <c r="B318" s="363" t="s">
        <v>668</v>
      </c>
      <c r="C318" s="260"/>
      <c r="D318" s="260"/>
      <c r="E318" s="260"/>
      <c r="F318" s="335"/>
      <c r="G318" s="83"/>
    </row>
    <row r="319" spans="1:7">
      <c r="A319" t="s">
        <v>669</v>
      </c>
      <c r="B319" t="s">
        <v>2656</v>
      </c>
      <c r="C319" s="260">
        <v>-76093.259999999995</v>
      </c>
      <c r="D319" s="260">
        <v>-38670.03</v>
      </c>
      <c r="E319" s="260">
        <v>-43541.05119999998</v>
      </c>
      <c r="F319" s="335">
        <v>-53494.41510800003</v>
      </c>
      <c r="G319" s="83">
        <f t="shared" ref="G319:G325" si="20">SUM(C319:F319)</f>
        <v>-211798.75630800001</v>
      </c>
    </row>
    <row r="320" spans="1:7">
      <c r="A320" t="s">
        <v>671</v>
      </c>
      <c r="B320" t="s">
        <v>2682</v>
      </c>
      <c r="C320" s="260">
        <v>-105432.14</v>
      </c>
      <c r="D320" s="260">
        <v>-170972.2</v>
      </c>
      <c r="E320" s="260">
        <v>-288005.93802199996</v>
      </c>
      <c r="F320" s="335">
        <v>9167.1672499999404</v>
      </c>
      <c r="G320" s="83">
        <f t="shared" si="20"/>
        <v>-555243.11077200004</v>
      </c>
    </row>
    <row r="321" spans="1:7">
      <c r="A321" t="s">
        <v>673</v>
      </c>
      <c r="B321" t="s">
        <v>2563</v>
      </c>
      <c r="C321" s="260">
        <v>-55906.86</v>
      </c>
      <c r="D321" s="260">
        <v>-83908.84</v>
      </c>
      <c r="E321" s="260">
        <v>-72475.34554900002</v>
      </c>
      <c r="F321" s="335">
        <v>-79016.058656000037</v>
      </c>
      <c r="G321" s="83">
        <f t="shared" si="20"/>
        <v>-291307.1042050001</v>
      </c>
    </row>
    <row r="322" spans="1:7">
      <c r="A322" t="s">
        <v>675</v>
      </c>
      <c r="B322" t="s">
        <v>2641</v>
      </c>
      <c r="C322" s="260">
        <v>-62438.5</v>
      </c>
      <c r="D322" s="260">
        <v>-14349.66</v>
      </c>
      <c r="E322" s="260">
        <v>42483.526553999982</v>
      </c>
      <c r="F322" s="335">
        <v>97741.121449000086</v>
      </c>
      <c r="G322" s="83">
        <f t="shared" si="20"/>
        <v>63436.488003000064</v>
      </c>
    </row>
    <row r="323" spans="1:7">
      <c r="A323" t="s">
        <v>677</v>
      </c>
      <c r="B323" t="s">
        <v>2579</v>
      </c>
      <c r="C323" s="260">
        <v>-108446.71</v>
      </c>
      <c r="D323" s="260">
        <v>-110383.79</v>
      </c>
      <c r="E323" s="260">
        <v>-103574.16147499997</v>
      </c>
      <c r="F323" s="335">
        <v>-37661.878171999997</v>
      </c>
      <c r="G323" s="83">
        <f t="shared" si="20"/>
        <v>-360066.53964699997</v>
      </c>
    </row>
    <row r="324" spans="1:7">
      <c r="A324" t="s">
        <v>679</v>
      </c>
      <c r="B324" t="s">
        <v>2632</v>
      </c>
      <c r="C324" s="260">
        <v>-48157.14</v>
      </c>
      <c r="D324" s="260">
        <v>-44761.71</v>
      </c>
      <c r="E324" s="260">
        <v>-57296.189064999984</v>
      </c>
      <c r="F324" s="335">
        <v>-78427.886859000006</v>
      </c>
      <c r="G324" s="83">
        <f t="shared" si="20"/>
        <v>-228642.92592399998</v>
      </c>
    </row>
    <row r="325" spans="1:7">
      <c r="A325" t="s">
        <v>681</v>
      </c>
      <c r="B325" t="s">
        <v>2519</v>
      </c>
      <c r="C325" s="260">
        <v>-305555.77</v>
      </c>
      <c r="D325" s="260">
        <v>-377773.06</v>
      </c>
      <c r="E325" s="260">
        <v>-229255.84471503797</v>
      </c>
      <c r="F325" s="335">
        <v>1415.1297085063998</v>
      </c>
      <c r="G325" s="83">
        <f t="shared" si="20"/>
        <v>-911169.54500653164</v>
      </c>
    </row>
    <row r="326" spans="1:7">
      <c r="A326" s="361" t="s">
        <v>683</v>
      </c>
      <c r="B326" s="356" t="s">
        <v>684</v>
      </c>
      <c r="C326" s="260"/>
      <c r="D326" s="260"/>
      <c r="E326" s="260"/>
      <c r="F326" s="335"/>
      <c r="G326" s="83"/>
    </row>
    <row r="327" spans="1:7">
      <c r="A327" t="s">
        <v>685</v>
      </c>
      <c r="B327" t="s">
        <v>2752</v>
      </c>
      <c r="C327" s="260">
        <v>-712592.97</v>
      </c>
      <c r="D327" s="260">
        <v>157306.76999999999</v>
      </c>
      <c r="E327" s="260">
        <v>-1514614.0038770013</v>
      </c>
      <c r="F327" s="335">
        <v>196354.84221991152</v>
      </c>
      <c r="G327" s="83">
        <f>SUM(C327:F327)</f>
        <v>-1873545.3616570898</v>
      </c>
    </row>
    <row r="328" spans="1:7">
      <c r="A328" t="s">
        <v>687</v>
      </c>
      <c r="B328" t="s">
        <v>2736</v>
      </c>
      <c r="C328" s="260">
        <v>-333871.56</v>
      </c>
      <c r="D328" s="260">
        <v>-247312.31</v>
      </c>
      <c r="E328" s="260">
        <v>-238986.80312251349</v>
      </c>
      <c r="F328" s="335">
        <v>326998.01197269652</v>
      </c>
      <c r="G328" s="83">
        <f>SUM(C328:F328)</f>
        <v>-493172.66114981694</v>
      </c>
    </row>
    <row r="329" spans="1:7">
      <c r="A329" t="s">
        <v>689</v>
      </c>
      <c r="B329" t="s">
        <v>2754</v>
      </c>
      <c r="C329" s="260">
        <v>-122254.42</v>
      </c>
      <c r="D329" s="260">
        <v>-137407.32</v>
      </c>
      <c r="E329" s="260">
        <v>-124435.76404500002</v>
      </c>
      <c r="F329" s="335">
        <v>-125383.23474099988</v>
      </c>
      <c r="G329" s="83">
        <f>SUM(C329:F329)</f>
        <v>-509480.73878599989</v>
      </c>
    </row>
    <row r="330" spans="1:7">
      <c r="A330"/>
      <c r="B330"/>
    </row>
    <row r="331" spans="1:7">
      <c r="A331"/>
      <c r="B331"/>
      <c r="C331" s="260"/>
      <c r="D331" s="260"/>
      <c r="E331" s="260"/>
      <c r="F331" s="335"/>
      <c r="G331" s="83"/>
    </row>
    <row r="332" spans="1:7">
      <c r="A332"/>
      <c r="B332"/>
      <c r="C332" s="260"/>
      <c r="D332" s="260"/>
      <c r="E332" s="260"/>
      <c r="F332" s="335"/>
      <c r="G332" s="83"/>
    </row>
    <row r="333" spans="1:7">
      <c r="A333"/>
      <c r="B333"/>
    </row>
    <row r="334" spans="1:7">
      <c r="A334"/>
      <c r="B334"/>
    </row>
    <row r="335" spans="1:7">
      <c r="A335"/>
      <c r="B335"/>
    </row>
    <row r="336" spans="1:7">
      <c r="A336"/>
      <c r="B336"/>
    </row>
    <row r="337" spans="1:2">
      <c r="A337"/>
      <c r="B337"/>
    </row>
    <row r="338" spans="1:2">
      <c r="A338"/>
      <c r="B338"/>
    </row>
    <row r="339" spans="1:2">
      <c r="A339"/>
      <c r="B339"/>
    </row>
    <row r="340" spans="1:2">
      <c r="A340"/>
      <c r="B340"/>
    </row>
    <row r="341" spans="1:2">
      <c r="A341"/>
      <c r="B341"/>
    </row>
    <row r="342" spans="1:2">
      <c r="A342"/>
      <c r="B342"/>
    </row>
    <row r="343" spans="1:2">
      <c r="A343"/>
      <c r="B343"/>
    </row>
    <row r="344" spans="1:2">
      <c r="A344"/>
      <c r="B344"/>
    </row>
  </sheetData>
  <conditionalFormatting sqref="B22">
    <cfRule type="duplicateValues" dxfId="4" priority="1"/>
  </conditionalFormatting>
  <conditionalFormatting sqref="B211">
    <cfRule type="duplicateValues" dxfId="3" priority="3"/>
  </conditionalFormatting>
  <conditionalFormatting sqref="B311">
    <cfRule type="duplicateValues" dxfId="2" priority="2"/>
  </conditionalFormatting>
  <conditionalFormatting sqref="G2 G4:G17 G19:G41 G43:G62 G64:G123 G130:G135 G138:G143 G145 G147:G148 G150:G310 G331:G332">
    <cfRule type="cellIs" dxfId="1" priority="17" operator="greaterThan">
      <formula>0</formula>
    </cfRule>
  </conditionalFormatting>
  <conditionalFormatting sqref="G319">
    <cfRule type="cellIs" dxfId="0" priority="8" operator="greaterThan">
      <formula>0</formula>
    </cfRule>
  </conditionalFormatting>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26"/>
  <sheetViews>
    <sheetView workbookViewId="0">
      <selection activeCell="F3" sqref="F3"/>
    </sheetView>
  </sheetViews>
  <sheetFormatPr defaultRowHeight="15"/>
  <cols>
    <col min="1" max="1" width="37.28515625" bestFit="1" customWidth="1"/>
  </cols>
  <sheetData>
    <row r="1" spans="1:5">
      <c r="A1" s="437" t="s">
        <v>2758</v>
      </c>
      <c r="B1" s="437"/>
      <c r="C1" s="437"/>
      <c r="D1" s="437"/>
      <c r="E1" s="437"/>
    </row>
    <row r="2" spans="1:5">
      <c r="A2" s="437" t="s">
        <v>2759</v>
      </c>
      <c r="B2" s="437"/>
      <c r="C2" s="437"/>
      <c r="D2" s="437"/>
      <c r="E2" s="437"/>
    </row>
    <row r="3" spans="1:5">
      <c r="A3" s="6" t="s">
        <v>1241</v>
      </c>
    </row>
    <row r="5" spans="1:5">
      <c r="B5" t="s">
        <v>696</v>
      </c>
      <c r="C5" t="s">
        <v>699</v>
      </c>
      <c r="D5" t="s">
        <v>700</v>
      </c>
      <c r="E5" t="s">
        <v>698</v>
      </c>
    </row>
    <row r="6" spans="1:5">
      <c r="A6" s="7" t="s">
        <v>694</v>
      </c>
      <c r="B6" s="20">
        <f>SUM(B7:B26)</f>
        <v>0</v>
      </c>
      <c r="C6" s="20">
        <f>SUM(C7:C26)</f>
        <v>0</v>
      </c>
      <c r="D6" s="20">
        <f>SUM(D7:D26)</f>
        <v>0</v>
      </c>
      <c r="E6" s="67"/>
    </row>
    <row r="7" spans="1:5">
      <c r="A7" s="11" t="s">
        <v>2760</v>
      </c>
      <c r="B7" s="18">
        <v>0</v>
      </c>
      <c r="C7" s="18">
        <v>0</v>
      </c>
      <c r="D7" s="18">
        <v>0</v>
      </c>
      <c r="E7" s="64"/>
    </row>
    <row r="8" spans="1:5">
      <c r="B8" s="18"/>
      <c r="C8" s="18"/>
      <c r="D8" s="18"/>
      <c r="E8" s="64"/>
    </row>
    <row r="9" spans="1:5">
      <c r="B9" s="18"/>
      <c r="C9" s="18"/>
      <c r="D9" s="18"/>
      <c r="E9" s="64"/>
    </row>
    <row r="10" spans="1:5">
      <c r="B10" s="18"/>
      <c r="C10" s="18"/>
      <c r="D10" s="18"/>
      <c r="E10" s="64"/>
    </row>
    <row r="11" spans="1:5">
      <c r="B11" s="18"/>
      <c r="C11" s="18"/>
      <c r="D11" s="18"/>
      <c r="E11" s="64"/>
    </row>
    <row r="12" spans="1:5">
      <c r="B12" s="18"/>
      <c r="C12" s="18"/>
      <c r="D12" s="18"/>
      <c r="E12" s="64"/>
    </row>
    <row r="13" spans="1:5">
      <c r="B13" s="18"/>
      <c r="C13" s="18"/>
      <c r="D13" s="18"/>
      <c r="E13" s="64"/>
    </row>
    <row r="14" spans="1:5">
      <c r="B14" s="18"/>
      <c r="C14" s="18"/>
      <c r="D14" s="18"/>
      <c r="E14" s="64"/>
    </row>
    <row r="15" spans="1:5">
      <c r="B15" s="18"/>
      <c r="C15" s="18"/>
      <c r="D15" s="18"/>
      <c r="E15" s="64"/>
    </row>
    <row r="16" spans="1:5">
      <c r="B16" s="18"/>
      <c r="C16" s="18"/>
      <c r="D16" s="18"/>
      <c r="E16" s="64"/>
    </row>
    <row r="17" spans="2:5">
      <c r="B17" s="18"/>
      <c r="C17" s="18"/>
      <c r="D17" s="18"/>
      <c r="E17" s="64"/>
    </row>
    <row r="18" spans="2:5">
      <c r="B18" s="18"/>
      <c r="C18" s="18"/>
      <c r="D18" s="18"/>
      <c r="E18" s="64"/>
    </row>
    <row r="19" spans="2:5">
      <c r="B19" s="18"/>
      <c r="C19" s="18"/>
      <c r="D19" s="18"/>
      <c r="E19" s="64"/>
    </row>
    <row r="20" spans="2:5">
      <c r="B20" s="18"/>
      <c r="C20" s="18"/>
      <c r="D20" s="18"/>
      <c r="E20" s="64"/>
    </row>
    <row r="21" spans="2:5">
      <c r="B21" s="18"/>
      <c r="C21" s="18"/>
      <c r="D21" s="18"/>
      <c r="E21" s="64"/>
    </row>
    <row r="22" spans="2:5">
      <c r="B22" s="18"/>
      <c r="C22" s="18"/>
      <c r="D22" s="18"/>
      <c r="E22" s="64"/>
    </row>
    <row r="23" spans="2:5">
      <c r="B23" s="18"/>
      <c r="C23" s="18"/>
      <c r="D23" s="18"/>
      <c r="E23" s="64"/>
    </row>
    <row r="24" spans="2:5">
      <c r="B24" s="18"/>
      <c r="C24" s="18"/>
      <c r="D24" s="18"/>
      <c r="E24" s="64"/>
    </row>
    <row r="25" spans="2:5">
      <c r="B25" s="18"/>
      <c r="C25" s="18"/>
      <c r="D25" s="18"/>
      <c r="E25" s="64"/>
    </row>
    <row r="26" spans="2:5">
      <c r="B26" s="18"/>
      <c r="C26" s="18"/>
      <c r="D26" s="18"/>
      <c r="E26" s="64"/>
    </row>
  </sheetData>
  <mergeCells count="2">
    <mergeCell ref="A1:E1"/>
    <mergeCell ref="A2:E2"/>
  </mergeCells>
  <hyperlinks>
    <hyperlink ref="A3" location="'Fund Balance Summary'!A1" display="(Return to summary sheet)" xr:uid="{00000000-0004-0000-0E00-000000000000}"/>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E6"/>
  <sheetViews>
    <sheetView workbookViewId="0">
      <selection sqref="A1:E1"/>
    </sheetView>
  </sheetViews>
  <sheetFormatPr defaultRowHeight="15"/>
  <cols>
    <col min="1" max="1" width="44.5703125" bestFit="1" customWidth="1"/>
    <col min="2" max="2" width="14.28515625" bestFit="1" customWidth="1"/>
    <col min="3" max="3" width="15.28515625" bestFit="1" customWidth="1"/>
    <col min="4" max="4" width="16.28515625" bestFit="1" customWidth="1"/>
    <col min="5" max="5" width="15.28515625" bestFit="1" customWidth="1"/>
  </cols>
  <sheetData>
    <row r="1" spans="1:5">
      <c r="A1" s="437" t="s">
        <v>2761</v>
      </c>
      <c r="B1" s="437"/>
      <c r="C1" s="437"/>
      <c r="D1" s="437"/>
      <c r="E1" s="437"/>
    </row>
    <row r="2" spans="1:5">
      <c r="A2" s="437" t="s">
        <v>2762</v>
      </c>
      <c r="B2" s="437"/>
      <c r="C2" s="437"/>
      <c r="D2" s="437"/>
      <c r="E2" s="437"/>
    </row>
    <row r="3" spans="1:5">
      <c r="A3" s="6" t="s">
        <v>1241</v>
      </c>
    </row>
    <row r="5" spans="1:5">
      <c r="B5" t="s">
        <v>1232</v>
      </c>
      <c r="C5" t="s">
        <v>698</v>
      </c>
      <c r="D5" t="s">
        <v>699</v>
      </c>
      <c r="E5" t="s">
        <v>700</v>
      </c>
    </row>
    <row r="6" spans="1:5">
      <c r="A6" t="s">
        <v>2763</v>
      </c>
      <c r="B6" s="23">
        <v>0</v>
      </c>
      <c r="C6" s="23">
        <v>0</v>
      </c>
      <c r="D6" s="23">
        <v>0</v>
      </c>
      <c r="E6" s="23">
        <v>0</v>
      </c>
    </row>
  </sheetData>
  <mergeCells count="2">
    <mergeCell ref="A1:E1"/>
    <mergeCell ref="A2:E2"/>
  </mergeCells>
  <hyperlinks>
    <hyperlink ref="A3" location="'Fund Balance Summary'!A1" display="(Return to summary sheet)" xr:uid="{00000000-0004-0000-0F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0"/>
  <sheetViews>
    <sheetView workbookViewId="0">
      <pane ySplit="1" topLeftCell="A2" activePane="bottomLeft" state="frozen"/>
      <selection pane="bottomLeft" activeCell="B1" sqref="B1"/>
    </sheetView>
  </sheetViews>
  <sheetFormatPr defaultRowHeight="15"/>
  <cols>
    <col min="1" max="1" width="6.7109375" bestFit="1" customWidth="1"/>
    <col min="2" max="2" width="30.85546875" bestFit="1" customWidth="1"/>
    <col min="3" max="3" width="5.5703125" style="25" bestFit="1" customWidth="1"/>
    <col min="4" max="4" width="6.7109375" style="26" bestFit="1" customWidth="1"/>
    <col min="5" max="5" width="7.7109375" style="26" customWidth="1"/>
    <col min="6" max="6" width="3" bestFit="1" customWidth="1"/>
    <col min="7" max="7" width="5.85546875" customWidth="1"/>
    <col min="8" max="8" width="2" bestFit="1" customWidth="1"/>
    <col min="9" max="9" width="2.7109375" bestFit="1" customWidth="1"/>
    <col min="12" max="12" width="6.7109375" bestFit="1" customWidth="1"/>
    <col min="13" max="13" width="30.85546875" bestFit="1" customWidth="1"/>
    <col min="14" max="14" width="5.5703125" bestFit="1" customWidth="1"/>
    <col min="15" max="15" width="7" bestFit="1" customWidth="1"/>
    <col min="16" max="16" width="7.5703125" bestFit="1" customWidth="1"/>
    <col min="17" max="17" width="3" bestFit="1" customWidth="1"/>
  </cols>
  <sheetData>
    <row r="1" spans="1:17">
      <c r="A1" s="133" t="s">
        <v>25</v>
      </c>
      <c r="B1" s="24" t="s">
        <v>26</v>
      </c>
      <c r="C1" s="357" t="s">
        <v>27</v>
      </c>
      <c r="D1" s="357" t="s">
        <v>28</v>
      </c>
      <c r="E1" s="72" t="s">
        <v>29</v>
      </c>
      <c r="F1">
        <f>SUM(F2:F329)</f>
        <v>97</v>
      </c>
      <c r="H1" s="352">
        <f>SUM(H2:H329)</f>
        <v>1</v>
      </c>
      <c r="I1" s="352">
        <v>2</v>
      </c>
      <c r="L1" s="133" t="s">
        <v>25</v>
      </c>
      <c r="M1" s="24" t="s">
        <v>30</v>
      </c>
      <c r="N1" s="72" t="s">
        <v>27</v>
      </c>
      <c r="O1" s="72" t="s">
        <v>28</v>
      </c>
      <c r="P1" s="72" t="s">
        <v>29</v>
      </c>
      <c r="Q1">
        <f>SUM(Q2:Q329)</f>
        <v>99</v>
      </c>
    </row>
    <row r="2" spans="1:17">
      <c r="A2" s="195" t="s">
        <v>31</v>
      </c>
      <c r="B2" s="196" t="s">
        <v>32</v>
      </c>
      <c r="C2" s="189">
        <v>1</v>
      </c>
      <c r="D2" s="189" t="s">
        <v>33</v>
      </c>
      <c r="E2" s="73" t="s">
        <v>34</v>
      </c>
      <c r="F2" s="197">
        <f t="shared" ref="F2:F65" si="0">IF(+D2="cash",1,0)</f>
        <v>0</v>
      </c>
      <c r="G2" s="198"/>
      <c r="H2">
        <v>0</v>
      </c>
      <c r="I2" s="46">
        <v>0</v>
      </c>
      <c r="L2" s="195" t="s">
        <v>31</v>
      </c>
      <c r="M2" s="196" t="s">
        <v>32</v>
      </c>
      <c r="N2" s="73">
        <v>1</v>
      </c>
      <c r="O2" s="73" t="s">
        <v>33</v>
      </c>
      <c r="P2" s="73" t="s">
        <v>34</v>
      </c>
      <c r="Q2" s="197">
        <f t="shared" ref="Q2:Q65" si="1">IF(+O2="cash",1,0)</f>
        <v>0</v>
      </c>
    </row>
    <row r="3" spans="1:17">
      <c r="A3" s="195" t="s">
        <v>35</v>
      </c>
      <c r="B3" s="196" t="s">
        <v>36</v>
      </c>
      <c r="C3" s="189">
        <v>2</v>
      </c>
      <c r="D3" s="189" t="s">
        <v>33</v>
      </c>
      <c r="E3" s="73" t="s">
        <v>34</v>
      </c>
      <c r="F3" s="197">
        <f t="shared" si="0"/>
        <v>0</v>
      </c>
      <c r="G3" s="198"/>
      <c r="H3">
        <v>0</v>
      </c>
      <c r="I3" s="46">
        <v>0</v>
      </c>
      <c r="L3" s="195" t="s">
        <v>35</v>
      </c>
      <c r="M3" s="196" t="s">
        <v>36</v>
      </c>
      <c r="N3" s="73">
        <v>2</v>
      </c>
      <c r="O3" s="73" t="s">
        <v>33</v>
      </c>
      <c r="P3" s="73" t="s">
        <v>34</v>
      </c>
      <c r="Q3" s="197">
        <f t="shared" si="1"/>
        <v>0</v>
      </c>
    </row>
    <row r="4" spans="1:17">
      <c r="A4" s="195" t="s">
        <v>37</v>
      </c>
      <c r="B4" s="196" t="s">
        <v>38</v>
      </c>
      <c r="C4" s="189">
        <v>2</v>
      </c>
      <c r="D4" s="189" t="s">
        <v>39</v>
      </c>
      <c r="E4" s="73" t="s">
        <v>40</v>
      </c>
      <c r="F4" s="197">
        <f t="shared" si="0"/>
        <v>1</v>
      </c>
      <c r="G4" s="198"/>
      <c r="H4">
        <v>0</v>
      </c>
      <c r="I4" s="46">
        <v>0</v>
      </c>
      <c r="L4" s="195" t="s">
        <v>37</v>
      </c>
      <c r="M4" s="196" t="s">
        <v>38</v>
      </c>
      <c r="N4" s="73">
        <v>2</v>
      </c>
      <c r="O4" s="73" t="s">
        <v>39</v>
      </c>
      <c r="P4" s="73" t="s">
        <v>40</v>
      </c>
      <c r="Q4" s="197">
        <f t="shared" si="1"/>
        <v>1</v>
      </c>
    </row>
    <row r="5" spans="1:17">
      <c r="A5" s="195" t="s">
        <v>41</v>
      </c>
      <c r="B5" s="196" t="s">
        <v>42</v>
      </c>
      <c r="C5" s="189">
        <v>1</v>
      </c>
      <c r="D5" s="189" t="s">
        <v>33</v>
      </c>
      <c r="E5" s="73" t="s">
        <v>34</v>
      </c>
      <c r="F5" s="197">
        <f t="shared" si="0"/>
        <v>0</v>
      </c>
      <c r="G5" s="198"/>
      <c r="H5">
        <v>0</v>
      </c>
      <c r="I5" s="46">
        <v>0</v>
      </c>
      <c r="L5" s="195" t="s">
        <v>41</v>
      </c>
      <c r="M5" s="196" t="s">
        <v>42</v>
      </c>
      <c r="N5" s="73">
        <v>1</v>
      </c>
      <c r="O5" s="73" t="s">
        <v>33</v>
      </c>
      <c r="P5" s="73" t="s">
        <v>34</v>
      </c>
      <c r="Q5" s="197">
        <f t="shared" si="1"/>
        <v>0</v>
      </c>
    </row>
    <row r="6" spans="1:17">
      <c r="A6" s="195" t="s">
        <v>43</v>
      </c>
      <c r="B6" s="196" t="s">
        <v>44</v>
      </c>
      <c r="C6" s="189">
        <v>1</v>
      </c>
      <c r="D6" s="189" t="s">
        <v>33</v>
      </c>
      <c r="E6" s="73" t="s">
        <v>34</v>
      </c>
      <c r="F6" s="197">
        <f t="shared" si="0"/>
        <v>0</v>
      </c>
      <c r="G6" s="198"/>
      <c r="H6">
        <v>0</v>
      </c>
      <c r="I6" s="46">
        <v>0</v>
      </c>
      <c r="L6" s="195" t="s">
        <v>43</v>
      </c>
      <c r="M6" s="196" t="s">
        <v>44</v>
      </c>
      <c r="N6" s="73">
        <v>1</v>
      </c>
      <c r="O6" s="73" t="s">
        <v>33</v>
      </c>
      <c r="P6" s="73" t="s">
        <v>34</v>
      </c>
      <c r="Q6" s="197">
        <f t="shared" si="1"/>
        <v>0</v>
      </c>
    </row>
    <row r="7" spans="1:17">
      <c r="A7" s="195" t="s">
        <v>45</v>
      </c>
      <c r="B7" s="196" t="s">
        <v>46</v>
      </c>
      <c r="C7" s="189">
        <v>2</v>
      </c>
      <c r="D7" s="189" t="s">
        <v>39</v>
      </c>
      <c r="E7" s="73" t="s">
        <v>34</v>
      </c>
      <c r="F7" s="197">
        <f t="shared" si="0"/>
        <v>1</v>
      </c>
      <c r="G7" s="198"/>
      <c r="H7">
        <v>0</v>
      </c>
      <c r="I7" s="46">
        <v>0</v>
      </c>
      <c r="L7" s="195" t="s">
        <v>45</v>
      </c>
      <c r="M7" s="196" t="s">
        <v>46</v>
      </c>
      <c r="N7" s="73">
        <v>2</v>
      </c>
      <c r="O7" s="73" t="s">
        <v>39</v>
      </c>
      <c r="P7" s="73" t="s">
        <v>34</v>
      </c>
      <c r="Q7" s="197">
        <f t="shared" si="1"/>
        <v>1</v>
      </c>
    </row>
    <row r="8" spans="1:17">
      <c r="A8" s="195" t="s">
        <v>47</v>
      </c>
      <c r="B8" s="196" t="s">
        <v>48</v>
      </c>
      <c r="C8" s="189">
        <v>1</v>
      </c>
      <c r="D8" s="189" t="s">
        <v>33</v>
      </c>
      <c r="E8" s="73" t="s">
        <v>34</v>
      </c>
      <c r="F8" s="197">
        <f t="shared" si="0"/>
        <v>0</v>
      </c>
      <c r="G8" s="198"/>
      <c r="H8">
        <v>0</v>
      </c>
      <c r="I8" s="46">
        <v>0</v>
      </c>
      <c r="L8" s="195" t="s">
        <v>47</v>
      </c>
      <c r="M8" s="196" t="s">
        <v>48</v>
      </c>
      <c r="N8" s="73">
        <v>1</v>
      </c>
      <c r="O8" s="73" t="s">
        <v>33</v>
      </c>
      <c r="P8" s="73" t="s">
        <v>34</v>
      </c>
      <c r="Q8" s="197">
        <f t="shared" si="1"/>
        <v>0</v>
      </c>
    </row>
    <row r="9" spans="1:17">
      <c r="A9" s="195" t="s">
        <v>49</v>
      </c>
      <c r="B9" s="196" t="s">
        <v>50</v>
      </c>
      <c r="C9" s="189">
        <v>1</v>
      </c>
      <c r="D9" s="189" t="s">
        <v>33</v>
      </c>
      <c r="E9" s="73" t="s">
        <v>34</v>
      </c>
      <c r="F9" s="197">
        <f t="shared" si="0"/>
        <v>0</v>
      </c>
      <c r="G9" s="198"/>
      <c r="H9">
        <v>0</v>
      </c>
      <c r="I9" s="46">
        <v>0</v>
      </c>
      <c r="L9" s="195" t="s">
        <v>49</v>
      </c>
      <c r="M9" s="196" t="s">
        <v>50</v>
      </c>
      <c r="N9" s="73">
        <v>1</v>
      </c>
      <c r="O9" s="73" t="s">
        <v>33</v>
      </c>
      <c r="P9" s="73" t="s">
        <v>34</v>
      </c>
      <c r="Q9" s="197">
        <f t="shared" si="1"/>
        <v>0</v>
      </c>
    </row>
    <row r="10" spans="1:17">
      <c r="A10" s="195" t="s">
        <v>51</v>
      </c>
      <c r="B10" s="196" t="s">
        <v>52</v>
      </c>
      <c r="C10" s="189">
        <v>1</v>
      </c>
      <c r="D10" s="189" t="s">
        <v>33</v>
      </c>
      <c r="E10" s="73" t="s">
        <v>34</v>
      </c>
      <c r="F10" s="197">
        <f t="shared" si="0"/>
        <v>0</v>
      </c>
      <c r="G10" s="198"/>
      <c r="H10">
        <v>0</v>
      </c>
      <c r="I10" s="46">
        <v>0</v>
      </c>
      <c r="L10" s="195" t="s">
        <v>51</v>
      </c>
      <c r="M10" s="196" t="s">
        <v>52</v>
      </c>
      <c r="N10" s="73">
        <v>1</v>
      </c>
      <c r="O10" s="73" t="s">
        <v>33</v>
      </c>
      <c r="P10" s="73" t="s">
        <v>34</v>
      </c>
      <c r="Q10" s="197">
        <f t="shared" si="1"/>
        <v>0</v>
      </c>
    </row>
    <row r="11" spans="1:17">
      <c r="A11" s="195" t="s">
        <v>53</v>
      </c>
      <c r="B11" s="196" t="s">
        <v>54</v>
      </c>
      <c r="C11" s="189">
        <v>1</v>
      </c>
      <c r="D11" s="189" t="s">
        <v>33</v>
      </c>
      <c r="E11" s="73" t="s">
        <v>34</v>
      </c>
      <c r="F11" s="197">
        <f t="shared" si="0"/>
        <v>0</v>
      </c>
      <c r="G11" s="198"/>
      <c r="H11">
        <v>0</v>
      </c>
      <c r="I11" s="46">
        <v>0</v>
      </c>
      <c r="L11" s="195" t="s">
        <v>53</v>
      </c>
      <c r="M11" s="196" t="s">
        <v>54</v>
      </c>
      <c r="N11" s="73">
        <v>1</v>
      </c>
      <c r="O11" s="73" t="s">
        <v>33</v>
      </c>
      <c r="P11" s="73" t="s">
        <v>34</v>
      </c>
      <c r="Q11" s="197">
        <f t="shared" si="1"/>
        <v>0</v>
      </c>
    </row>
    <row r="12" spans="1:17">
      <c r="A12" s="195" t="s">
        <v>55</v>
      </c>
      <c r="B12" s="196" t="s">
        <v>56</v>
      </c>
      <c r="C12" s="189">
        <v>1</v>
      </c>
      <c r="D12" s="189" t="s">
        <v>33</v>
      </c>
      <c r="E12" s="73" t="s">
        <v>34</v>
      </c>
      <c r="F12" s="197">
        <f t="shared" si="0"/>
        <v>0</v>
      </c>
      <c r="G12" s="198"/>
      <c r="H12">
        <v>0</v>
      </c>
      <c r="I12" s="46">
        <v>0</v>
      </c>
      <c r="L12" s="195" t="s">
        <v>55</v>
      </c>
      <c r="M12" s="196" t="s">
        <v>56</v>
      </c>
      <c r="N12" s="73">
        <v>1</v>
      </c>
      <c r="O12" s="73" t="s">
        <v>33</v>
      </c>
      <c r="P12" s="73" t="s">
        <v>34</v>
      </c>
      <c r="Q12" s="197">
        <f t="shared" si="1"/>
        <v>0</v>
      </c>
    </row>
    <row r="13" spans="1:17">
      <c r="A13" s="195" t="s">
        <v>57</v>
      </c>
      <c r="B13" s="196" t="s">
        <v>58</v>
      </c>
      <c r="C13" s="189">
        <v>2</v>
      </c>
      <c r="D13" s="189" t="s">
        <v>39</v>
      </c>
      <c r="E13" s="73" t="s">
        <v>40</v>
      </c>
      <c r="F13" s="197">
        <f t="shared" si="0"/>
        <v>1</v>
      </c>
      <c r="G13" s="198"/>
      <c r="H13">
        <v>0</v>
      </c>
      <c r="I13" s="46">
        <v>0</v>
      </c>
      <c r="L13" s="195" t="s">
        <v>57</v>
      </c>
      <c r="M13" s="196" t="s">
        <v>58</v>
      </c>
      <c r="N13" s="73">
        <v>2</v>
      </c>
      <c r="O13" s="73" t="s">
        <v>39</v>
      </c>
      <c r="P13" s="73" t="s">
        <v>40</v>
      </c>
      <c r="Q13" s="197">
        <f t="shared" si="1"/>
        <v>1</v>
      </c>
    </row>
    <row r="14" spans="1:17">
      <c r="A14" s="195" t="s">
        <v>59</v>
      </c>
      <c r="B14" s="196" t="s">
        <v>60</v>
      </c>
      <c r="C14" s="189">
        <v>1</v>
      </c>
      <c r="D14" s="189" t="s">
        <v>33</v>
      </c>
      <c r="E14" s="73" t="s">
        <v>34</v>
      </c>
      <c r="F14" s="197">
        <f t="shared" si="0"/>
        <v>0</v>
      </c>
      <c r="G14" s="198"/>
      <c r="H14">
        <v>0</v>
      </c>
      <c r="I14" s="46">
        <v>0</v>
      </c>
      <c r="L14" s="195" t="s">
        <v>59</v>
      </c>
      <c r="M14" s="196" t="s">
        <v>60</v>
      </c>
      <c r="N14" s="73">
        <v>1</v>
      </c>
      <c r="O14" s="73" t="s">
        <v>33</v>
      </c>
      <c r="P14" s="73" t="s">
        <v>34</v>
      </c>
      <c r="Q14" s="197">
        <f t="shared" si="1"/>
        <v>0</v>
      </c>
    </row>
    <row r="15" spans="1:17">
      <c r="A15" s="195" t="s">
        <v>61</v>
      </c>
      <c r="B15" s="196" t="s">
        <v>62</v>
      </c>
      <c r="C15" s="189">
        <v>2</v>
      </c>
      <c r="D15" s="189" t="s">
        <v>39</v>
      </c>
      <c r="E15" s="73" t="s">
        <v>34</v>
      </c>
      <c r="F15" s="197">
        <f t="shared" si="0"/>
        <v>1</v>
      </c>
      <c r="G15" s="198"/>
      <c r="H15">
        <v>0</v>
      </c>
      <c r="I15" s="46">
        <v>0</v>
      </c>
      <c r="L15" s="195" t="s">
        <v>61</v>
      </c>
      <c r="M15" s="196" t="s">
        <v>62</v>
      </c>
      <c r="N15" s="73">
        <v>2</v>
      </c>
      <c r="O15" s="73" t="s">
        <v>39</v>
      </c>
      <c r="P15" s="73" t="s">
        <v>34</v>
      </c>
      <c r="Q15" s="197">
        <f t="shared" si="1"/>
        <v>1</v>
      </c>
    </row>
    <row r="16" spans="1:17">
      <c r="A16" s="195" t="s">
        <v>63</v>
      </c>
      <c r="B16" s="196" t="s">
        <v>64</v>
      </c>
      <c r="C16" s="189">
        <v>1</v>
      </c>
      <c r="D16" s="189" t="s">
        <v>33</v>
      </c>
      <c r="E16" s="73" t="s">
        <v>34</v>
      </c>
      <c r="F16" s="197">
        <f t="shared" si="0"/>
        <v>0</v>
      </c>
      <c r="G16" s="198"/>
      <c r="H16">
        <v>0</v>
      </c>
      <c r="I16" s="46">
        <v>0</v>
      </c>
      <c r="L16" s="195" t="s">
        <v>63</v>
      </c>
      <c r="M16" s="196" t="s">
        <v>64</v>
      </c>
      <c r="N16" s="73">
        <v>1</v>
      </c>
      <c r="O16" s="73" t="s">
        <v>33</v>
      </c>
      <c r="P16" s="73" t="s">
        <v>34</v>
      </c>
      <c r="Q16" s="197">
        <f t="shared" si="1"/>
        <v>0</v>
      </c>
    </row>
    <row r="17" spans="1:17">
      <c r="A17" s="195" t="s">
        <v>65</v>
      </c>
      <c r="B17" s="196" t="s">
        <v>66</v>
      </c>
      <c r="C17" s="189">
        <v>2</v>
      </c>
      <c r="D17" s="189" t="s">
        <v>39</v>
      </c>
      <c r="E17" s="73" t="s">
        <v>40</v>
      </c>
      <c r="F17" s="197">
        <f t="shared" si="0"/>
        <v>1</v>
      </c>
      <c r="G17" s="198"/>
      <c r="H17">
        <v>0</v>
      </c>
      <c r="I17" s="46">
        <v>0</v>
      </c>
      <c r="L17" s="195" t="s">
        <v>65</v>
      </c>
      <c r="M17" s="196" t="s">
        <v>66</v>
      </c>
      <c r="N17" s="73">
        <v>2</v>
      </c>
      <c r="O17" s="73" t="s">
        <v>39</v>
      </c>
      <c r="P17" s="73" t="s">
        <v>40</v>
      </c>
      <c r="Q17" s="197">
        <f t="shared" si="1"/>
        <v>1</v>
      </c>
    </row>
    <row r="18" spans="1:17">
      <c r="A18" s="195" t="s">
        <v>67</v>
      </c>
      <c r="B18" s="196" t="s">
        <v>68</v>
      </c>
      <c r="C18" s="189">
        <v>1</v>
      </c>
      <c r="D18" s="189" t="s">
        <v>33</v>
      </c>
      <c r="E18" s="73" t="s">
        <v>34</v>
      </c>
      <c r="F18" s="197">
        <f t="shared" si="0"/>
        <v>0</v>
      </c>
      <c r="G18" s="198"/>
      <c r="H18">
        <v>0</v>
      </c>
      <c r="I18" s="46">
        <v>0</v>
      </c>
      <c r="L18" s="195" t="s">
        <v>67</v>
      </c>
      <c r="M18" s="196" t="s">
        <v>68</v>
      </c>
      <c r="N18" s="73">
        <v>1</v>
      </c>
      <c r="O18" s="73" t="s">
        <v>33</v>
      </c>
      <c r="P18" s="73" t="s">
        <v>34</v>
      </c>
      <c r="Q18" s="197">
        <f t="shared" si="1"/>
        <v>0</v>
      </c>
    </row>
    <row r="19" spans="1:17">
      <c r="A19" s="195" t="s">
        <v>69</v>
      </c>
      <c r="B19" s="196" t="s">
        <v>70</v>
      </c>
      <c r="C19" s="189">
        <v>2</v>
      </c>
      <c r="D19" s="189" t="s">
        <v>33</v>
      </c>
      <c r="E19" s="73" t="s">
        <v>34</v>
      </c>
      <c r="F19" s="197">
        <f t="shared" si="0"/>
        <v>0</v>
      </c>
      <c r="G19" s="198"/>
      <c r="H19">
        <v>0</v>
      </c>
      <c r="I19" s="46">
        <v>0</v>
      </c>
      <c r="L19" s="195" t="s">
        <v>69</v>
      </c>
      <c r="M19" s="196" t="s">
        <v>70</v>
      </c>
      <c r="N19" s="73">
        <v>2</v>
      </c>
      <c r="O19" s="73" t="s">
        <v>33</v>
      </c>
      <c r="P19" s="73" t="s">
        <v>34</v>
      </c>
      <c r="Q19" s="197">
        <f t="shared" si="1"/>
        <v>0</v>
      </c>
    </row>
    <row r="20" spans="1:17">
      <c r="A20" s="195" t="s">
        <v>71</v>
      </c>
      <c r="B20" s="196" t="s">
        <v>72</v>
      </c>
      <c r="C20" s="189">
        <v>2</v>
      </c>
      <c r="D20" s="189" t="s">
        <v>33</v>
      </c>
      <c r="E20" s="73" t="s">
        <v>34</v>
      </c>
      <c r="F20" s="197">
        <f t="shared" si="0"/>
        <v>0</v>
      </c>
      <c r="G20" s="198"/>
      <c r="H20">
        <v>0</v>
      </c>
      <c r="I20" s="46">
        <v>0</v>
      </c>
      <c r="L20" s="195" t="s">
        <v>71</v>
      </c>
      <c r="M20" s="196" t="s">
        <v>72</v>
      </c>
      <c r="N20" s="73">
        <v>2</v>
      </c>
      <c r="O20" s="73" t="s">
        <v>33</v>
      </c>
      <c r="P20" s="73" t="s">
        <v>34</v>
      </c>
      <c r="Q20" s="197">
        <f t="shared" si="1"/>
        <v>0</v>
      </c>
    </row>
    <row r="21" spans="1:17">
      <c r="A21" s="195" t="s">
        <v>73</v>
      </c>
      <c r="B21" s="196" t="s">
        <v>74</v>
      </c>
      <c r="C21" s="189">
        <v>2</v>
      </c>
      <c r="D21" s="189" t="s">
        <v>39</v>
      </c>
      <c r="E21" s="73" t="s">
        <v>40</v>
      </c>
      <c r="F21" s="197">
        <f t="shared" si="0"/>
        <v>1</v>
      </c>
      <c r="G21" s="198"/>
      <c r="H21">
        <v>0</v>
      </c>
      <c r="I21" s="46">
        <v>0</v>
      </c>
      <c r="L21" s="195" t="s">
        <v>73</v>
      </c>
      <c r="M21" s="196" t="s">
        <v>74</v>
      </c>
      <c r="N21" s="73">
        <v>2</v>
      </c>
      <c r="O21" s="73" t="s">
        <v>39</v>
      </c>
      <c r="P21" s="73" t="s">
        <v>40</v>
      </c>
      <c r="Q21" s="197">
        <f t="shared" si="1"/>
        <v>1</v>
      </c>
    </row>
    <row r="22" spans="1:17">
      <c r="A22" s="195" t="s">
        <v>75</v>
      </c>
      <c r="B22" s="196" t="s">
        <v>76</v>
      </c>
      <c r="C22" s="189">
        <v>1</v>
      </c>
      <c r="D22" s="189" t="s">
        <v>33</v>
      </c>
      <c r="E22" s="73" t="s">
        <v>34</v>
      </c>
      <c r="F22" s="197">
        <f t="shared" si="0"/>
        <v>0</v>
      </c>
      <c r="G22" s="198"/>
      <c r="H22">
        <v>0</v>
      </c>
      <c r="I22" s="46">
        <v>0</v>
      </c>
      <c r="L22" s="195" t="s">
        <v>75</v>
      </c>
      <c r="M22" s="196" t="s">
        <v>76</v>
      </c>
      <c r="N22" s="73">
        <v>1</v>
      </c>
      <c r="O22" s="73" t="s">
        <v>33</v>
      </c>
      <c r="P22" s="73" t="s">
        <v>34</v>
      </c>
      <c r="Q22" s="197">
        <f t="shared" si="1"/>
        <v>0</v>
      </c>
    </row>
    <row r="23" spans="1:17">
      <c r="A23" s="195" t="s">
        <v>77</v>
      </c>
      <c r="B23" s="196" t="s">
        <v>78</v>
      </c>
      <c r="C23" s="189">
        <v>1</v>
      </c>
      <c r="D23" s="189" t="s">
        <v>33</v>
      </c>
      <c r="E23" s="73" t="s">
        <v>34</v>
      </c>
      <c r="F23" s="197">
        <f t="shared" si="0"/>
        <v>0</v>
      </c>
      <c r="G23" s="198"/>
      <c r="H23">
        <v>0</v>
      </c>
      <c r="I23" s="46">
        <v>0</v>
      </c>
      <c r="L23" s="195" t="s">
        <v>77</v>
      </c>
      <c r="M23" s="196" t="s">
        <v>78</v>
      </c>
      <c r="N23" s="73">
        <v>1</v>
      </c>
      <c r="O23" s="73" t="s">
        <v>33</v>
      </c>
      <c r="P23" s="73" t="s">
        <v>34</v>
      </c>
      <c r="Q23" s="197">
        <f t="shared" si="1"/>
        <v>0</v>
      </c>
    </row>
    <row r="24" spans="1:17">
      <c r="A24" s="195" t="s">
        <v>79</v>
      </c>
      <c r="B24" s="196" t="s">
        <v>80</v>
      </c>
      <c r="C24" s="189">
        <v>2</v>
      </c>
      <c r="D24" s="189" t="s">
        <v>33</v>
      </c>
      <c r="E24" s="73" t="s">
        <v>34</v>
      </c>
      <c r="F24" s="197">
        <f t="shared" si="0"/>
        <v>0</v>
      </c>
      <c r="G24" s="198"/>
      <c r="H24">
        <v>0</v>
      </c>
      <c r="I24" s="46">
        <v>0</v>
      </c>
      <c r="L24" s="195" t="s">
        <v>79</v>
      </c>
      <c r="M24" s="196" t="s">
        <v>80</v>
      </c>
      <c r="N24" s="73">
        <v>2</v>
      </c>
      <c r="O24" s="73" t="s">
        <v>33</v>
      </c>
      <c r="P24" s="73" t="s">
        <v>34</v>
      </c>
      <c r="Q24" s="197">
        <f t="shared" si="1"/>
        <v>0</v>
      </c>
    </row>
    <row r="25" spans="1:17">
      <c r="A25" s="195" t="s">
        <v>81</v>
      </c>
      <c r="B25" s="196" t="s">
        <v>82</v>
      </c>
      <c r="C25" s="189">
        <v>2</v>
      </c>
      <c r="D25" s="189" t="s">
        <v>39</v>
      </c>
      <c r="E25" s="73" t="s">
        <v>40</v>
      </c>
      <c r="F25" s="197">
        <f t="shared" si="0"/>
        <v>1</v>
      </c>
      <c r="G25" s="198"/>
      <c r="H25">
        <v>0</v>
      </c>
      <c r="I25" s="46">
        <v>0</v>
      </c>
      <c r="L25" s="195" t="s">
        <v>81</v>
      </c>
      <c r="M25" s="196" t="s">
        <v>82</v>
      </c>
      <c r="N25" s="73">
        <v>2</v>
      </c>
      <c r="O25" s="73" t="s">
        <v>39</v>
      </c>
      <c r="P25" s="73" t="s">
        <v>40</v>
      </c>
      <c r="Q25" s="197">
        <f t="shared" si="1"/>
        <v>1</v>
      </c>
    </row>
    <row r="26" spans="1:17">
      <c r="A26" s="195" t="s">
        <v>83</v>
      </c>
      <c r="B26" s="196" t="s">
        <v>84</v>
      </c>
      <c r="C26" s="189">
        <v>2</v>
      </c>
      <c r="D26" s="189" t="s">
        <v>33</v>
      </c>
      <c r="E26" s="73" t="s">
        <v>34</v>
      </c>
      <c r="F26" s="197">
        <f t="shared" si="0"/>
        <v>0</v>
      </c>
      <c r="G26" s="198"/>
      <c r="H26">
        <v>0</v>
      </c>
      <c r="I26" s="46">
        <v>0</v>
      </c>
      <c r="L26" s="195" t="s">
        <v>83</v>
      </c>
      <c r="M26" s="196" t="s">
        <v>84</v>
      </c>
      <c r="N26" s="73">
        <v>2</v>
      </c>
      <c r="O26" s="73" t="s">
        <v>33</v>
      </c>
      <c r="P26" s="73" t="s">
        <v>34</v>
      </c>
      <c r="Q26" s="197">
        <f t="shared" si="1"/>
        <v>0</v>
      </c>
    </row>
    <row r="27" spans="1:17">
      <c r="A27" s="195" t="s">
        <v>85</v>
      </c>
      <c r="B27" s="196" t="s">
        <v>86</v>
      </c>
      <c r="C27" s="189">
        <v>2</v>
      </c>
      <c r="D27" s="189" t="s">
        <v>33</v>
      </c>
      <c r="E27" s="73" t="s">
        <v>34</v>
      </c>
      <c r="F27" s="197">
        <f t="shared" si="0"/>
        <v>0</v>
      </c>
      <c r="G27" s="198"/>
      <c r="H27">
        <v>0</v>
      </c>
      <c r="I27" s="46">
        <v>0</v>
      </c>
      <c r="L27" s="195" t="s">
        <v>85</v>
      </c>
      <c r="M27" s="196" t="s">
        <v>86</v>
      </c>
      <c r="N27" s="73">
        <v>2</v>
      </c>
      <c r="O27" s="73" t="s">
        <v>33</v>
      </c>
      <c r="P27" s="73" t="s">
        <v>34</v>
      </c>
      <c r="Q27" s="197">
        <f t="shared" si="1"/>
        <v>0</v>
      </c>
    </row>
    <row r="28" spans="1:17">
      <c r="A28" s="195" t="s">
        <v>87</v>
      </c>
      <c r="B28" s="196" t="s">
        <v>88</v>
      </c>
      <c r="C28" s="189">
        <v>2</v>
      </c>
      <c r="D28" s="189" t="s">
        <v>33</v>
      </c>
      <c r="E28" s="73" t="s">
        <v>34</v>
      </c>
      <c r="F28" s="197">
        <f t="shared" si="0"/>
        <v>0</v>
      </c>
      <c r="G28" s="198"/>
      <c r="H28">
        <v>0</v>
      </c>
      <c r="I28" s="46">
        <v>0</v>
      </c>
      <c r="L28" s="195" t="s">
        <v>87</v>
      </c>
      <c r="M28" s="196" t="s">
        <v>88</v>
      </c>
      <c r="N28" s="73">
        <v>2</v>
      </c>
      <c r="O28" s="73" t="s">
        <v>33</v>
      </c>
      <c r="P28" s="73" t="s">
        <v>34</v>
      </c>
      <c r="Q28" s="197">
        <f t="shared" si="1"/>
        <v>0</v>
      </c>
    </row>
    <row r="29" spans="1:17">
      <c r="A29" s="158" t="s">
        <v>89</v>
      </c>
      <c r="B29" s="135" t="s">
        <v>90</v>
      </c>
      <c r="C29" s="189">
        <v>2</v>
      </c>
      <c r="D29" s="189" t="s">
        <v>33</v>
      </c>
      <c r="E29" s="73" t="s">
        <v>34</v>
      </c>
      <c r="F29" s="197">
        <f t="shared" si="0"/>
        <v>0</v>
      </c>
      <c r="G29" s="198"/>
      <c r="H29">
        <v>0</v>
      </c>
      <c r="I29" s="46">
        <v>0</v>
      </c>
      <c r="L29" s="158" t="s">
        <v>89</v>
      </c>
      <c r="M29" s="135" t="s">
        <v>90</v>
      </c>
      <c r="N29" s="73">
        <v>2</v>
      </c>
      <c r="O29" s="73" t="s">
        <v>33</v>
      </c>
      <c r="P29" s="73" t="s">
        <v>34</v>
      </c>
      <c r="Q29" s="197">
        <f t="shared" si="1"/>
        <v>0</v>
      </c>
    </row>
    <row r="30" spans="1:17">
      <c r="A30" s="195" t="s">
        <v>91</v>
      </c>
      <c r="B30" s="196" t="s">
        <v>92</v>
      </c>
      <c r="C30" s="189">
        <v>2</v>
      </c>
      <c r="D30" s="189" t="s">
        <v>39</v>
      </c>
      <c r="E30" s="73" t="s">
        <v>40</v>
      </c>
      <c r="F30" s="197">
        <f t="shared" si="0"/>
        <v>1</v>
      </c>
      <c r="G30" s="198"/>
      <c r="H30">
        <v>0</v>
      </c>
      <c r="I30" s="46">
        <v>0</v>
      </c>
      <c r="L30" s="195" t="s">
        <v>91</v>
      </c>
      <c r="M30" s="196" t="s">
        <v>92</v>
      </c>
      <c r="N30" s="73">
        <v>2</v>
      </c>
      <c r="O30" s="73" t="s">
        <v>39</v>
      </c>
      <c r="P30" s="73" t="s">
        <v>40</v>
      </c>
      <c r="Q30" s="197">
        <f t="shared" si="1"/>
        <v>1</v>
      </c>
    </row>
    <row r="31" spans="1:17">
      <c r="A31" s="195" t="s">
        <v>93</v>
      </c>
      <c r="B31" s="196" t="s">
        <v>94</v>
      </c>
      <c r="C31" s="189">
        <v>1</v>
      </c>
      <c r="D31" s="189" t="s">
        <v>33</v>
      </c>
      <c r="E31" s="73" t="s">
        <v>34</v>
      </c>
      <c r="F31" s="197">
        <f t="shared" si="0"/>
        <v>0</v>
      </c>
      <c r="G31" s="198"/>
      <c r="H31">
        <v>0</v>
      </c>
      <c r="I31" s="46">
        <v>0</v>
      </c>
      <c r="L31" s="195" t="s">
        <v>93</v>
      </c>
      <c r="M31" s="196" t="s">
        <v>94</v>
      </c>
      <c r="N31" s="73">
        <v>1</v>
      </c>
      <c r="O31" s="73" t="s">
        <v>33</v>
      </c>
      <c r="P31" s="73" t="s">
        <v>34</v>
      </c>
      <c r="Q31" s="197">
        <f t="shared" si="1"/>
        <v>0</v>
      </c>
    </row>
    <row r="32" spans="1:17">
      <c r="A32" s="195" t="s">
        <v>95</v>
      </c>
      <c r="B32" s="196" t="s">
        <v>96</v>
      </c>
      <c r="C32" s="189">
        <v>1</v>
      </c>
      <c r="D32" s="189" t="s">
        <v>33</v>
      </c>
      <c r="E32" s="73" t="s">
        <v>34</v>
      </c>
      <c r="F32" s="197">
        <f t="shared" si="0"/>
        <v>0</v>
      </c>
      <c r="G32" s="198"/>
      <c r="H32">
        <v>0</v>
      </c>
      <c r="I32" s="46">
        <v>0</v>
      </c>
      <c r="L32" s="195" t="s">
        <v>95</v>
      </c>
      <c r="M32" s="196" t="s">
        <v>96</v>
      </c>
      <c r="N32" s="73">
        <v>1</v>
      </c>
      <c r="O32" s="73" t="s">
        <v>33</v>
      </c>
      <c r="P32" s="73" t="s">
        <v>34</v>
      </c>
      <c r="Q32" s="197">
        <f t="shared" si="1"/>
        <v>0</v>
      </c>
    </row>
    <row r="33" spans="1:17">
      <c r="A33" s="195" t="s">
        <v>97</v>
      </c>
      <c r="B33" s="196" t="s">
        <v>98</v>
      </c>
      <c r="C33" s="189">
        <v>1</v>
      </c>
      <c r="D33" s="189" t="s">
        <v>33</v>
      </c>
      <c r="E33" s="73" t="s">
        <v>34</v>
      </c>
      <c r="F33" s="197">
        <f t="shared" si="0"/>
        <v>0</v>
      </c>
      <c r="G33" s="198"/>
      <c r="H33">
        <v>0</v>
      </c>
      <c r="I33" s="46">
        <v>0</v>
      </c>
      <c r="L33" s="195" t="s">
        <v>97</v>
      </c>
      <c r="M33" s="196" t="s">
        <v>98</v>
      </c>
      <c r="N33" s="73">
        <v>1</v>
      </c>
      <c r="O33" s="73" t="s">
        <v>33</v>
      </c>
      <c r="P33" s="73" t="s">
        <v>34</v>
      </c>
      <c r="Q33" s="197">
        <f t="shared" si="1"/>
        <v>0</v>
      </c>
    </row>
    <row r="34" spans="1:17">
      <c r="A34" s="195" t="s">
        <v>99</v>
      </c>
      <c r="B34" s="196" t="s">
        <v>100</v>
      </c>
      <c r="C34" s="189">
        <v>1</v>
      </c>
      <c r="D34" s="189" t="s">
        <v>33</v>
      </c>
      <c r="E34" s="73" t="s">
        <v>34</v>
      </c>
      <c r="F34" s="197">
        <f t="shared" si="0"/>
        <v>0</v>
      </c>
      <c r="G34" s="198"/>
      <c r="H34">
        <v>0</v>
      </c>
      <c r="I34" s="46">
        <v>0</v>
      </c>
      <c r="L34" s="195" t="s">
        <v>99</v>
      </c>
      <c r="M34" s="196" t="s">
        <v>100</v>
      </c>
      <c r="N34" s="73">
        <v>1</v>
      </c>
      <c r="O34" s="73" t="s">
        <v>33</v>
      </c>
      <c r="P34" s="73" t="s">
        <v>34</v>
      </c>
      <c r="Q34" s="197">
        <f t="shared" si="1"/>
        <v>0</v>
      </c>
    </row>
    <row r="35" spans="1:17">
      <c r="A35" s="195" t="s">
        <v>101</v>
      </c>
      <c r="B35" s="196" t="s">
        <v>102</v>
      </c>
      <c r="C35" s="189">
        <v>1</v>
      </c>
      <c r="D35" s="189" t="s">
        <v>33</v>
      </c>
      <c r="E35" s="73" t="s">
        <v>34</v>
      </c>
      <c r="F35" s="197">
        <f t="shared" si="0"/>
        <v>0</v>
      </c>
      <c r="G35" s="198"/>
      <c r="H35">
        <v>0</v>
      </c>
      <c r="I35" s="46">
        <v>0</v>
      </c>
      <c r="L35" s="195" t="s">
        <v>101</v>
      </c>
      <c r="M35" s="196" t="s">
        <v>102</v>
      </c>
      <c r="N35" s="73">
        <v>1</v>
      </c>
      <c r="O35" s="73" t="s">
        <v>33</v>
      </c>
      <c r="P35" s="73" t="s">
        <v>34</v>
      </c>
      <c r="Q35" s="197">
        <f t="shared" si="1"/>
        <v>0</v>
      </c>
    </row>
    <row r="36" spans="1:17">
      <c r="A36" s="195" t="s">
        <v>103</v>
      </c>
      <c r="B36" s="196" t="s">
        <v>104</v>
      </c>
      <c r="C36" s="189">
        <v>2</v>
      </c>
      <c r="D36" s="189" t="s">
        <v>33</v>
      </c>
      <c r="E36" s="73" t="s">
        <v>34</v>
      </c>
      <c r="F36" s="197">
        <f t="shared" si="0"/>
        <v>0</v>
      </c>
      <c r="G36" s="198"/>
      <c r="H36">
        <v>0</v>
      </c>
      <c r="I36" s="46">
        <v>0</v>
      </c>
      <c r="L36" s="195" t="s">
        <v>103</v>
      </c>
      <c r="M36" s="196" t="s">
        <v>104</v>
      </c>
      <c r="N36" s="73">
        <v>2</v>
      </c>
      <c r="O36" s="73" t="s">
        <v>33</v>
      </c>
      <c r="P36" s="73" t="s">
        <v>34</v>
      </c>
      <c r="Q36" s="197">
        <f t="shared" si="1"/>
        <v>0</v>
      </c>
    </row>
    <row r="37" spans="1:17">
      <c r="A37" s="199" t="s">
        <v>105</v>
      </c>
      <c r="B37" s="200" t="s">
        <v>106</v>
      </c>
      <c r="C37" s="189">
        <v>2</v>
      </c>
      <c r="D37" s="189" t="s">
        <v>33</v>
      </c>
      <c r="E37" s="73" t="s">
        <v>34</v>
      </c>
      <c r="F37" s="197">
        <f t="shared" si="0"/>
        <v>0</v>
      </c>
      <c r="G37" s="198"/>
      <c r="H37">
        <v>0</v>
      </c>
      <c r="I37" s="46">
        <v>0</v>
      </c>
      <c r="L37" s="199" t="s">
        <v>105</v>
      </c>
      <c r="M37" s="200" t="s">
        <v>106</v>
      </c>
      <c r="N37" s="73">
        <v>2</v>
      </c>
      <c r="O37" s="73" t="s">
        <v>33</v>
      </c>
      <c r="P37" s="73" t="s">
        <v>34</v>
      </c>
      <c r="Q37" s="197">
        <f t="shared" si="1"/>
        <v>0</v>
      </c>
    </row>
    <row r="38" spans="1:17">
      <c r="A38" s="195" t="s">
        <v>107</v>
      </c>
      <c r="B38" s="196" t="s">
        <v>108</v>
      </c>
      <c r="C38" s="189">
        <v>2</v>
      </c>
      <c r="D38" s="189" t="s">
        <v>33</v>
      </c>
      <c r="E38" s="73" t="s">
        <v>34</v>
      </c>
      <c r="F38" s="197">
        <f t="shared" si="0"/>
        <v>0</v>
      </c>
      <c r="G38" s="198"/>
      <c r="H38">
        <v>0</v>
      </c>
      <c r="I38" s="46">
        <v>0</v>
      </c>
      <c r="L38" s="195" t="s">
        <v>107</v>
      </c>
      <c r="M38" s="196" t="s">
        <v>108</v>
      </c>
      <c r="N38" s="73">
        <v>2</v>
      </c>
      <c r="O38" s="73" t="s">
        <v>33</v>
      </c>
      <c r="P38" s="73" t="s">
        <v>34</v>
      </c>
      <c r="Q38" s="197">
        <f t="shared" si="1"/>
        <v>0</v>
      </c>
    </row>
    <row r="39" spans="1:17">
      <c r="A39" s="195" t="s">
        <v>109</v>
      </c>
      <c r="B39" s="196" t="s">
        <v>110</v>
      </c>
      <c r="C39" s="189">
        <v>1</v>
      </c>
      <c r="D39" s="189" t="s">
        <v>33</v>
      </c>
      <c r="E39" s="73" t="s">
        <v>34</v>
      </c>
      <c r="F39" s="197">
        <f t="shared" si="0"/>
        <v>0</v>
      </c>
      <c r="G39" s="198"/>
      <c r="H39">
        <v>0</v>
      </c>
      <c r="I39" s="46">
        <v>0</v>
      </c>
      <c r="L39" s="195" t="s">
        <v>109</v>
      </c>
      <c r="M39" s="196" t="s">
        <v>110</v>
      </c>
      <c r="N39" s="73">
        <v>1</v>
      </c>
      <c r="O39" s="73" t="s">
        <v>33</v>
      </c>
      <c r="P39" s="73" t="s">
        <v>34</v>
      </c>
      <c r="Q39" s="197">
        <f t="shared" si="1"/>
        <v>0</v>
      </c>
    </row>
    <row r="40" spans="1:17">
      <c r="A40" s="195" t="s">
        <v>111</v>
      </c>
      <c r="B40" s="196" t="s">
        <v>112</v>
      </c>
      <c r="C40" s="189">
        <v>2</v>
      </c>
      <c r="D40" s="189" t="s">
        <v>33</v>
      </c>
      <c r="E40" s="73" t="s">
        <v>34</v>
      </c>
      <c r="F40" s="197">
        <f t="shared" si="0"/>
        <v>0</v>
      </c>
      <c r="G40" s="198"/>
      <c r="H40">
        <v>0</v>
      </c>
      <c r="I40" s="46">
        <v>0</v>
      </c>
      <c r="L40" s="195" t="s">
        <v>111</v>
      </c>
      <c r="M40" s="196" t="s">
        <v>112</v>
      </c>
      <c r="N40" s="73">
        <v>2</v>
      </c>
      <c r="O40" s="73" t="s">
        <v>33</v>
      </c>
      <c r="P40" s="73" t="s">
        <v>34</v>
      </c>
      <c r="Q40" s="197">
        <f t="shared" si="1"/>
        <v>0</v>
      </c>
    </row>
    <row r="41" spans="1:17">
      <c r="A41" s="195" t="s">
        <v>113</v>
      </c>
      <c r="B41" s="196" t="s">
        <v>114</v>
      </c>
      <c r="C41" s="189">
        <v>1</v>
      </c>
      <c r="D41" s="189" t="s">
        <v>33</v>
      </c>
      <c r="E41" s="73" t="s">
        <v>34</v>
      </c>
      <c r="F41" s="197">
        <f t="shared" si="0"/>
        <v>0</v>
      </c>
      <c r="G41" s="198"/>
      <c r="H41">
        <v>0</v>
      </c>
      <c r="I41" s="46">
        <v>0</v>
      </c>
      <c r="L41" s="195" t="s">
        <v>113</v>
      </c>
      <c r="M41" s="196" t="s">
        <v>114</v>
      </c>
      <c r="N41" s="73">
        <v>1</v>
      </c>
      <c r="O41" s="73" t="s">
        <v>33</v>
      </c>
      <c r="P41" s="73" t="s">
        <v>34</v>
      </c>
      <c r="Q41" s="197">
        <f t="shared" si="1"/>
        <v>0</v>
      </c>
    </row>
    <row r="42" spans="1:17">
      <c r="A42" s="195" t="s">
        <v>115</v>
      </c>
      <c r="B42" s="196" t="s">
        <v>116</v>
      </c>
      <c r="C42" s="189">
        <v>2</v>
      </c>
      <c r="D42" s="189" t="s">
        <v>39</v>
      </c>
      <c r="E42" s="73" t="s">
        <v>34</v>
      </c>
      <c r="F42" s="197">
        <f t="shared" si="0"/>
        <v>1</v>
      </c>
      <c r="G42" s="198"/>
      <c r="H42">
        <v>0</v>
      </c>
      <c r="I42" s="46">
        <v>0</v>
      </c>
      <c r="L42" s="195" t="s">
        <v>115</v>
      </c>
      <c r="M42" s="196" t="s">
        <v>116</v>
      </c>
      <c r="N42" s="73">
        <v>2</v>
      </c>
      <c r="O42" s="73" t="s">
        <v>39</v>
      </c>
      <c r="P42" s="73" t="s">
        <v>34</v>
      </c>
      <c r="Q42" s="197">
        <f t="shared" si="1"/>
        <v>1</v>
      </c>
    </row>
    <row r="43" spans="1:17">
      <c r="A43" s="195" t="s">
        <v>117</v>
      </c>
      <c r="B43" s="196" t="s">
        <v>118</v>
      </c>
      <c r="C43" s="189">
        <v>2</v>
      </c>
      <c r="D43" s="189" t="s">
        <v>33</v>
      </c>
      <c r="E43" s="73" t="s">
        <v>40</v>
      </c>
      <c r="F43" s="197">
        <f t="shared" si="0"/>
        <v>0</v>
      </c>
      <c r="G43" s="198"/>
      <c r="H43">
        <v>0</v>
      </c>
      <c r="I43" s="46">
        <v>0</v>
      </c>
      <c r="L43" s="195" t="s">
        <v>117</v>
      </c>
      <c r="M43" s="196" t="s">
        <v>118</v>
      </c>
      <c r="N43" s="73">
        <v>2</v>
      </c>
      <c r="O43" s="73" t="s">
        <v>33</v>
      </c>
      <c r="P43" s="73" t="s">
        <v>40</v>
      </c>
      <c r="Q43" s="197">
        <f t="shared" si="1"/>
        <v>0</v>
      </c>
    </row>
    <row r="44" spans="1:17">
      <c r="A44" s="195" t="s">
        <v>119</v>
      </c>
      <c r="B44" s="196" t="s">
        <v>120</v>
      </c>
      <c r="C44" s="189">
        <v>2</v>
      </c>
      <c r="D44" s="189" t="s">
        <v>39</v>
      </c>
      <c r="E44" s="73" t="s">
        <v>34</v>
      </c>
      <c r="F44" s="197">
        <f t="shared" si="0"/>
        <v>1</v>
      </c>
      <c r="G44" s="198"/>
      <c r="H44">
        <v>0</v>
      </c>
      <c r="I44" s="46">
        <v>0</v>
      </c>
      <c r="L44" s="195" t="s">
        <v>119</v>
      </c>
      <c r="M44" s="196" t="s">
        <v>120</v>
      </c>
      <c r="N44" s="73">
        <v>2</v>
      </c>
      <c r="O44" s="73" t="s">
        <v>39</v>
      </c>
      <c r="P44" s="73" t="s">
        <v>34</v>
      </c>
      <c r="Q44" s="197">
        <f t="shared" si="1"/>
        <v>1</v>
      </c>
    </row>
    <row r="45" spans="1:17">
      <c r="A45" s="195" t="s">
        <v>121</v>
      </c>
      <c r="B45" s="196" t="s">
        <v>122</v>
      </c>
      <c r="C45" s="189">
        <v>2</v>
      </c>
      <c r="D45" s="189" t="s">
        <v>39</v>
      </c>
      <c r="E45" s="73" t="s">
        <v>34</v>
      </c>
      <c r="F45" s="197">
        <f t="shared" si="0"/>
        <v>1</v>
      </c>
      <c r="G45" s="198"/>
      <c r="H45">
        <v>0</v>
      </c>
      <c r="I45" s="46">
        <v>0</v>
      </c>
      <c r="L45" s="195" t="s">
        <v>121</v>
      </c>
      <c r="M45" s="196" t="s">
        <v>122</v>
      </c>
      <c r="N45" s="73">
        <v>2</v>
      </c>
      <c r="O45" s="73" t="s">
        <v>39</v>
      </c>
      <c r="P45" s="73" t="s">
        <v>34</v>
      </c>
      <c r="Q45" s="197">
        <f t="shared" si="1"/>
        <v>1</v>
      </c>
    </row>
    <row r="46" spans="1:17">
      <c r="A46" s="195" t="s">
        <v>123</v>
      </c>
      <c r="B46" s="196" t="s">
        <v>124</v>
      </c>
      <c r="C46" s="189">
        <v>2</v>
      </c>
      <c r="D46" s="189" t="s">
        <v>33</v>
      </c>
      <c r="E46" s="73" t="s">
        <v>34</v>
      </c>
      <c r="F46" s="197">
        <f t="shared" si="0"/>
        <v>0</v>
      </c>
      <c r="G46" s="198"/>
      <c r="H46">
        <v>0</v>
      </c>
      <c r="I46" s="46">
        <v>0</v>
      </c>
      <c r="L46" s="195" t="s">
        <v>123</v>
      </c>
      <c r="M46" s="196" t="s">
        <v>124</v>
      </c>
      <c r="N46" s="73">
        <v>2</v>
      </c>
      <c r="O46" s="73" t="s">
        <v>33</v>
      </c>
      <c r="P46" s="73" t="s">
        <v>34</v>
      </c>
      <c r="Q46" s="197">
        <f t="shared" si="1"/>
        <v>0</v>
      </c>
    </row>
    <row r="47" spans="1:17">
      <c r="A47" s="195" t="s">
        <v>125</v>
      </c>
      <c r="B47" s="196" t="s">
        <v>126</v>
      </c>
      <c r="C47" s="189">
        <v>2</v>
      </c>
      <c r="D47" s="189" t="s">
        <v>33</v>
      </c>
      <c r="E47" s="73" t="s">
        <v>34</v>
      </c>
      <c r="F47" s="197">
        <f t="shared" si="0"/>
        <v>0</v>
      </c>
      <c r="G47" s="198"/>
      <c r="H47">
        <v>0</v>
      </c>
      <c r="I47" s="46">
        <v>0</v>
      </c>
      <c r="L47" s="195" t="s">
        <v>125</v>
      </c>
      <c r="M47" s="196" t="s">
        <v>126</v>
      </c>
      <c r="N47" s="73">
        <v>2</v>
      </c>
      <c r="O47" s="73" t="s">
        <v>33</v>
      </c>
      <c r="P47" s="73" t="s">
        <v>34</v>
      </c>
      <c r="Q47" s="197">
        <f t="shared" si="1"/>
        <v>0</v>
      </c>
    </row>
    <row r="48" spans="1:17">
      <c r="A48" s="195" t="s">
        <v>127</v>
      </c>
      <c r="B48" s="196" t="s">
        <v>128</v>
      </c>
      <c r="C48" s="189">
        <v>2</v>
      </c>
      <c r="D48" s="189" t="s">
        <v>33</v>
      </c>
      <c r="E48" s="73" t="s">
        <v>34</v>
      </c>
      <c r="F48" s="197">
        <f t="shared" si="0"/>
        <v>0</v>
      </c>
      <c r="G48" s="198"/>
      <c r="H48">
        <v>0</v>
      </c>
      <c r="I48" s="46">
        <v>0</v>
      </c>
      <c r="L48" s="195" t="s">
        <v>127</v>
      </c>
      <c r="M48" s="196" t="s">
        <v>128</v>
      </c>
      <c r="N48" s="73">
        <v>2</v>
      </c>
      <c r="O48" s="73" t="s">
        <v>33</v>
      </c>
      <c r="P48" s="73" t="s">
        <v>34</v>
      </c>
      <c r="Q48" s="197">
        <f t="shared" si="1"/>
        <v>0</v>
      </c>
    </row>
    <row r="49" spans="1:17">
      <c r="A49" s="195" t="s">
        <v>129</v>
      </c>
      <c r="B49" s="196" t="s">
        <v>130</v>
      </c>
      <c r="C49" s="189">
        <v>2</v>
      </c>
      <c r="D49" s="189" t="s">
        <v>33</v>
      </c>
      <c r="E49" s="73" t="s">
        <v>40</v>
      </c>
      <c r="F49" s="197">
        <f t="shared" si="0"/>
        <v>0</v>
      </c>
      <c r="G49" s="198"/>
      <c r="H49">
        <v>0</v>
      </c>
      <c r="I49" s="46">
        <v>0</v>
      </c>
      <c r="L49" s="195" t="s">
        <v>129</v>
      </c>
      <c r="M49" s="196" t="s">
        <v>130</v>
      </c>
      <c r="N49" s="73">
        <v>2</v>
      </c>
      <c r="O49" s="73" t="s">
        <v>33</v>
      </c>
      <c r="P49" s="73" t="s">
        <v>40</v>
      </c>
      <c r="Q49" s="197">
        <f t="shared" si="1"/>
        <v>0</v>
      </c>
    </row>
    <row r="50" spans="1:17">
      <c r="A50" s="195" t="s">
        <v>131</v>
      </c>
      <c r="B50" s="196" t="s">
        <v>132</v>
      </c>
      <c r="C50" s="189">
        <v>2</v>
      </c>
      <c r="D50" s="189" t="s">
        <v>39</v>
      </c>
      <c r="E50" s="73" t="s">
        <v>40</v>
      </c>
      <c r="F50" s="197">
        <f t="shared" si="0"/>
        <v>1</v>
      </c>
      <c r="G50" s="198"/>
      <c r="H50">
        <v>0</v>
      </c>
      <c r="I50" s="46">
        <v>0</v>
      </c>
      <c r="L50" s="195" t="s">
        <v>131</v>
      </c>
      <c r="M50" s="196" t="s">
        <v>132</v>
      </c>
      <c r="N50" s="73">
        <v>2</v>
      </c>
      <c r="O50" s="73" t="s">
        <v>39</v>
      </c>
      <c r="P50" s="73" t="s">
        <v>40</v>
      </c>
      <c r="Q50" s="197">
        <f t="shared" si="1"/>
        <v>1</v>
      </c>
    </row>
    <row r="51" spans="1:17">
      <c r="A51" s="195" t="s">
        <v>133</v>
      </c>
      <c r="B51" s="196" t="s">
        <v>134</v>
      </c>
      <c r="C51" s="189">
        <v>2</v>
      </c>
      <c r="D51" s="189" t="s">
        <v>39</v>
      </c>
      <c r="E51" s="73" t="s">
        <v>34</v>
      </c>
      <c r="F51" s="197">
        <f t="shared" si="0"/>
        <v>1</v>
      </c>
      <c r="G51" s="198"/>
      <c r="H51">
        <v>0</v>
      </c>
      <c r="I51" s="46">
        <v>0</v>
      </c>
      <c r="L51" s="195" t="s">
        <v>133</v>
      </c>
      <c r="M51" s="196" t="s">
        <v>134</v>
      </c>
      <c r="N51" s="73">
        <v>2</v>
      </c>
      <c r="O51" s="73" t="s">
        <v>39</v>
      </c>
      <c r="P51" s="73" t="s">
        <v>34</v>
      </c>
      <c r="Q51" s="197">
        <f t="shared" si="1"/>
        <v>1</v>
      </c>
    </row>
    <row r="52" spans="1:17">
      <c r="A52" s="195" t="s">
        <v>135</v>
      </c>
      <c r="B52" s="196" t="s">
        <v>136</v>
      </c>
      <c r="C52" s="189">
        <v>2</v>
      </c>
      <c r="D52" s="189" t="s">
        <v>33</v>
      </c>
      <c r="E52" s="73" t="s">
        <v>34</v>
      </c>
      <c r="F52" s="197">
        <f t="shared" si="0"/>
        <v>0</v>
      </c>
      <c r="G52" s="198"/>
      <c r="H52">
        <v>0</v>
      </c>
      <c r="I52" s="46">
        <v>0</v>
      </c>
      <c r="L52" s="195" t="s">
        <v>135</v>
      </c>
      <c r="M52" s="196" t="s">
        <v>136</v>
      </c>
      <c r="N52" s="73">
        <v>2</v>
      </c>
      <c r="O52" s="73" t="s">
        <v>33</v>
      </c>
      <c r="P52" s="73" t="s">
        <v>34</v>
      </c>
      <c r="Q52" s="197">
        <f t="shared" si="1"/>
        <v>0</v>
      </c>
    </row>
    <row r="53" spans="1:17">
      <c r="A53" s="195" t="s">
        <v>137</v>
      </c>
      <c r="B53" s="196" t="s">
        <v>138</v>
      </c>
      <c r="C53" s="189">
        <v>2</v>
      </c>
      <c r="D53" s="189" t="s">
        <v>33</v>
      </c>
      <c r="E53" s="73" t="s">
        <v>34</v>
      </c>
      <c r="F53" s="197">
        <f t="shared" si="0"/>
        <v>0</v>
      </c>
      <c r="G53" s="198"/>
      <c r="H53">
        <v>0</v>
      </c>
      <c r="I53" s="46">
        <v>0</v>
      </c>
      <c r="L53" s="195" t="s">
        <v>137</v>
      </c>
      <c r="M53" s="196" t="s">
        <v>138</v>
      </c>
      <c r="N53" s="73">
        <v>2</v>
      </c>
      <c r="O53" s="73" t="s">
        <v>33</v>
      </c>
      <c r="P53" s="73" t="s">
        <v>34</v>
      </c>
      <c r="Q53" s="197">
        <f t="shared" si="1"/>
        <v>0</v>
      </c>
    </row>
    <row r="54" spans="1:17">
      <c r="A54" s="195" t="s">
        <v>139</v>
      </c>
      <c r="B54" s="196" t="s">
        <v>140</v>
      </c>
      <c r="C54" s="189">
        <v>2</v>
      </c>
      <c r="D54" s="189" t="s">
        <v>39</v>
      </c>
      <c r="E54" s="73" t="s">
        <v>34</v>
      </c>
      <c r="F54" s="197">
        <f t="shared" si="0"/>
        <v>1</v>
      </c>
      <c r="G54" s="198"/>
      <c r="H54">
        <v>0</v>
      </c>
      <c r="I54" s="46">
        <v>0</v>
      </c>
      <c r="L54" s="195" t="s">
        <v>139</v>
      </c>
      <c r="M54" s="196" t="s">
        <v>140</v>
      </c>
      <c r="N54" s="73">
        <v>2</v>
      </c>
      <c r="O54" s="73" t="s">
        <v>39</v>
      </c>
      <c r="P54" s="73" t="s">
        <v>34</v>
      </c>
      <c r="Q54" s="197">
        <f t="shared" si="1"/>
        <v>1</v>
      </c>
    </row>
    <row r="55" spans="1:17">
      <c r="A55" s="195" t="s">
        <v>141</v>
      </c>
      <c r="B55" s="196" t="s">
        <v>142</v>
      </c>
      <c r="C55" s="189">
        <v>2</v>
      </c>
      <c r="D55" s="189" t="s">
        <v>39</v>
      </c>
      <c r="E55" s="73" t="s">
        <v>34</v>
      </c>
      <c r="F55" s="197">
        <f t="shared" si="0"/>
        <v>1</v>
      </c>
      <c r="G55" s="198"/>
      <c r="H55">
        <v>0</v>
      </c>
      <c r="I55" s="46">
        <v>0</v>
      </c>
      <c r="L55" s="195" t="s">
        <v>141</v>
      </c>
      <c r="M55" s="196" t="s">
        <v>142</v>
      </c>
      <c r="N55" s="73">
        <v>2</v>
      </c>
      <c r="O55" s="73" t="s">
        <v>39</v>
      </c>
      <c r="P55" s="73" t="s">
        <v>34</v>
      </c>
      <c r="Q55" s="197">
        <f t="shared" si="1"/>
        <v>1</v>
      </c>
    </row>
    <row r="56" spans="1:17">
      <c r="A56" s="195" t="s">
        <v>143</v>
      </c>
      <c r="B56" s="196" t="s">
        <v>144</v>
      </c>
      <c r="C56" s="189">
        <v>2</v>
      </c>
      <c r="D56" s="189" t="s">
        <v>39</v>
      </c>
      <c r="E56" s="73" t="s">
        <v>34</v>
      </c>
      <c r="F56" s="197">
        <f t="shared" si="0"/>
        <v>1</v>
      </c>
      <c r="G56" s="198"/>
      <c r="H56">
        <v>0</v>
      </c>
      <c r="I56" s="46">
        <v>0</v>
      </c>
      <c r="L56" s="195" t="s">
        <v>143</v>
      </c>
      <c r="M56" s="196" t="s">
        <v>144</v>
      </c>
      <c r="N56" s="73">
        <v>2</v>
      </c>
      <c r="O56" s="73" t="s">
        <v>39</v>
      </c>
      <c r="P56" s="73" t="s">
        <v>34</v>
      </c>
      <c r="Q56" s="197">
        <f t="shared" si="1"/>
        <v>1</v>
      </c>
    </row>
    <row r="57" spans="1:17">
      <c r="A57" s="195" t="s">
        <v>145</v>
      </c>
      <c r="B57" s="196" t="s">
        <v>146</v>
      </c>
      <c r="C57" s="189">
        <v>2</v>
      </c>
      <c r="D57" s="189" t="s">
        <v>39</v>
      </c>
      <c r="E57" s="73" t="s">
        <v>40</v>
      </c>
      <c r="F57" s="197">
        <f t="shared" si="0"/>
        <v>1</v>
      </c>
      <c r="G57" s="198"/>
      <c r="H57">
        <v>0</v>
      </c>
      <c r="I57" s="46">
        <v>0</v>
      </c>
      <c r="L57" s="195" t="s">
        <v>145</v>
      </c>
      <c r="M57" s="196" t="s">
        <v>146</v>
      </c>
      <c r="N57" s="73">
        <v>2</v>
      </c>
      <c r="O57" s="73" t="s">
        <v>39</v>
      </c>
      <c r="P57" s="73" t="s">
        <v>40</v>
      </c>
      <c r="Q57" s="197">
        <f t="shared" si="1"/>
        <v>1</v>
      </c>
    </row>
    <row r="58" spans="1:17">
      <c r="A58" s="195" t="s">
        <v>147</v>
      </c>
      <c r="B58" s="196" t="s">
        <v>148</v>
      </c>
      <c r="C58" s="189">
        <v>2</v>
      </c>
      <c r="D58" s="189" t="s">
        <v>33</v>
      </c>
      <c r="E58" s="73" t="s">
        <v>34</v>
      </c>
      <c r="F58" s="197">
        <f t="shared" si="0"/>
        <v>0</v>
      </c>
      <c r="G58" s="198"/>
      <c r="H58">
        <v>0</v>
      </c>
      <c r="I58" s="46">
        <v>0</v>
      </c>
      <c r="L58" s="195" t="s">
        <v>147</v>
      </c>
      <c r="M58" s="196" t="s">
        <v>148</v>
      </c>
      <c r="N58" s="73">
        <v>2</v>
      </c>
      <c r="O58" s="73" t="s">
        <v>33</v>
      </c>
      <c r="P58" s="73" t="s">
        <v>34</v>
      </c>
      <c r="Q58" s="197">
        <f t="shared" si="1"/>
        <v>0</v>
      </c>
    </row>
    <row r="59" spans="1:17">
      <c r="A59" s="195" t="s">
        <v>149</v>
      </c>
      <c r="B59" s="196" t="s">
        <v>150</v>
      </c>
      <c r="C59" s="189">
        <v>2</v>
      </c>
      <c r="D59" s="189" t="s">
        <v>39</v>
      </c>
      <c r="E59" s="73" t="s">
        <v>34</v>
      </c>
      <c r="F59" s="197">
        <f t="shared" si="0"/>
        <v>1</v>
      </c>
      <c r="G59" s="198"/>
      <c r="H59">
        <v>0</v>
      </c>
      <c r="I59" s="46">
        <v>0</v>
      </c>
      <c r="L59" s="195" t="s">
        <v>149</v>
      </c>
      <c r="M59" s="196" t="s">
        <v>150</v>
      </c>
      <c r="N59" s="73">
        <v>2</v>
      </c>
      <c r="O59" s="73" t="s">
        <v>39</v>
      </c>
      <c r="P59" s="73" t="s">
        <v>34</v>
      </c>
      <c r="Q59" s="197">
        <f t="shared" si="1"/>
        <v>1</v>
      </c>
    </row>
    <row r="60" spans="1:17">
      <c r="A60" s="195" t="s">
        <v>151</v>
      </c>
      <c r="B60" s="196" t="s">
        <v>152</v>
      </c>
      <c r="C60" s="189">
        <v>2</v>
      </c>
      <c r="D60" s="189" t="s">
        <v>39</v>
      </c>
      <c r="E60" s="73" t="s">
        <v>34</v>
      </c>
      <c r="F60" s="197">
        <f t="shared" si="0"/>
        <v>1</v>
      </c>
      <c r="G60" s="198"/>
      <c r="H60">
        <v>0</v>
      </c>
      <c r="I60" s="46">
        <v>0</v>
      </c>
      <c r="L60" s="195" t="s">
        <v>151</v>
      </c>
      <c r="M60" s="196" t="s">
        <v>152</v>
      </c>
      <c r="N60" s="73">
        <v>2</v>
      </c>
      <c r="O60" s="73" t="s">
        <v>39</v>
      </c>
      <c r="P60" s="73" t="s">
        <v>34</v>
      </c>
      <c r="Q60" s="197">
        <f t="shared" si="1"/>
        <v>1</v>
      </c>
    </row>
    <row r="61" spans="1:17">
      <c r="A61" s="195" t="s">
        <v>153</v>
      </c>
      <c r="B61" s="196" t="s">
        <v>154</v>
      </c>
      <c r="C61" s="189">
        <v>1</v>
      </c>
      <c r="D61" s="189" t="s">
        <v>33</v>
      </c>
      <c r="E61" s="73" t="s">
        <v>34</v>
      </c>
      <c r="F61" s="197">
        <f t="shared" si="0"/>
        <v>0</v>
      </c>
      <c r="G61" s="198"/>
      <c r="H61">
        <v>0</v>
      </c>
      <c r="I61" s="46">
        <v>0</v>
      </c>
      <c r="L61" s="195" t="s">
        <v>153</v>
      </c>
      <c r="M61" s="196" t="s">
        <v>154</v>
      </c>
      <c r="N61" s="73">
        <v>1</v>
      </c>
      <c r="O61" s="73" t="s">
        <v>33</v>
      </c>
      <c r="P61" s="73" t="s">
        <v>34</v>
      </c>
      <c r="Q61" s="197">
        <f t="shared" si="1"/>
        <v>0</v>
      </c>
    </row>
    <row r="62" spans="1:17">
      <c r="A62" s="195" t="s">
        <v>155</v>
      </c>
      <c r="B62" s="196" t="s">
        <v>156</v>
      </c>
      <c r="C62" s="189">
        <v>2</v>
      </c>
      <c r="D62" s="189" t="s">
        <v>33</v>
      </c>
      <c r="E62" s="73" t="s">
        <v>40</v>
      </c>
      <c r="F62" s="197">
        <f t="shared" si="0"/>
        <v>0</v>
      </c>
      <c r="G62" s="198"/>
      <c r="H62">
        <v>0</v>
      </c>
      <c r="I62" s="46">
        <v>0</v>
      </c>
      <c r="L62" s="195" t="s">
        <v>155</v>
      </c>
      <c r="M62" s="196" t="s">
        <v>156</v>
      </c>
      <c r="N62" s="73">
        <v>2</v>
      </c>
      <c r="O62" s="73" t="s">
        <v>33</v>
      </c>
      <c r="P62" s="73" t="s">
        <v>40</v>
      </c>
      <c r="Q62" s="197">
        <f t="shared" si="1"/>
        <v>0</v>
      </c>
    </row>
    <row r="63" spans="1:17">
      <c r="A63" s="195" t="s">
        <v>157</v>
      </c>
      <c r="B63" s="196" t="s">
        <v>158</v>
      </c>
      <c r="C63" s="189">
        <v>2</v>
      </c>
      <c r="D63" s="189" t="s">
        <v>39</v>
      </c>
      <c r="E63" s="73" t="s">
        <v>40</v>
      </c>
      <c r="F63" s="197">
        <f t="shared" si="0"/>
        <v>1</v>
      </c>
      <c r="G63" s="198"/>
      <c r="H63">
        <v>0</v>
      </c>
      <c r="I63" s="46">
        <v>0</v>
      </c>
      <c r="L63" s="195" t="s">
        <v>157</v>
      </c>
      <c r="M63" s="196" t="s">
        <v>158</v>
      </c>
      <c r="N63" s="73">
        <v>2</v>
      </c>
      <c r="O63" s="73" t="s">
        <v>39</v>
      </c>
      <c r="P63" s="73" t="s">
        <v>40</v>
      </c>
      <c r="Q63" s="197">
        <f t="shared" si="1"/>
        <v>1</v>
      </c>
    </row>
    <row r="64" spans="1:17">
      <c r="A64" s="195" t="s">
        <v>159</v>
      </c>
      <c r="B64" s="196" t="s">
        <v>160</v>
      </c>
      <c r="C64" s="189">
        <v>1</v>
      </c>
      <c r="D64" s="189" t="s">
        <v>33</v>
      </c>
      <c r="E64" s="73" t="s">
        <v>34</v>
      </c>
      <c r="F64" s="197">
        <f t="shared" si="0"/>
        <v>0</v>
      </c>
      <c r="G64" s="198"/>
      <c r="H64">
        <v>0</v>
      </c>
      <c r="I64" s="46">
        <v>0</v>
      </c>
      <c r="L64" s="195" t="s">
        <v>159</v>
      </c>
      <c r="M64" s="196" t="s">
        <v>160</v>
      </c>
      <c r="N64" s="73">
        <v>1</v>
      </c>
      <c r="O64" s="73" t="s">
        <v>33</v>
      </c>
      <c r="P64" s="73" t="s">
        <v>34</v>
      </c>
      <c r="Q64" s="197">
        <f t="shared" si="1"/>
        <v>0</v>
      </c>
    </row>
    <row r="65" spans="1:17">
      <c r="A65" s="195" t="s">
        <v>161</v>
      </c>
      <c r="B65" s="196" t="s">
        <v>162</v>
      </c>
      <c r="C65" s="189">
        <v>1</v>
      </c>
      <c r="D65" s="189" t="s">
        <v>33</v>
      </c>
      <c r="E65" s="73" t="s">
        <v>34</v>
      </c>
      <c r="F65" s="197">
        <f t="shared" si="0"/>
        <v>0</v>
      </c>
      <c r="G65" s="198"/>
      <c r="H65">
        <v>0</v>
      </c>
      <c r="I65" s="46">
        <v>0</v>
      </c>
      <c r="L65" s="195" t="s">
        <v>161</v>
      </c>
      <c r="M65" s="196" t="s">
        <v>162</v>
      </c>
      <c r="N65" s="73">
        <v>1</v>
      </c>
      <c r="O65" s="73" t="s">
        <v>33</v>
      </c>
      <c r="P65" s="73" t="s">
        <v>34</v>
      </c>
      <c r="Q65" s="197">
        <f t="shared" si="1"/>
        <v>0</v>
      </c>
    </row>
    <row r="66" spans="1:17">
      <c r="A66" s="195" t="s">
        <v>163</v>
      </c>
      <c r="B66" s="196" t="s">
        <v>164</v>
      </c>
      <c r="C66" s="189">
        <v>1</v>
      </c>
      <c r="D66" s="189" t="s">
        <v>33</v>
      </c>
      <c r="E66" s="73" t="s">
        <v>34</v>
      </c>
      <c r="F66" s="197">
        <f t="shared" ref="F66:F129" si="2">IF(+D66="cash",1,0)</f>
        <v>0</v>
      </c>
      <c r="G66" s="198"/>
      <c r="H66">
        <v>0</v>
      </c>
      <c r="I66" s="46">
        <v>0</v>
      </c>
      <c r="L66" s="195" t="s">
        <v>163</v>
      </c>
      <c r="M66" s="196" t="s">
        <v>164</v>
      </c>
      <c r="N66" s="73">
        <v>1</v>
      </c>
      <c r="O66" s="73" t="s">
        <v>33</v>
      </c>
      <c r="P66" s="73" t="s">
        <v>34</v>
      </c>
      <c r="Q66" s="197">
        <f t="shared" ref="Q66:Q129" si="3">IF(+O66="cash",1,0)</f>
        <v>0</v>
      </c>
    </row>
    <row r="67" spans="1:17">
      <c r="A67" s="195" t="s">
        <v>165</v>
      </c>
      <c r="B67" s="196" t="s">
        <v>166</v>
      </c>
      <c r="C67" s="189">
        <v>2</v>
      </c>
      <c r="D67" s="189" t="s">
        <v>33</v>
      </c>
      <c r="E67" s="73" t="s">
        <v>34</v>
      </c>
      <c r="F67" s="197">
        <f t="shared" si="2"/>
        <v>0</v>
      </c>
      <c r="G67" s="198"/>
      <c r="H67">
        <v>0</v>
      </c>
      <c r="I67" s="46">
        <v>0</v>
      </c>
      <c r="L67" s="195" t="s">
        <v>165</v>
      </c>
      <c r="M67" s="196" t="s">
        <v>166</v>
      </c>
      <c r="N67" s="73">
        <v>2</v>
      </c>
      <c r="O67" s="73" t="s">
        <v>33</v>
      </c>
      <c r="P67" s="73" t="s">
        <v>34</v>
      </c>
      <c r="Q67" s="197">
        <f t="shared" si="3"/>
        <v>0</v>
      </c>
    </row>
    <row r="68" spans="1:17">
      <c r="A68" s="195" t="s">
        <v>167</v>
      </c>
      <c r="B68" s="196" t="s">
        <v>168</v>
      </c>
      <c r="C68" s="189">
        <v>2</v>
      </c>
      <c r="D68" s="189" t="s">
        <v>33</v>
      </c>
      <c r="E68" s="73" t="s">
        <v>34</v>
      </c>
      <c r="F68" s="197">
        <f t="shared" si="2"/>
        <v>0</v>
      </c>
      <c r="G68" s="198"/>
      <c r="H68">
        <v>0</v>
      </c>
      <c r="I68" s="46">
        <v>0</v>
      </c>
      <c r="L68" s="195" t="s">
        <v>167</v>
      </c>
      <c r="M68" s="196" t="s">
        <v>168</v>
      </c>
      <c r="N68" s="73">
        <v>2</v>
      </c>
      <c r="O68" s="73" t="s">
        <v>33</v>
      </c>
      <c r="P68" s="73" t="s">
        <v>34</v>
      </c>
      <c r="Q68" s="197">
        <f t="shared" si="3"/>
        <v>0</v>
      </c>
    </row>
    <row r="69" spans="1:17">
      <c r="A69" s="195" t="s">
        <v>169</v>
      </c>
      <c r="B69" s="196" t="s">
        <v>170</v>
      </c>
      <c r="C69" s="189">
        <v>1</v>
      </c>
      <c r="D69" s="189" t="s">
        <v>33</v>
      </c>
      <c r="E69" s="73" t="s">
        <v>34</v>
      </c>
      <c r="F69" s="197">
        <f t="shared" si="2"/>
        <v>0</v>
      </c>
      <c r="G69" s="198"/>
      <c r="H69">
        <v>0</v>
      </c>
      <c r="I69" s="46">
        <v>0</v>
      </c>
      <c r="L69" s="195" t="s">
        <v>169</v>
      </c>
      <c r="M69" s="196" t="s">
        <v>170</v>
      </c>
      <c r="N69" s="73">
        <v>1</v>
      </c>
      <c r="O69" s="73" t="s">
        <v>33</v>
      </c>
      <c r="P69" s="73" t="s">
        <v>34</v>
      </c>
      <c r="Q69" s="197">
        <f t="shared" si="3"/>
        <v>0</v>
      </c>
    </row>
    <row r="70" spans="1:17">
      <c r="A70" s="195" t="s">
        <v>171</v>
      </c>
      <c r="B70" s="196" t="s">
        <v>172</v>
      </c>
      <c r="C70" s="189">
        <v>1</v>
      </c>
      <c r="D70" s="189" t="s">
        <v>33</v>
      </c>
      <c r="E70" s="73" t="s">
        <v>34</v>
      </c>
      <c r="F70" s="197">
        <f t="shared" si="2"/>
        <v>0</v>
      </c>
      <c r="G70" s="198"/>
      <c r="H70">
        <v>0</v>
      </c>
      <c r="I70" s="46">
        <v>0</v>
      </c>
      <c r="L70" s="195" t="s">
        <v>171</v>
      </c>
      <c r="M70" s="196" t="s">
        <v>172</v>
      </c>
      <c r="N70" s="73">
        <v>1</v>
      </c>
      <c r="O70" s="73" t="s">
        <v>33</v>
      </c>
      <c r="P70" s="73" t="s">
        <v>34</v>
      </c>
      <c r="Q70" s="197">
        <f t="shared" si="3"/>
        <v>0</v>
      </c>
    </row>
    <row r="71" spans="1:17">
      <c r="A71" s="195" t="s">
        <v>173</v>
      </c>
      <c r="B71" s="196" t="s">
        <v>174</v>
      </c>
      <c r="C71" s="189">
        <v>2</v>
      </c>
      <c r="D71" s="189" t="s">
        <v>33</v>
      </c>
      <c r="E71" s="73" t="s">
        <v>34</v>
      </c>
      <c r="F71" s="197">
        <f t="shared" si="2"/>
        <v>0</v>
      </c>
      <c r="G71" s="198"/>
      <c r="H71">
        <v>0</v>
      </c>
      <c r="I71" s="46">
        <v>0</v>
      </c>
      <c r="L71" s="195" t="s">
        <v>173</v>
      </c>
      <c r="M71" s="196" t="s">
        <v>174</v>
      </c>
      <c r="N71" s="73">
        <v>2</v>
      </c>
      <c r="O71" s="73" t="s">
        <v>33</v>
      </c>
      <c r="P71" s="73" t="s">
        <v>34</v>
      </c>
      <c r="Q71" s="197">
        <f t="shared" si="3"/>
        <v>0</v>
      </c>
    </row>
    <row r="72" spans="1:17">
      <c r="A72" s="195" t="s">
        <v>175</v>
      </c>
      <c r="B72" s="196" t="s">
        <v>176</v>
      </c>
      <c r="C72" s="189">
        <v>2</v>
      </c>
      <c r="D72" s="189" t="s">
        <v>39</v>
      </c>
      <c r="E72" s="73" t="s">
        <v>40</v>
      </c>
      <c r="F72" s="197">
        <f t="shared" si="2"/>
        <v>1</v>
      </c>
      <c r="G72" s="198"/>
      <c r="H72">
        <v>0</v>
      </c>
      <c r="I72" s="46">
        <v>0</v>
      </c>
      <c r="L72" s="195" t="s">
        <v>175</v>
      </c>
      <c r="M72" s="196" t="s">
        <v>176</v>
      </c>
      <c r="N72" s="73">
        <v>2</v>
      </c>
      <c r="O72" s="73" t="s">
        <v>39</v>
      </c>
      <c r="P72" s="73" t="s">
        <v>40</v>
      </c>
      <c r="Q72" s="197">
        <f t="shared" si="3"/>
        <v>1</v>
      </c>
    </row>
    <row r="73" spans="1:17">
      <c r="A73" s="195" t="s">
        <v>177</v>
      </c>
      <c r="B73" s="196" t="s">
        <v>178</v>
      </c>
      <c r="C73" s="189">
        <v>2</v>
      </c>
      <c r="D73" s="189" t="s">
        <v>33</v>
      </c>
      <c r="E73" s="73" t="s">
        <v>34</v>
      </c>
      <c r="F73" s="197">
        <f t="shared" si="2"/>
        <v>0</v>
      </c>
      <c r="G73" s="198"/>
      <c r="H73">
        <v>0</v>
      </c>
      <c r="I73" s="46">
        <v>0</v>
      </c>
      <c r="L73" s="195" t="s">
        <v>177</v>
      </c>
      <c r="M73" s="196" t="s">
        <v>178</v>
      </c>
      <c r="N73" s="73">
        <v>2</v>
      </c>
      <c r="O73" s="73" t="s">
        <v>33</v>
      </c>
      <c r="P73" s="73" t="s">
        <v>34</v>
      </c>
      <c r="Q73" s="197">
        <f t="shared" si="3"/>
        <v>0</v>
      </c>
    </row>
    <row r="74" spans="1:17">
      <c r="A74" s="195" t="s">
        <v>179</v>
      </c>
      <c r="B74" s="196" t="s">
        <v>180</v>
      </c>
      <c r="C74" s="189">
        <v>1</v>
      </c>
      <c r="D74" s="189" t="s">
        <v>33</v>
      </c>
      <c r="E74" s="73" t="s">
        <v>34</v>
      </c>
      <c r="F74" s="197">
        <f t="shared" si="2"/>
        <v>0</v>
      </c>
      <c r="G74" s="198"/>
      <c r="H74">
        <v>0</v>
      </c>
      <c r="I74" s="46">
        <v>0</v>
      </c>
      <c r="L74" s="195" t="s">
        <v>179</v>
      </c>
      <c r="M74" s="196" t="s">
        <v>180</v>
      </c>
      <c r="N74" s="73">
        <v>1</v>
      </c>
      <c r="O74" s="73" t="s">
        <v>33</v>
      </c>
      <c r="P74" s="73" t="s">
        <v>34</v>
      </c>
      <c r="Q74" s="197">
        <f t="shared" si="3"/>
        <v>0</v>
      </c>
    </row>
    <row r="75" spans="1:17">
      <c r="A75" s="195" t="s">
        <v>181</v>
      </c>
      <c r="B75" s="196" t="s">
        <v>182</v>
      </c>
      <c r="C75" s="189">
        <v>1</v>
      </c>
      <c r="D75" s="189" t="s">
        <v>33</v>
      </c>
      <c r="E75" s="73" t="s">
        <v>34</v>
      </c>
      <c r="F75" s="197">
        <f t="shared" si="2"/>
        <v>0</v>
      </c>
      <c r="G75" s="198"/>
      <c r="H75">
        <v>0</v>
      </c>
      <c r="I75" s="46">
        <v>0</v>
      </c>
      <c r="L75" s="195" t="s">
        <v>181</v>
      </c>
      <c r="M75" s="196" t="s">
        <v>182</v>
      </c>
      <c r="N75" s="73">
        <v>1</v>
      </c>
      <c r="O75" s="73" t="s">
        <v>33</v>
      </c>
      <c r="P75" s="73" t="s">
        <v>34</v>
      </c>
      <c r="Q75" s="197">
        <f t="shared" si="3"/>
        <v>0</v>
      </c>
    </row>
    <row r="76" spans="1:17">
      <c r="A76" s="262" t="s">
        <v>183</v>
      </c>
      <c r="B76" s="135" t="s">
        <v>184</v>
      </c>
      <c r="C76" s="189">
        <v>1</v>
      </c>
      <c r="D76" s="189" t="s">
        <v>33</v>
      </c>
      <c r="E76" s="73" t="s">
        <v>34</v>
      </c>
      <c r="F76" s="197">
        <f t="shared" si="2"/>
        <v>0</v>
      </c>
      <c r="G76" s="198"/>
      <c r="H76">
        <v>0</v>
      </c>
      <c r="I76" s="46">
        <v>0</v>
      </c>
      <c r="L76" s="262" t="s">
        <v>183</v>
      </c>
      <c r="M76" s="135" t="s">
        <v>184</v>
      </c>
      <c r="N76" s="73">
        <v>1</v>
      </c>
      <c r="O76" s="73" t="s">
        <v>33</v>
      </c>
      <c r="P76" s="73" t="s">
        <v>34</v>
      </c>
      <c r="Q76" s="197">
        <f t="shared" si="3"/>
        <v>0</v>
      </c>
    </row>
    <row r="77" spans="1:17">
      <c r="A77" s="263" t="s">
        <v>185</v>
      </c>
      <c r="B77" s="135" t="s">
        <v>186</v>
      </c>
      <c r="C77" s="189">
        <v>1</v>
      </c>
      <c r="D77" s="189" t="s">
        <v>33</v>
      </c>
      <c r="E77" s="73" t="s">
        <v>34</v>
      </c>
      <c r="F77" s="197">
        <f t="shared" si="2"/>
        <v>0</v>
      </c>
      <c r="G77" s="198"/>
      <c r="H77">
        <v>0</v>
      </c>
      <c r="I77" s="46">
        <v>0</v>
      </c>
      <c r="L77" s="263" t="s">
        <v>185</v>
      </c>
      <c r="M77" s="135" t="s">
        <v>186</v>
      </c>
      <c r="N77" s="73">
        <v>1</v>
      </c>
      <c r="O77" s="73" t="s">
        <v>33</v>
      </c>
      <c r="P77" s="73" t="s">
        <v>34</v>
      </c>
      <c r="Q77" s="197">
        <f t="shared" si="3"/>
        <v>0</v>
      </c>
    </row>
    <row r="78" spans="1:17">
      <c r="A78" s="262" t="s">
        <v>187</v>
      </c>
      <c r="B78" s="135" t="s">
        <v>188</v>
      </c>
      <c r="C78" s="189">
        <v>1</v>
      </c>
      <c r="D78" s="189" t="s">
        <v>33</v>
      </c>
      <c r="E78" s="73" t="s">
        <v>34</v>
      </c>
      <c r="F78" s="197">
        <f t="shared" si="2"/>
        <v>0</v>
      </c>
      <c r="G78" s="198"/>
      <c r="H78">
        <v>0</v>
      </c>
      <c r="I78" s="46">
        <v>0</v>
      </c>
      <c r="L78" s="262" t="s">
        <v>187</v>
      </c>
      <c r="M78" s="135" t="s">
        <v>188</v>
      </c>
      <c r="N78" s="73">
        <v>1</v>
      </c>
      <c r="O78" s="73" t="s">
        <v>33</v>
      </c>
      <c r="P78" s="73" t="s">
        <v>34</v>
      </c>
      <c r="Q78" s="197">
        <f t="shared" si="3"/>
        <v>0</v>
      </c>
    </row>
    <row r="79" spans="1:17">
      <c r="A79" s="262" t="s">
        <v>189</v>
      </c>
      <c r="B79" s="135" t="s">
        <v>190</v>
      </c>
      <c r="C79" s="189">
        <v>1</v>
      </c>
      <c r="D79" s="189" t="s">
        <v>33</v>
      </c>
      <c r="E79" s="73" t="s">
        <v>34</v>
      </c>
      <c r="F79" s="197">
        <f t="shared" si="2"/>
        <v>0</v>
      </c>
      <c r="G79" s="198"/>
      <c r="H79">
        <v>0</v>
      </c>
      <c r="I79" s="46">
        <v>0</v>
      </c>
      <c r="L79" s="262" t="s">
        <v>189</v>
      </c>
      <c r="M79" s="135" t="s">
        <v>190</v>
      </c>
      <c r="N79" s="73">
        <v>1</v>
      </c>
      <c r="O79" s="73" t="s">
        <v>33</v>
      </c>
      <c r="P79" s="73" t="s">
        <v>34</v>
      </c>
      <c r="Q79" s="197">
        <f t="shared" si="3"/>
        <v>0</v>
      </c>
    </row>
    <row r="80" spans="1:17">
      <c r="A80" s="263" t="s">
        <v>191</v>
      </c>
      <c r="B80" s="135" t="s">
        <v>192</v>
      </c>
      <c r="C80" s="189">
        <v>1</v>
      </c>
      <c r="D80" s="189" t="s">
        <v>33</v>
      </c>
      <c r="E80" s="73" t="s">
        <v>34</v>
      </c>
      <c r="F80" s="197">
        <f t="shared" si="2"/>
        <v>0</v>
      </c>
      <c r="G80" s="198"/>
      <c r="H80">
        <v>0</v>
      </c>
      <c r="I80" s="46">
        <v>0</v>
      </c>
      <c r="L80" s="263" t="s">
        <v>191</v>
      </c>
      <c r="M80" s="135" t="s">
        <v>192</v>
      </c>
      <c r="N80" s="73">
        <v>1</v>
      </c>
      <c r="O80" s="73" t="s">
        <v>33</v>
      </c>
      <c r="P80" s="73" t="s">
        <v>34</v>
      </c>
      <c r="Q80" s="197">
        <f t="shared" si="3"/>
        <v>0</v>
      </c>
    </row>
    <row r="81" spans="1:17">
      <c r="A81" s="262" t="s">
        <v>193</v>
      </c>
      <c r="B81" s="135" t="s">
        <v>194</v>
      </c>
      <c r="C81" s="189">
        <v>1</v>
      </c>
      <c r="D81" s="189" t="s">
        <v>33</v>
      </c>
      <c r="E81" s="73" t="s">
        <v>34</v>
      </c>
      <c r="F81" s="197">
        <f t="shared" si="2"/>
        <v>0</v>
      </c>
      <c r="H81">
        <v>0</v>
      </c>
      <c r="I81" s="46">
        <v>0</v>
      </c>
      <c r="L81" s="262" t="s">
        <v>193</v>
      </c>
      <c r="M81" s="135" t="s">
        <v>194</v>
      </c>
      <c r="N81" s="73">
        <v>1</v>
      </c>
      <c r="O81" s="73" t="s">
        <v>33</v>
      </c>
      <c r="P81" s="73" t="s">
        <v>34</v>
      </c>
      <c r="Q81" s="197">
        <f t="shared" si="3"/>
        <v>0</v>
      </c>
    </row>
    <row r="82" spans="1:17">
      <c r="A82" s="262" t="s">
        <v>195</v>
      </c>
      <c r="B82" s="135" t="s">
        <v>196</v>
      </c>
      <c r="C82" s="189">
        <v>1</v>
      </c>
      <c r="D82" s="189" t="s">
        <v>33</v>
      </c>
      <c r="E82" s="73" t="s">
        <v>34</v>
      </c>
      <c r="F82" s="197">
        <f t="shared" si="2"/>
        <v>0</v>
      </c>
      <c r="G82" s="198"/>
      <c r="H82">
        <v>0</v>
      </c>
      <c r="I82" s="46">
        <v>0</v>
      </c>
      <c r="L82" s="262" t="s">
        <v>195</v>
      </c>
      <c r="M82" s="135" t="s">
        <v>196</v>
      </c>
      <c r="N82" s="73">
        <v>1</v>
      </c>
      <c r="O82" s="73" t="s">
        <v>33</v>
      </c>
      <c r="P82" s="73" t="s">
        <v>34</v>
      </c>
      <c r="Q82" s="197">
        <f t="shared" si="3"/>
        <v>0</v>
      </c>
    </row>
    <row r="83" spans="1:17">
      <c r="A83" s="262" t="s">
        <v>197</v>
      </c>
      <c r="B83" s="135" t="s">
        <v>198</v>
      </c>
      <c r="C83" s="189">
        <v>1</v>
      </c>
      <c r="D83" s="189" t="s">
        <v>33</v>
      </c>
      <c r="E83" s="73" t="s">
        <v>34</v>
      </c>
      <c r="F83" s="197">
        <f t="shared" si="2"/>
        <v>0</v>
      </c>
      <c r="G83" s="198"/>
      <c r="H83">
        <v>0</v>
      </c>
      <c r="I83" s="46">
        <v>0</v>
      </c>
      <c r="L83" s="262" t="s">
        <v>197</v>
      </c>
      <c r="M83" s="135" t="s">
        <v>198</v>
      </c>
      <c r="N83" s="73">
        <v>1</v>
      </c>
      <c r="O83" s="73" t="s">
        <v>33</v>
      </c>
      <c r="P83" s="73" t="s">
        <v>34</v>
      </c>
      <c r="Q83" s="197">
        <f t="shared" si="3"/>
        <v>0</v>
      </c>
    </row>
    <row r="84" spans="1:17">
      <c r="A84" s="262" t="s">
        <v>199</v>
      </c>
      <c r="B84" s="135" t="s">
        <v>200</v>
      </c>
      <c r="C84" s="189">
        <v>1</v>
      </c>
      <c r="D84" s="189" t="s">
        <v>33</v>
      </c>
      <c r="E84" s="73" t="s">
        <v>34</v>
      </c>
      <c r="F84" s="197">
        <f t="shared" si="2"/>
        <v>0</v>
      </c>
      <c r="G84" s="198"/>
      <c r="H84">
        <v>0</v>
      </c>
      <c r="I84" s="46">
        <v>0</v>
      </c>
      <c r="L84" s="262" t="s">
        <v>199</v>
      </c>
      <c r="M84" s="135" t="s">
        <v>200</v>
      </c>
      <c r="N84" s="73">
        <v>1</v>
      </c>
      <c r="O84" s="73" t="s">
        <v>33</v>
      </c>
      <c r="P84" s="73" t="s">
        <v>34</v>
      </c>
      <c r="Q84" s="197">
        <f t="shared" si="3"/>
        <v>0</v>
      </c>
    </row>
    <row r="85" spans="1:17">
      <c r="A85" s="263" t="s">
        <v>201</v>
      </c>
      <c r="B85" s="135" t="s">
        <v>202</v>
      </c>
      <c r="C85" s="189">
        <v>1</v>
      </c>
      <c r="D85" s="189" t="s">
        <v>33</v>
      </c>
      <c r="E85" s="73" t="s">
        <v>34</v>
      </c>
      <c r="F85" s="197">
        <f t="shared" si="2"/>
        <v>0</v>
      </c>
      <c r="G85" s="198"/>
      <c r="H85">
        <v>0</v>
      </c>
      <c r="I85" s="46">
        <v>0</v>
      </c>
      <c r="L85" s="263" t="s">
        <v>201</v>
      </c>
      <c r="M85" s="135" t="s">
        <v>202</v>
      </c>
      <c r="N85" s="73">
        <v>1</v>
      </c>
      <c r="O85" s="73" t="s">
        <v>33</v>
      </c>
      <c r="P85" s="73" t="s">
        <v>34</v>
      </c>
      <c r="Q85" s="197">
        <f t="shared" si="3"/>
        <v>0</v>
      </c>
    </row>
    <row r="86" spans="1:17">
      <c r="A86" s="195" t="s">
        <v>203</v>
      </c>
      <c r="B86" s="196" t="s">
        <v>204</v>
      </c>
      <c r="C86" s="189">
        <v>2</v>
      </c>
      <c r="D86" s="189" t="s">
        <v>39</v>
      </c>
      <c r="E86" s="73" t="s">
        <v>40</v>
      </c>
      <c r="F86" s="197">
        <f t="shared" si="2"/>
        <v>1</v>
      </c>
      <c r="G86" s="198"/>
      <c r="H86">
        <v>0</v>
      </c>
      <c r="I86" s="46">
        <v>0</v>
      </c>
      <c r="L86" s="195" t="s">
        <v>203</v>
      </c>
      <c r="M86" s="196" t="s">
        <v>204</v>
      </c>
      <c r="N86" s="73">
        <v>2</v>
      </c>
      <c r="O86" s="73" t="s">
        <v>39</v>
      </c>
      <c r="P86" s="73" t="s">
        <v>40</v>
      </c>
      <c r="Q86" s="197">
        <f t="shared" si="3"/>
        <v>1</v>
      </c>
    </row>
    <row r="87" spans="1:17">
      <c r="A87" s="195" t="s">
        <v>205</v>
      </c>
      <c r="B87" s="196" t="s">
        <v>206</v>
      </c>
      <c r="C87" s="189">
        <v>1</v>
      </c>
      <c r="D87" s="189" t="s">
        <v>33</v>
      </c>
      <c r="E87" s="73" t="s">
        <v>34</v>
      </c>
      <c r="F87" s="197">
        <f t="shared" si="2"/>
        <v>0</v>
      </c>
      <c r="G87" s="198"/>
      <c r="H87">
        <v>0</v>
      </c>
      <c r="I87" s="46">
        <v>0</v>
      </c>
      <c r="L87" s="195" t="s">
        <v>205</v>
      </c>
      <c r="M87" s="196" t="s">
        <v>206</v>
      </c>
      <c r="N87" s="73">
        <v>1</v>
      </c>
      <c r="O87" s="73" t="s">
        <v>33</v>
      </c>
      <c r="P87" s="73" t="s">
        <v>34</v>
      </c>
      <c r="Q87" s="197">
        <f t="shared" si="3"/>
        <v>0</v>
      </c>
    </row>
    <row r="88" spans="1:17">
      <c r="A88" s="195" t="s">
        <v>207</v>
      </c>
      <c r="B88" s="196" t="s">
        <v>208</v>
      </c>
      <c r="C88" s="189">
        <v>1</v>
      </c>
      <c r="D88" s="189" t="s">
        <v>33</v>
      </c>
      <c r="E88" s="73" t="s">
        <v>34</v>
      </c>
      <c r="F88" s="197">
        <f t="shared" si="2"/>
        <v>0</v>
      </c>
      <c r="G88" s="198"/>
      <c r="H88">
        <v>0</v>
      </c>
      <c r="I88" s="46">
        <v>0</v>
      </c>
      <c r="L88" s="195" t="s">
        <v>207</v>
      </c>
      <c r="M88" s="196" t="s">
        <v>208</v>
      </c>
      <c r="N88" s="73">
        <v>1</v>
      </c>
      <c r="O88" s="73" t="s">
        <v>33</v>
      </c>
      <c r="P88" s="73" t="s">
        <v>34</v>
      </c>
      <c r="Q88" s="197">
        <f t="shared" si="3"/>
        <v>0</v>
      </c>
    </row>
    <row r="89" spans="1:17">
      <c r="A89" s="195" t="s">
        <v>209</v>
      </c>
      <c r="B89" s="196" t="s">
        <v>210</v>
      </c>
      <c r="C89" s="189">
        <v>2</v>
      </c>
      <c r="D89" s="189" t="s">
        <v>39</v>
      </c>
      <c r="E89" s="73" t="s">
        <v>40</v>
      </c>
      <c r="F89" s="197">
        <f t="shared" si="2"/>
        <v>1</v>
      </c>
      <c r="G89" s="198"/>
      <c r="H89">
        <v>0</v>
      </c>
      <c r="I89" s="46">
        <v>0</v>
      </c>
      <c r="L89" s="195" t="s">
        <v>209</v>
      </c>
      <c r="M89" s="196" t="s">
        <v>210</v>
      </c>
      <c r="N89" s="73">
        <v>2</v>
      </c>
      <c r="O89" s="73" t="s">
        <v>39</v>
      </c>
      <c r="P89" s="73" t="s">
        <v>40</v>
      </c>
      <c r="Q89" s="197">
        <f t="shared" si="3"/>
        <v>1</v>
      </c>
    </row>
    <row r="90" spans="1:17">
      <c r="A90" s="195" t="s">
        <v>211</v>
      </c>
      <c r="B90" s="196" t="s">
        <v>212</v>
      </c>
      <c r="C90" s="189">
        <v>1</v>
      </c>
      <c r="D90" s="189" t="s">
        <v>33</v>
      </c>
      <c r="E90" s="73" t="s">
        <v>34</v>
      </c>
      <c r="F90" s="197">
        <f t="shared" si="2"/>
        <v>0</v>
      </c>
      <c r="G90" s="198"/>
      <c r="H90">
        <v>0</v>
      </c>
      <c r="I90" s="46">
        <v>0</v>
      </c>
      <c r="L90" s="195" t="s">
        <v>211</v>
      </c>
      <c r="M90" s="196" t="s">
        <v>212</v>
      </c>
      <c r="N90" s="73">
        <v>1</v>
      </c>
      <c r="O90" s="73" t="s">
        <v>33</v>
      </c>
      <c r="P90" s="73" t="s">
        <v>34</v>
      </c>
      <c r="Q90" s="197">
        <f t="shared" si="3"/>
        <v>0</v>
      </c>
    </row>
    <row r="91" spans="1:17">
      <c r="A91" s="195" t="s">
        <v>213</v>
      </c>
      <c r="B91" s="196" t="s">
        <v>214</v>
      </c>
      <c r="C91" s="189">
        <v>1</v>
      </c>
      <c r="D91" s="189" t="s">
        <v>33</v>
      </c>
      <c r="E91" s="73" t="s">
        <v>34</v>
      </c>
      <c r="F91" s="197">
        <f t="shared" si="2"/>
        <v>0</v>
      </c>
      <c r="G91" s="198"/>
      <c r="H91">
        <v>0</v>
      </c>
      <c r="I91" s="46">
        <v>0</v>
      </c>
      <c r="L91" s="195" t="s">
        <v>213</v>
      </c>
      <c r="M91" s="196" t="s">
        <v>214</v>
      </c>
      <c r="N91" s="73">
        <v>1</v>
      </c>
      <c r="O91" s="73" t="s">
        <v>33</v>
      </c>
      <c r="P91" s="73" t="s">
        <v>34</v>
      </c>
      <c r="Q91" s="197">
        <f t="shared" si="3"/>
        <v>0</v>
      </c>
    </row>
    <row r="92" spans="1:17">
      <c r="A92" s="195" t="s">
        <v>215</v>
      </c>
      <c r="B92" s="196" t="s">
        <v>216</v>
      </c>
      <c r="C92" s="189">
        <v>1</v>
      </c>
      <c r="D92" s="189" t="s">
        <v>33</v>
      </c>
      <c r="E92" s="73" t="s">
        <v>34</v>
      </c>
      <c r="F92" s="197">
        <f t="shared" si="2"/>
        <v>0</v>
      </c>
      <c r="G92" s="198"/>
      <c r="H92">
        <v>0</v>
      </c>
      <c r="I92" s="46">
        <v>0</v>
      </c>
      <c r="L92" s="195" t="s">
        <v>215</v>
      </c>
      <c r="M92" s="196" t="s">
        <v>216</v>
      </c>
      <c r="N92" s="73">
        <v>1</v>
      </c>
      <c r="O92" s="73" t="s">
        <v>33</v>
      </c>
      <c r="P92" s="73" t="s">
        <v>34</v>
      </c>
      <c r="Q92" s="197">
        <f t="shared" si="3"/>
        <v>0</v>
      </c>
    </row>
    <row r="93" spans="1:17">
      <c r="A93" s="195" t="s">
        <v>217</v>
      </c>
      <c r="B93" s="196" t="s">
        <v>218</v>
      </c>
      <c r="C93" s="189">
        <v>2</v>
      </c>
      <c r="D93" s="189" t="s">
        <v>33</v>
      </c>
      <c r="E93" s="73" t="s">
        <v>34</v>
      </c>
      <c r="F93" s="197">
        <f t="shared" si="2"/>
        <v>0</v>
      </c>
      <c r="G93" s="46"/>
      <c r="H93">
        <v>0</v>
      </c>
      <c r="I93" s="46">
        <v>0</v>
      </c>
      <c r="L93" s="195" t="s">
        <v>217</v>
      </c>
      <c r="M93" s="196" t="s">
        <v>218</v>
      </c>
      <c r="N93" s="73">
        <v>2</v>
      </c>
      <c r="O93" s="73" t="s">
        <v>33</v>
      </c>
      <c r="P93" s="73" t="s">
        <v>34</v>
      </c>
      <c r="Q93" s="197">
        <f t="shared" si="3"/>
        <v>0</v>
      </c>
    </row>
    <row r="94" spans="1:17">
      <c r="A94" s="195" t="s">
        <v>219</v>
      </c>
      <c r="B94" s="196" t="s">
        <v>220</v>
      </c>
      <c r="C94" s="189">
        <v>1</v>
      </c>
      <c r="D94" s="189" t="s">
        <v>33</v>
      </c>
      <c r="E94" s="73" t="s">
        <v>34</v>
      </c>
      <c r="F94" s="197">
        <f t="shared" si="2"/>
        <v>0</v>
      </c>
      <c r="G94" s="198"/>
      <c r="H94">
        <v>0</v>
      </c>
      <c r="I94" s="46">
        <v>0</v>
      </c>
      <c r="L94" s="195" t="s">
        <v>219</v>
      </c>
      <c r="M94" s="196" t="s">
        <v>220</v>
      </c>
      <c r="N94" s="73">
        <v>1</v>
      </c>
      <c r="O94" s="73" t="s">
        <v>33</v>
      </c>
      <c r="P94" s="73" t="s">
        <v>34</v>
      </c>
      <c r="Q94" s="197">
        <f t="shared" si="3"/>
        <v>0</v>
      </c>
    </row>
    <row r="95" spans="1:17">
      <c r="A95" s="195" t="s">
        <v>221</v>
      </c>
      <c r="B95" s="196" t="s">
        <v>222</v>
      </c>
      <c r="C95" s="189">
        <v>2</v>
      </c>
      <c r="D95" s="189" t="s">
        <v>39</v>
      </c>
      <c r="E95" s="73" t="s">
        <v>34</v>
      </c>
      <c r="F95" s="197">
        <f t="shared" si="2"/>
        <v>1</v>
      </c>
      <c r="G95" s="198"/>
      <c r="H95">
        <v>0</v>
      </c>
      <c r="I95" s="46">
        <v>0</v>
      </c>
      <c r="L95" s="195" t="s">
        <v>221</v>
      </c>
      <c r="M95" s="196" t="s">
        <v>222</v>
      </c>
      <c r="N95" s="73">
        <v>2</v>
      </c>
      <c r="O95" s="73" t="s">
        <v>39</v>
      </c>
      <c r="P95" s="73" t="s">
        <v>34</v>
      </c>
      <c r="Q95" s="197">
        <f t="shared" si="3"/>
        <v>1</v>
      </c>
    </row>
    <row r="96" spans="1:17">
      <c r="A96" s="195" t="s">
        <v>223</v>
      </c>
      <c r="B96" s="196" t="s">
        <v>224</v>
      </c>
      <c r="C96" s="189">
        <v>2</v>
      </c>
      <c r="D96" s="189" t="s">
        <v>39</v>
      </c>
      <c r="E96" s="73" t="s">
        <v>34</v>
      </c>
      <c r="F96" s="197">
        <f t="shared" si="2"/>
        <v>1</v>
      </c>
      <c r="G96" s="198"/>
      <c r="H96">
        <v>0</v>
      </c>
      <c r="I96" s="46">
        <v>0</v>
      </c>
      <c r="L96" s="195" t="s">
        <v>223</v>
      </c>
      <c r="M96" s="196" t="s">
        <v>224</v>
      </c>
      <c r="N96" s="73">
        <v>2</v>
      </c>
      <c r="O96" s="73" t="s">
        <v>39</v>
      </c>
      <c r="P96" s="73" t="s">
        <v>34</v>
      </c>
      <c r="Q96" s="197">
        <f t="shared" si="3"/>
        <v>1</v>
      </c>
    </row>
    <row r="97" spans="1:17">
      <c r="A97" s="195" t="s">
        <v>225</v>
      </c>
      <c r="B97" s="196" t="s">
        <v>226</v>
      </c>
      <c r="C97" s="189">
        <v>2</v>
      </c>
      <c r="D97" s="358" t="s">
        <v>33</v>
      </c>
      <c r="E97" s="73" t="s">
        <v>34</v>
      </c>
      <c r="F97" s="197">
        <f t="shared" si="2"/>
        <v>0</v>
      </c>
      <c r="G97" s="198"/>
      <c r="H97">
        <v>0</v>
      </c>
      <c r="I97" s="353">
        <v>1</v>
      </c>
      <c r="L97" s="195" t="s">
        <v>225</v>
      </c>
      <c r="M97" s="196" t="s">
        <v>226</v>
      </c>
      <c r="N97" s="73">
        <v>2</v>
      </c>
      <c r="O97" s="354" t="s">
        <v>39</v>
      </c>
      <c r="P97" s="73" t="s">
        <v>34</v>
      </c>
      <c r="Q97" s="197">
        <f t="shared" si="3"/>
        <v>1</v>
      </c>
    </row>
    <row r="98" spans="1:17">
      <c r="A98" s="195" t="s">
        <v>227</v>
      </c>
      <c r="B98" s="196" t="s">
        <v>228</v>
      </c>
      <c r="C98" s="189">
        <v>2</v>
      </c>
      <c r="D98" s="189" t="s">
        <v>33</v>
      </c>
      <c r="E98" s="73" t="s">
        <v>34</v>
      </c>
      <c r="F98" s="197">
        <f t="shared" si="2"/>
        <v>0</v>
      </c>
      <c r="G98" s="198"/>
      <c r="H98">
        <v>0</v>
      </c>
      <c r="I98" s="46">
        <v>0</v>
      </c>
      <c r="L98" s="195" t="s">
        <v>227</v>
      </c>
      <c r="M98" s="196" t="s">
        <v>228</v>
      </c>
      <c r="N98" s="73">
        <v>2</v>
      </c>
      <c r="O98" s="73" t="s">
        <v>33</v>
      </c>
      <c r="P98" s="73" t="s">
        <v>34</v>
      </c>
      <c r="Q98" s="197">
        <f t="shared" si="3"/>
        <v>0</v>
      </c>
    </row>
    <row r="99" spans="1:17">
      <c r="A99" s="195" t="s">
        <v>229</v>
      </c>
      <c r="B99" s="196" t="s">
        <v>230</v>
      </c>
      <c r="C99" s="189">
        <v>2</v>
      </c>
      <c r="D99" s="189" t="s">
        <v>33</v>
      </c>
      <c r="E99" s="73" t="s">
        <v>34</v>
      </c>
      <c r="F99" s="197">
        <f t="shared" si="2"/>
        <v>0</v>
      </c>
      <c r="G99" s="198"/>
      <c r="H99">
        <v>0</v>
      </c>
      <c r="I99" s="46">
        <v>0</v>
      </c>
      <c r="L99" s="195" t="s">
        <v>229</v>
      </c>
      <c r="M99" s="196" t="s">
        <v>230</v>
      </c>
      <c r="N99" s="73">
        <v>2</v>
      </c>
      <c r="O99" s="73" t="s">
        <v>33</v>
      </c>
      <c r="P99" s="73" t="s">
        <v>34</v>
      </c>
      <c r="Q99" s="197">
        <f t="shared" si="3"/>
        <v>0</v>
      </c>
    </row>
    <row r="100" spans="1:17">
      <c r="A100" s="195" t="s">
        <v>231</v>
      </c>
      <c r="B100" s="196" t="s">
        <v>232</v>
      </c>
      <c r="C100" s="189">
        <v>1</v>
      </c>
      <c r="D100" s="189" t="s">
        <v>33</v>
      </c>
      <c r="E100" s="73" t="s">
        <v>34</v>
      </c>
      <c r="F100" s="197">
        <f t="shared" si="2"/>
        <v>0</v>
      </c>
      <c r="G100" s="198"/>
      <c r="H100">
        <v>0</v>
      </c>
      <c r="I100" s="46">
        <v>0</v>
      </c>
      <c r="L100" s="195" t="s">
        <v>231</v>
      </c>
      <c r="M100" s="196" t="s">
        <v>232</v>
      </c>
      <c r="N100" s="73">
        <v>1</v>
      </c>
      <c r="O100" s="73" t="s">
        <v>33</v>
      </c>
      <c r="P100" s="73" t="s">
        <v>34</v>
      </c>
      <c r="Q100" s="197">
        <f t="shared" si="3"/>
        <v>0</v>
      </c>
    </row>
    <row r="101" spans="1:17">
      <c r="A101" s="195" t="s">
        <v>233</v>
      </c>
      <c r="B101" s="196" t="s">
        <v>234</v>
      </c>
      <c r="C101" s="189">
        <v>2</v>
      </c>
      <c r="D101" s="189" t="s">
        <v>33</v>
      </c>
      <c r="E101" s="73" t="s">
        <v>34</v>
      </c>
      <c r="F101" s="197">
        <f t="shared" si="2"/>
        <v>0</v>
      </c>
      <c r="G101" s="198"/>
      <c r="H101">
        <v>0</v>
      </c>
      <c r="I101" s="46">
        <v>0</v>
      </c>
      <c r="L101" s="195" t="s">
        <v>233</v>
      </c>
      <c r="M101" s="196" t="s">
        <v>234</v>
      </c>
      <c r="N101" s="73">
        <v>2</v>
      </c>
      <c r="O101" s="73" t="s">
        <v>33</v>
      </c>
      <c r="P101" s="73" t="s">
        <v>34</v>
      </c>
      <c r="Q101" s="197">
        <f t="shared" si="3"/>
        <v>0</v>
      </c>
    </row>
    <row r="102" spans="1:17">
      <c r="A102" s="195" t="s">
        <v>235</v>
      </c>
      <c r="B102" s="196" t="s">
        <v>236</v>
      </c>
      <c r="C102" s="189">
        <v>1</v>
      </c>
      <c r="D102" s="189" t="s">
        <v>33</v>
      </c>
      <c r="E102" s="73" t="s">
        <v>34</v>
      </c>
      <c r="F102" s="197">
        <f t="shared" si="2"/>
        <v>0</v>
      </c>
      <c r="G102" s="198"/>
      <c r="H102">
        <v>0</v>
      </c>
      <c r="I102" s="46">
        <v>0</v>
      </c>
      <c r="L102" s="195" t="s">
        <v>235</v>
      </c>
      <c r="M102" s="196" t="s">
        <v>236</v>
      </c>
      <c r="N102" s="73">
        <v>1</v>
      </c>
      <c r="O102" s="73" t="s">
        <v>33</v>
      </c>
      <c r="P102" s="73" t="s">
        <v>34</v>
      </c>
      <c r="Q102" s="197">
        <f t="shared" si="3"/>
        <v>0</v>
      </c>
    </row>
    <row r="103" spans="1:17">
      <c r="A103" s="195" t="s">
        <v>237</v>
      </c>
      <c r="B103" s="196" t="s">
        <v>238</v>
      </c>
      <c r="C103" s="189">
        <v>2</v>
      </c>
      <c r="D103" s="189" t="s">
        <v>39</v>
      </c>
      <c r="E103" s="73" t="s">
        <v>40</v>
      </c>
      <c r="F103" s="197">
        <f t="shared" si="2"/>
        <v>1</v>
      </c>
      <c r="G103" s="198"/>
      <c r="H103">
        <v>0</v>
      </c>
      <c r="I103" s="46">
        <v>0</v>
      </c>
      <c r="L103" s="195" t="s">
        <v>237</v>
      </c>
      <c r="M103" s="196" t="s">
        <v>238</v>
      </c>
      <c r="N103" s="73">
        <v>2</v>
      </c>
      <c r="O103" s="73" t="s">
        <v>39</v>
      </c>
      <c r="P103" s="73" t="s">
        <v>40</v>
      </c>
      <c r="Q103" s="197">
        <f t="shared" si="3"/>
        <v>1</v>
      </c>
    </row>
    <row r="104" spans="1:17">
      <c r="A104" s="195" t="s">
        <v>239</v>
      </c>
      <c r="B104" s="196" t="s">
        <v>240</v>
      </c>
      <c r="C104" s="189">
        <v>2</v>
      </c>
      <c r="D104" s="189" t="s">
        <v>39</v>
      </c>
      <c r="E104" s="73" t="s">
        <v>40</v>
      </c>
      <c r="F104" s="197">
        <f t="shared" si="2"/>
        <v>1</v>
      </c>
      <c r="G104" s="198"/>
      <c r="H104">
        <v>0</v>
      </c>
      <c r="I104" s="46">
        <v>0</v>
      </c>
      <c r="L104" s="195" t="s">
        <v>239</v>
      </c>
      <c r="M104" s="196" t="s">
        <v>240</v>
      </c>
      <c r="N104" s="73">
        <v>2</v>
      </c>
      <c r="O104" s="73" t="s">
        <v>39</v>
      </c>
      <c r="P104" s="73" t="s">
        <v>40</v>
      </c>
      <c r="Q104" s="197">
        <f t="shared" si="3"/>
        <v>1</v>
      </c>
    </row>
    <row r="105" spans="1:17">
      <c r="A105" s="195" t="s">
        <v>241</v>
      </c>
      <c r="B105" s="196" t="s">
        <v>242</v>
      </c>
      <c r="C105" s="189">
        <v>2</v>
      </c>
      <c r="D105" s="189" t="s">
        <v>39</v>
      </c>
      <c r="E105" s="73" t="s">
        <v>40</v>
      </c>
      <c r="F105" s="197">
        <f t="shared" si="2"/>
        <v>1</v>
      </c>
      <c r="G105" s="198"/>
      <c r="H105">
        <v>0</v>
      </c>
      <c r="I105" s="46">
        <v>0</v>
      </c>
      <c r="L105" s="195" t="s">
        <v>241</v>
      </c>
      <c r="M105" s="196" t="s">
        <v>242</v>
      </c>
      <c r="N105" s="73">
        <v>2</v>
      </c>
      <c r="O105" s="73" t="s">
        <v>39</v>
      </c>
      <c r="P105" s="73" t="s">
        <v>40</v>
      </c>
      <c r="Q105" s="197">
        <f t="shared" si="3"/>
        <v>1</v>
      </c>
    </row>
    <row r="106" spans="1:17">
      <c r="A106" s="195" t="s">
        <v>243</v>
      </c>
      <c r="B106" s="196" t="s">
        <v>244</v>
      </c>
      <c r="C106" s="189">
        <v>2</v>
      </c>
      <c r="D106" s="189" t="s">
        <v>39</v>
      </c>
      <c r="E106" s="73" t="s">
        <v>40</v>
      </c>
      <c r="F106" s="197">
        <f t="shared" si="2"/>
        <v>1</v>
      </c>
      <c r="G106" s="198"/>
      <c r="H106">
        <v>0</v>
      </c>
      <c r="I106" s="46">
        <v>0</v>
      </c>
      <c r="L106" s="195" t="s">
        <v>243</v>
      </c>
      <c r="M106" s="196" t="s">
        <v>244</v>
      </c>
      <c r="N106" s="73">
        <v>2</v>
      </c>
      <c r="O106" s="73" t="s">
        <v>39</v>
      </c>
      <c r="P106" s="73" t="s">
        <v>40</v>
      </c>
      <c r="Q106" s="197">
        <f t="shared" si="3"/>
        <v>1</v>
      </c>
    </row>
    <row r="107" spans="1:17">
      <c r="A107" s="195" t="s">
        <v>245</v>
      </c>
      <c r="B107" s="196" t="s">
        <v>246</v>
      </c>
      <c r="C107" s="189">
        <v>2</v>
      </c>
      <c r="D107" s="189" t="s">
        <v>39</v>
      </c>
      <c r="E107" s="73" t="s">
        <v>34</v>
      </c>
      <c r="F107" s="197">
        <f t="shared" si="2"/>
        <v>1</v>
      </c>
      <c r="G107" s="198"/>
      <c r="H107">
        <v>0</v>
      </c>
      <c r="I107" s="46">
        <v>0</v>
      </c>
      <c r="L107" s="195" t="s">
        <v>245</v>
      </c>
      <c r="M107" s="196" t="s">
        <v>246</v>
      </c>
      <c r="N107" s="73">
        <v>2</v>
      </c>
      <c r="O107" s="73" t="s">
        <v>39</v>
      </c>
      <c r="P107" s="73" t="s">
        <v>34</v>
      </c>
      <c r="Q107" s="197">
        <f t="shared" si="3"/>
        <v>1</v>
      </c>
    </row>
    <row r="108" spans="1:17">
      <c r="A108" s="195" t="s">
        <v>247</v>
      </c>
      <c r="B108" s="196" t="s">
        <v>248</v>
      </c>
      <c r="C108" s="189">
        <v>2</v>
      </c>
      <c r="D108" s="189" t="s">
        <v>33</v>
      </c>
      <c r="E108" s="73" t="s">
        <v>34</v>
      </c>
      <c r="F108" s="197">
        <f t="shared" si="2"/>
        <v>0</v>
      </c>
      <c r="G108" s="198"/>
      <c r="H108">
        <v>0</v>
      </c>
      <c r="I108" s="46">
        <v>0</v>
      </c>
      <c r="L108" s="195" t="s">
        <v>247</v>
      </c>
      <c r="M108" s="196" t="s">
        <v>248</v>
      </c>
      <c r="N108" s="73">
        <v>2</v>
      </c>
      <c r="O108" s="73" t="s">
        <v>33</v>
      </c>
      <c r="P108" s="73" t="s">
        <v>34</v>
      </c>
      <c r="Q108" s="197">
        <f t="shared" si="3"/>
        <v>0</v>
      </c>
    </row>
    <row r="109" spans="1:17">
      <c r="A109" s="195" t="s">
        <v>249</v>
      </c>
      <c r="B109" s="196" t="s">
        <v>250</v>
      </c>
      <c r="C109" s="189">
        <v>1</v>
      </c>
      <c r="D109" s="189" t="s">
        <v>33</v>
      </c>
      <c r="E109" s="73" t="s">
        <v>34</v>
      </c>
      <c r="F109" s="197">
        <f t="shared" si="2"/>
        <v>0</v>
      </c>
      <c r="G109" s="198"/>
      <c r="H109">
        <v>0</v>
      </c>
      <c r="I109" s="46">
        <v>0</v>
      </c>
      <c r="L109" s="195" t="s">
        <v>249</v>
      </c>
      <c r="M109" s="196" t="s">
        <v>250</v>
      </c>
      <c r="N109" s="73">
        <v>1</v>
      </c>
      <c r="O109" s="73" t="s">
        <v>33</v>
      </c>
      <c r="P109" s="73" t="s">
        <v>34</v>
      </c>
      <c r="Q109" s="197">
        <f t="shared" si="3"/>
        <v>0</v>
      </c>
    </row>
    <row r="110" spans="1:17">
      <c r="A110" s="195" t="s">
        <v>251</v>
      </c>
      <c r="B110" s="196" t="s">
        <v>252</v>
      </c>
      <c r="C110" s="189">
        <v>2</v>
      </c>
      <c r="D110" s="189" t="s">
        <v>33</v>
      </c>
      <c r="E110" s="73" t="s">
        <v>34</v>
      </c>
      <c r="F110" s="197">
        <f t="shared" si="2"/>
        <v>0</v>
      </c>
      <c r="G110" s="198"/>
      <c r="H110">
        <v>0</v>
      </c>
      <c r="I110" s="46">
        <v>0</v>
      </c>
      <c r="L110" s="195" t="s">
        <v>251</v>
      </c>
      <c r="M110" s="196" t="s">
        <v>252</v>
      </c>
      <c r="N110" s="73">
        <v>2</v>
      </c>
      <c r="O110" s="73" t="s">
        <v>33</v>
      </c>
      <c r="P110" s="73" t="s">
        <v>34</v>
      </c>
      <c r="Q110" s="197">
        <f t="shared" si="3"/>
        <v>0</v>
      </c>
    </row>
    <row r="111" spans="1:17">
      <c r="A111" s="195" t="s">
        <v>253</v>
      </c>
      <c r="B111" s="196" t="s">
        <v>254</v>
      </c>
      <c r="C111" s="189">
        <v>2</v>
      </c>
      <c r="D111" s="189" t="s">
        <v>39</v>
      </c>
      <c r="E111" s="73" t="s">
        <v>40</v>
      </c>
      <c r="F111" s="197">
        <f t="shared" si="2"/>
        <v>1</v>
      </c>
      <c r="G111" s="198"/>
      <c r="H111">
        <v>0</v>
      </c>
      <c r="I111" s="46">
        <v>0</v>
      </c>
      <c r="L111" s="195" t="s">
        <v>253</v>
      </c>
      <c r="M111" s="196" t="s">
        <v>254</v>
      </c>
      <c r="N111" s="73">
        <v>2</v>
      </c>
      <c r="O111" s="73" t="s">
        <v>39</v>
      </c>
      <c r="P111" s="73" t="s">
        <v>40</v>
      </c>
      <c r="Q111" s="197">
        <f t="shared" si="3"/>
        <v>1</v>
      </c>
    </row>
    <row r="112" spans="1:17">
      <c r="A112" s="195" t="s">
        <v>255</v>
      </c>
      <c r="B112" s="196" t="s">
        <v>256</v>
      </c>
      <c r="C112" s="189">
        <v>2</v>
      </c>
      <c r="D112" s="189" t="s">
        <v>33</v>
      </c>
      <c r="E112" s="73" t="s">
        <v>34</v>
      </c>
      <c r="F112" s="197">
        <f t="shared" si="2"/>
        <v>0</v>
      </c>
      <c r="G112" s="198"/>
      <c r="H112">
        <v>0</v>
      </c>
      <c r="I112" s="46">
        <v>0</v>
      </c>
      <c r="L112" s="195" t="s">
        <v>255</v>
      </c>
      <c r="M112" s="196" t="s">
        <v>256</v>
      </c>
      <c r="N112" s="73">
        <v>2</v>
      </c>
      <c r="O112" s="73" t="s">
        <v>33</v>
      </c>
      <c r="P112" s="73" t="s">
        <v>34</v>
      </c>
      <c r="Q112" s="197">
        <f t="shared" si="3"/>
        <v>0</v>
      </c>
    </row>
    <row r="113" spans="1:17">
      <c r="A113" s="158" t="s">
        <v>257</v>
      </c>
      <c r="B113" s="135" t="s">
        <v>258</v>
      </c>
      <c r="C113" s="189">
        <v>2</v>
      </c>
      <c r="D113" s="189" t="s">
        <v>33</v>
      </c>
      <c r="E113" s="73" t="s">
        <v>34</v>
      </c>
      <c r="F113" s="197">
        <f t="shared" si="2"/>
        <v>0</v>
      </c>
      <c r="G113" s="198"/>
      <c r="H113">
        <v>0</v>
      </c>
      <c r="I113" s="46">
        <v>0</v>
      </c>
      <c r="L113" s="158" t="s">
        <v>257</v>
      </c>
      <c r="M113" s="135" t="s">
        <v>258</v>
      </c>
      <c r="N113" s="73">
        <v>2</v>
      </c>
      <c r="O113" s="73" t="s">
        <v>33</v>
      </c>
      <c r="P113" s="73" t="s">
        <v>34</v>
      </c>
      <c r="Q113" s="197">
        <f t="shared" si="3"/>
        <v>0</v>
      </c>
    </row>
    <row r="114" spans="1:17">
      <c r="A114" s="203" t="s">
        <v>259</v>
      </c>
      <c r="B114" s="135" t="s">
        <v>260</v>
      </c>
      <c r="C114" s="189">
        <v>2</v>
      </c>
      <c r="D114" s="189" t="s">
        <v>33</v>
      </c>
      <c r="E114" s="73" t="s">
        <v>34</v>
      </c>
      <c r="F114" s="197">
        <f t="shared" si="2"/>
        <v>0</v>
      </c>
      <c r="G114" s="198"/>
      <c r="H114">
        <v>0</v>
      </c>
      <c r="I114" s="46">
        <v>0</v>
      </c>
      <c r="L114" s="203" t="s">
        <v>259</v>
      </c>
      <c r="M114" s="135" t="s">
        <v>260</v>
      </c>
      <c r="N114" s="73">
        <v>2</v>
      </c>
      <c r="O114" s="73" t="s">
        <v>33</v>
      </c>
      <c r="P114" s="73" t="s">
        <v>34</v>
      </c>
      <c r="Q114" s="197">
        <f t="shared" si="3"/>
        <v>0</v>
      </c>
    </row>
    <row r="115" spans="1:17">
      <c r="A115" s="158" t="s">
        <v>261</v>
      </c>
      <c r="B115" s="135" t="s">
        <v>262</v>
      </c>
      <c r="C115" s="189">
        <v>2</v>
      </c>
      <c r="D115" s="189" t="s">
        <v>33</v>
      </c>
      <c r="E115" s="73" t="s">
        <v>34</v>
      </c>
      <c r="F115" s="197">
        <f t="shared" si="2"/>
        <v>0</v>
      </c>
      <c r="G115" s="198"/>
      <c r="H115">
        <v>0</v>
      </c>
      <c r="I115" s="46">
        <v>0</v>
      </c>
      <c r="L115" s="158" t="s">
        <v>261</v>
      </c>
      <c r="M115" s="135" t="s">
        <v>262</v>
      </c>
      <c r="N115" s="73">
        <v>2</v>
      </c>
      <c r="O115" s="73" t="s">
        <v>33</v>
      </c>
      <c r="P115" s="73" t="s">
        <v>34</v>
      </c>
      <c r="Q115" s="197">
        <f t="shared" si="3"/>
        <v>0</v>
      </c>
    </row>
    <row r="116" spans="1:17">
      <c r="A116" s="195" t="s">
        <v>263</v>
      </c>
      <c r="B116" s="196" t="s">
        <v>264</v>
      </c>
      <c r="C116" s="189">
        <v>2</v>
      </c>
      <c r="D116" s="189" t="s">
        <v>39</v>
      </c>
      <c r="E116" s="73" t="s">
        <v>34</v>
      </c>
      <c r="F116" s="197">
        <f t="shared" si="2"/>
        <v>1</v>
      </c>
      <c r="G116" s="198"/>
      <c r="H116">
        <v>0</v>
      </c>
      <c r="I116" s="46">
        <v>0</v>
      </c>
      <c r="L116" s="195" t="s">
        <v>263</v>
      </c>
      <c r="M116" s="196" t="s">
        <v>264</v>
      </c>
      <c r="N116" s="73">
        <v>2</v>
      </c>
      <c r="O116" s="73" t="s">
        <v>39</v>
      </c>
      <c r="P116" s="73" t="s">
        <v>34</v>
      </c>
      <c r="Q116" s="197">
        <f t="shared" si="3"/>
        <v>1</v>
      </c>
    </row>
    <row r="117" spans="1:17">
      <c r="A117" s="195" t="s">
        <v>265</v>
      </c>
      <c r="B117" s="196" t="s">
        <v>266</v>
      </c>
      <c r="C117" s="189">
        <v>2</v>
      </c>
      <c r="D117" s="189" t="s">
        <v>33</v>
      </c>
      <c r="E117" s="73" t="s">
        <v>40</v>
      </c>
      <c r="F117" s="197">
        <f t="shared" si="2"/>
        <v>0</v>
      </c>
      <c r="G117" s="198"/>
      <c r="H117">
        <v>0</v>
      </c>
      <c r="I117" s="46">
        <v>0</v>
      </c>
      <c r="L117" s="195" t="s">
        <v>265</v>
      </c>
      <c r="M117" s="196" t="s">
        <v>266</v>
      </c>
      <c r="N117" s="73">
        <v>2</v>
      </c>
      <c r="O117" s="73" t="s">
        <v>33</v>
      </c>
      <c r="P117" s="73" t="s">
        <v>40</v>
      </c>
      <c r="Q117" s="197">
        <f t="shared" si="3"/>
        <v>0</v>
      </c>
    </row>
    <row r="118" spans="1:17">
      <c r="A118" s="195" t="s">
        <v>267</v>
      </c>
      <c r="B118" s="196" t="s">
        <v>268</v>
      </c>
      <c r="C118" s="189">
        <v>1</v>
      </c>
      <c r="D118" s="189" t="s">
        <v>33</v>
      </c>
      <c r="E118" s="73" t="s">
        <v>34</v>
      </c>
      <c r="F118" s="197">
        <f t="shared" si="2"/>
        <v>0</v>
      </c>
      <c r="G118" s="198"/>
      <c r="H118">
        <v>0</v>
      </c>
      <c r="I118" s="46">
        <v>0</v>
      </c>
      <c r="L118" s="195" t="s">
        <v>267</v>
      </c>
      <c r="M118" s="196" t="s">
        <v>268</v>
      </c>
      <c r="N118" s="73">
        <v>1</v>
      </c>
      <c r="O118" s="73" t="s">
        <v>33</v>
      </c>
      <c r="P118" s="73" t="s">
        <v>34</v>
      </c>
      <c r="Q118" s="197">
        <f t="shared" si="3"/>
        <v>0</v>
      </c>
    </row>
    <row r="119" spans="1:17">
      <c r="A119" s="195" t="s">
        <v>269</v>
      </c>
      <c r="B119" s="196" t="s">
        <v>270</v>
      </c>
      <c r="C119" s="189">
        <v>2</v>
      </c>
      <c r="D119" s="189" t="s">
        <v>39</v>
      </c>
      <c r="E119" s="73" t="s">
        <v>34</v>
      </c>
      <c r="F119" s="197">
        <f t="shared" si="2"/>
        <v>1</v>
      </c>
      <c r="G119" s="198"/>
      <c r="H119">
        <v>0</v>
      </c>
      <c r="I119" s="46">
        <v>0</v>
      </c>
      <c r="L119" s="195" t="s">
        <v>269</v>
      </c>
      <c r="M119" s="196" t="s">
        <v>270</v>
      </c>
      <c r="N119" s="73">
        <v>2</v>
      </c>
      <c r="O119" s="73" t="s">
        <v>39</v>
      </c>
      <c r="P119" s="73" t="s">
        <v>34</v>
      </c>
      <c r="Q119" s="197">
        <f t="shared" si="3"/>
        <v>1</v>
      </c>
    </row>
    <row r="120" spans="1:17">
      <c r="A120" s="195" t="s">
        <v>271</v>
      </c>
      <c r="B120" s="196" t="s">
        <v>272</v>
      </c>
      <c r="C120" s="189">
        <v>2</v>
      </c>
      <c r="D120" s="189" t="s">
        <v>33</v>
      </c>
      <c r="E120" s="73" t="s">
        <v>34</v>
      </c>
      <c r="F120" s="197">
        <f t="shared" si="2"/>
        <v>0</v>
      </c>
      <c r="G120" s="198"/>
      <c r="H120">
        <v>0</v>
      </c>
      <c r="I120" s="46">
        <v>0</v>
      </c>
      <c r="L120" s="195" t="s">
        <v>271</v>
      </c>
      <c r="M120" s="196" t="s">
        <v>272</v>
      </c>
      <c r="N120" s="73">
        <v>2</v>
      </c>
      <c r="O120" s="73" t="s">
        <v>33</v>
      </c>
      <c r="P120" s="73" t="s">
        <v>34</v>
      </c>
      <c r="Q120" s="197">
        <f t="shared" si="3"/>
        <v>0</v>
      </c>
    </row>
    <row r="121" spans="1:17">
      <c r="A121" s="195" t="s">
        <v>273</v>
      </c>
      <c r="B121" s="196" t="s">
        <v>274</v>
      </c>
      <c r="C121" s="189">
        <v>2</v>
      </c>
      <c r="D121" s="189" t="s">
        <v>39</v>
      </c>
      <c r="E121" s="73" t="s">
        <v>40</v>
      </c>
      <c r="F121" s="197">
        <f t="shared" si="2"/>
        <v>1</v>
      </c>
      <c r="G121" s="198"/>
      <c r="H121">
        <v>0</v>
      </c>
      <c r="I121" s="46">
        <v>0</v>
      </c>
      <c r="L121" s="195" t="s">
        <v>273</v>
      </c>
      <c r="M121" s="196" t="s">
        <v>274</v>
      </c>
      <c r="N121" s="73">
        <v>2</v>
      </c>
      <c r="O121" s="73" t="s">
        <v>39</v>
      </c>
      <c r="P121" s="73" t="s">
        <v>40</v>
      </c>
      <c r="Q121" s="197">
        <f t="shared" si="3"/>
        <v>1</v>
      </c>
    </row>
    <row r="122" spans="1:17">
      <c r="A122" s="195" t="s">
        <v>275</v>
      </c>
      <c r="B122" s="196" t="s">
        <v>276</v>
      </c>
      <c r="C122" s="189">
        <v>1</v>
      </c>
      <c r="D122" s="189" t="s">
        <v>33</v>
      </c>
      <c r="E122" s="73" t="s">
        <v>34</v>
      </c>
      <c r="F122" s="197">
        <f t="shared" si="2"/>
        <v>0</v>
      </c>
      <c r="G122" s="198"/>
      <c r="H122">
        <v>0</v>
      </c>
      <c r="I122" s="46">
        <v>0</v>
      </c>
      <c r="L122" s="195" t="s">
        <v>275</v>
      </c>
      <c r="M122" s="196" t="s">
        <v>276</v>
      </c>
      <c r="N122" s="73">
        <v>1</v>
      </c>
      <c r="O122" s="73" t="s">
        <v>33</v>
      </c>
      <c r="P122" s="73" t="s">
        <v>34</v>
      </c>
      <c r="Q122" s="197">
        <f t="shared" si="3"/>
        <v>0</v>
      </c>
    </row>
    <row r="123" spans="1:17">
      <c r="A123" s="195" t="s">
        <v>277</v>
      </c>
      <c r="B123" s="196" t="s">
        <v>278</v>
      </c>
      <c r="C123" s="189">
        <v>1</v>
      </c>
      <c r="D123" s="189" t="s">
        <v>33</v>
      </c>
      <c r="E123" s="73" t="s">
        <v>34</v>
      </c>
      <c r="F123" s="197">
        <f t="shared" si="2"/>
        <v>0</v>
      </c>
      <c r="G123" s="198"/>
      <c r="H123">
        <v>0</v>
      </c>
      <c r="I123" s="46">
        <v>0</v>
      </c>
      <c r="L123" s="195" t="s">
        <v>277</v>
      </c>
      <c r="M123" s="196" t="s">
        <v>278</v>
      </c>
      <c r="N123" s="73">
        <v>1</v>
      </c>
      <c r="O123" s="73" t="s">
        <v>33</v>
      </c>
      <c r="P123" s="73" t="s">
        <v>34</v>
      </c>
      <c r="Q123" s="197">
        <f t="shared" si="3"/>
        <v>0</v>
      </c>
    </row>
    <row r="124" spans="1:17">
      <c r="A124" s="195" t="s">
        <v>279</v>
      </c>
      <c r="B124" s="196" t="s">
        <v>280</v>
      </c>
      <c r="C124" s="189">
        <v>1</v>
      </c>
      <c r="D124" s="189" t="s">
        <v>33</v>
      </c>
      <c r="E124" s="73" t="s">
        <v>34</v>
      </c>
      <c r="F124" s="197">
        <f t="shared" si="2"/>
        <v>0</v>
      </c>
      <c r="G124" s="198"/>
      <c r="H124">
        <v>0</v>
      </c>
      <c r="I124" s="46">
        <v>0</v>
      </c>
      <c r="L124" s="195" t="s">
        <v>279</v>
      </c>
      <c r="M124" s="196" t="s">
        <v>280</v>
      </c>
      <c r="N124" s="73">
        <v>1</v>
      </c>
      <c r="O124" s="73" t="s">
        <v>33</v>
      </c>
      <c r="P124" s="73" t="s">
        <v>34</v>
      </c>
      <c r="Q124" s="197">
        <f t="shared" si="3"/>
        <v>0</v>
      </c>
    </row>
    <row r="125" spans="1:17">
      <c r="A125" s="195" t="s">
        <v>281</v>
      </c>
      <c r="B125" s="196" t="s">
        <v>282</v>
      </c>
      <c r="C125" s="189">
        <v>2</v>
      </c>
      <c r="D125" s="358" t="s">
        <v>33</v>
      </c>
      <c r="E125" s="73" t="s">
        <v>34</v>
      </c>
      <c r="F125" s="197">
        <f t="shared" si="2"/>
        <v>0</v>
      </c>
      <c r="G125" s="198"/>
      <c r="H125">
        <v>0</v>
      </c>
      <c r="I125" s="353">
        <v>1</v>
      </c>
      <c r="L125" s="195" t="s">
        <v>281</v>
      </c>
      <c r="M125" s="196" t="s">
        <v>282</v>
      </c>
      <c r="N125" s="73">
        <v>2</v>
      </c>
      <c r="O125" s="354" t="s">
        <v>39</v>
      </c>
      <c r="P125" s="73" t="s">
        <v>34</v>
      </c>
      <c r="Q125" s="197">
        <f t="shared" si="3"/>
        <v>1</v>
      </c>
    </row>
    <row r="126" spans="1:17">
      <c r="A126" s="195" t="s">
        <v>283</v>
      </c>
      <c r="B126" s="196" t="s">
        <v>284</v>
      </c>
      <c r="C126" s="189">
        <v>2</v>
      </c>
      <c r="D126" s="189" t="s">
        <v>33</v>
      </c>
      <c r="E126" s="73" t="s">
        <v>34</v>
      </c>
      <c r="F126" s="197">
        <f t="shared" si="2"/>
        <v>0</v>
      </c>
      <c r="G126" s="198"/>
      <c r="H126">
        <v>0</v>
      </c>
      <c r="I126" s="46">
        <v>0</v>
      </c>
      <c r="L126" s="195" t="s">
        <v>283</v>
      </c>
      <c r="M126" s="196" t="s">
        <v>284</v>
      </c>
      <c r="N126" s="73">
        <v>2</v>
      </c>
      <c r="O126" s="73" t="s">
        <v>33</v>
      </c>
      <c r="P126" s="73" t="s">
        <v>34</v>
      </c>
      <c r="Q126" s="197">
        <f t="shared" si="3"/>
        <v>0</v>
      </c>
    </row>
    <row r="127" spans="1:17">
      <c r="A127" s="195" t="s">
        <v>285</v>
      </c>
      <c r="B127" s="196" t="s">
        <v>286</v>
      </c>
      <c r="C127" s="189">
        <v>2</v>
      </c>
      <c r="D127" s="189" t="s">
        <v>39</v>
      </c>
      <c r="E127" s="73" t="s">
        <v>34</v>
      </c>
      <c r="F127" s="197">
        <f t="shared" si="2"/>
        <v>1</v>
      </c>
      <c r="G127" s="198"/>
      <c r="H127">
        <v>0</v>
      </c>
      <c r="I127" s="46">
        <v>0</v>
      </c>
      <c r="L127" s="195" t="s">
        <v>285</v>
      </c>
      <c r="M127" s="196" t="s">
        <v>286</v>
      </c>
      <c r="N127" s="73">
        <v>2</v>
      </c>
      <c r="O127" s="73" t="s">
        <v>39</v>
      </c>
      <c r="P127" s="73" t="s">
        <v>34</v>
      </c>
      <c r="Q127" s="197">
        <f t="shared" si="3"/>
        <v>1</v>
      </c>
    </row>
    <row r="128" spans="1:17">
      <c r="A128" s="195" t="s">
        <v>287</v>
      </c>
      <c r="B128" s="196" t="s">
        <v>288</v>
      </c>
      <c r="C128" s="189">
        <v>2</v>
      </c>
      <c r="D128" s="189" t="s">
        <v>39</v>
      </c>
      <c r="E128" s="73" t="s">
        <v>34</v>
      </c>
      <c r="F128" s="197">
        <f t="shared" si="2"/>
        <v>1</v>
      </c>
      <c r="G128" s="198"/>
      <c r="H128">
        <v>0</v>
      </c>
      <c r="I128" s="46">
        <v>0</v>
      </c>
      <c r="L128" s="195" t="s">
        <v>287</v>
      </c>
      <c r="M128" s="196" t="s">
        <v>288</v>
      </c>
      <c r="N128" s="73">
        <v>2</v>
      </c>
      <c r="O128" s="73" t="s">
        <v>39</v>
      </c>
      <c r="P128" s="73" t="s">
        <v>34</v>
      </c>
      <c r="Q128" s="197">
        <f t="shared" si="3"/>
        <v>1</v>
      </c>
    </row>
    <row r="129" spans="1:17">
      <c r="A129" s="195" t="s">
        <v>289</v>
      </c>
      <c r="B129" s="196" t="s">
        <v>290</v>
      </c>
      <c r="C129" s="189">
        <v>2</v>
      </c>
      <c r="D129" s="189" t="s">
        <v>33</v>
      </c>
      <c r="E129" s="73" t="s">
        <v>34</v>
      </c>
      <c r="F129" s="197">
        <f t="shared" si="2"/>
        <v>0</v>
      </c>
      <c r="G129" s="198"/>
      <c r="H129">
        <v>0</v>
      </c>
      <c r="I129" s="46">
        <v>0</v>
      </c>
      <c r="L129" s="195" t="s">
        <v>289</v>
      </c>
      <c r="M129" s="196" t="s">
        <v>290</v>
      </c>
      <c r="N129" s="73">
        <v>2</v>
      </c>
      <c r="O129" s="73" t="s">
        <v>33</v>
      </c>
      <c r="P129" s="73" t="s">
        <v>34</v>
      </c>
      <c r="Q129" s="197">
        <f t="shared" si="3"/>
        <v>0</v>
      </c>
    </row>
    <row r="130" spans="1:17">
      <c r="A130" s="195" t="s">
        <v>291</v>
      </c>
      <c r="B130" s="196" t="s">
        <v>292</v>
      </c>
      <c r="C130" s="189">
        <v>2</v>
      </c>
      <c r="D130" s="189" t="s">
        <v>33</v>
      </c>
      <c r="E130" s="73" t="s">
        <v>34</v>
      </c>
      <c r="F130" s="197">
        <f t="shared" ref="F130:F193" si="4">IF(+D130="cash",1,0)</f>
        <v>0</v>
      </c>
      <c r="G130" s="198"/>
      <c r="H130">
        <v>0</v>
      </c>
      <c r="I130" s="46">
        <v>0</v>
      </c>
      <c r="L130" s="195" t="s">
        <v>291</v>
      </c>
      <c r="M130" s="196" t="s">
        <v>292</v>
      </c>
      <c r="N130" s="73">
        <v>2</v>
      </c>
      <c r="O130" s="73" t="s">
        <v>33</v>
      </c>
      <c r="P130" s="73" t="s">
        <v>34</v>
      </c>
      <c r="Q130" s="197">
        <f t="shared" ref="Q130:Q193" si="5">IF(+O130="cash",1,0)</f>
        <v>0</v>
      </c>
    </row>
    <row r="131" spans="1:17">
      <c r="A131" s="195" t="s">
        <v>293</v>
      </c>
      <c r="B131" s="196" t="s">
        <v>294</v>
      </c>
      <c r="C131" s="189">
        <v>2</v>
      </c>
      <c r="D131" s="189" t="s">
        <v>39</v>
      </c>
      <c r="E131" s="73" t="s">
        <v>34</v>
      </c>
      <c r="F131" s="197">
        <f t="shared" si="4"/>
        <v>1</v>
      </c>
      <c r="G131" s="198"/>
      <c r="H131">
        <v>0</v>
      </c>
      <c r="I131" s="46">
        <v>0</v>
      </c>
      <c r="L131" s="195" t="s">
        <v>293</v>
      </c>
      <c r="M131" s="196" t="s">
        <v>294</v>
      </c>
      <c r="N131" s="73">
        <v>2</v>
      </c>
      <c r="O131" s="73" t="s">
        <v>39</v>
      </c>
      <c r="P131" s="73" t="s">
        <v>34</v>
      </c>
      <c r="Q131" s="197">
        <f t="shared" si="5"/>
        <v>1</v>
      </c>
    </row>
    <row r="132" spans="1:17">
      <c r="A132" s="195" t="s">
        <v>295</v>
      </c>
      <c r="B132" s="196" t="s">
        <v>296</v>
      </c>
      <c r="C132" s="189">
        <v>2</v>
      </c>
      <c r="D132" s="189" t="s">
        <v>33</v>
      </c>
      <c r="E132" s="73" t="s">
        <v>34</v>
      </c>
      <c r="F132" s="197">
        <f t="shared" si="4"/>
        <v>0</v>
      </c>
      <c r="G132" s="198"/>
      <c r="H132">
        <v>0</v>
      </c>
      <c r="I132" s="46">
        <v>0</v>
      </c>
      <c r="L132" s="195" t="s">
        <v>295</v>
      </c>
      <c r="M132" s="196" t="s">
        <v>296</v>
      </c>
      <c r="N132" s="73">
        <v>2</v>
      </c>
      <c r="O132" s="73" t="s">
        <v>33</v>
      </c>
      <c r="P132" s="73" t="s">
        <v>34</v>
      </c>
      <c r="Q132" s="197">
        <f t="shared" si="5"/>
        <v>0</v>
      </c>
    </row>
    <row r="133" spans="1:17">
      <c r="A133" s="195" t="s">
        <v>297</v>
      </c>
      <c r="B133" s="196" t="s">
        <v>298</v>
      </c>
      <c r="C133" s="189">
        <v>1</v>
      </c>
      <c r="D133" s="189" t="s">
        <v>33</v>
      </c>
      <c r="E133" s="73" t="s">
        <v>34</v>
      </c>
      <c r="F133" s="197">
        <f t="shared" si="4"/>
        <v>0</v>
      </c>
      <c r="G133" s="198"/>
      <c r="H133">
        <v>0</v>
      </c>
      <c r="I133" s="46">
        <v>0</v>
      </c>
      <c r="L133" s="195" t="s">
        <v>297</v>
      </c>
      <c r="M133" s="196" t="s">
        <v>298</v>
      </c>
      <c r="N133" s="73">
        <v>1</v>
      </c>
      <c r="O133" s="73" t="s">
        <v>33</v>
      </c>
      <c r="P133" s="73" t="s">
        <v>34</v>
      </c>
      <c r="Q133" s="197">
        <f t="shared" si="5"/>
        <v>0</v>
      </c>
    </row>
    <row r="134" spans="1:17">
      <c r="A134" s="195" t="s">
        <v>299</v>
      </c>
      <c r="B134" s="196" t="s">
        <v>300</v>
      </c>
      <c r="C134" s="189">
        <v>1</v>
      </c>
      <c r="D134" s="189" t="s">
        <v>33</v>
      </c>
      <c r="E134" s="73" t="s">
        <v>34</v>
      </c>
      <c r="F134" s="197">
        <f t="shared" si="4"/>
        <v>0</v>
      </c>
      <c r="G134" s="198"/>
      <c r="H134">
        <v>0</v>
      </c>
      <c r="I134" s="46">
        <v>0</v>
      </c>
      <c r="L134" s="195" t="s">
        <v>299</v>
      </c>
      <c r="M134" s="196" t="s">
        <v>300</v>
      </c>
      <c r="N134" s="73">
        <v>1</v>
      </c>
      <c r="O134" s="73" t="s">
        <v>33</v>
      </c>
      <c r="P134" s="73" t="s">
        <v>34</v>
      </c>
      <c r="Q134" s="197">
        <f t="shared" si="5"/>
        <v>0</v>
      </c>
    </row>
    <row r="135" spans="1:17">
      <c r="A135" s="195" t="s">
        <v>301</v>
      </c>
      <c r="B135" s="196" t="s">
        <v>302</v>
      </c>
      <c r="C135" s="189">
        <v>1</v>
      </c>
      <c r="D135" s="189" t="s">
        <v>33</v>
      </c>
      <c r="E135" s="73" t="s">
        <v>34</v>
      </c>
      <c r="F135" s="197">
        <f t="shared" si="4"/>
        <v>0</v>
      </c>
      <c r="G135" s="198"/>
      <c r="H135">
        <v>0</v>
      </c>
      <c r="I135" s="46">
        <v>0</v>
      </c>
      <c r="L135" s="195" t="s">
        <v>301</v>
      </c>
      <c r="M135" s="196" t="s">
        <v>302</v>
      </c>
      <c r="N135" s="73">
        <v>1</v>
      </c>
      <c r="O135" s="73" t="s">
        <v>33</v>
      </c>
      <c r="P135" s="73" t="s">
        <v>34</v>
      </c>
      <c r="Q135" s="197">
        <f t="shared" si="5"/>
        <v>0</v>
      </c>
    </row>
    <row r="136" spans="1:17">
      <c r="A136" s="195" t="s">
        <v>303</v>
      </c>
      <c r="B136" s="196" t="s">
        <v>304</v>
      </c>
      <c r="C136" s="189">
        <v>2</v>
      </c>
      <c r="D136" s="189" t="s">
        <v>39</v>
      </c>
      <c r="E136" s="73" t="s">
        <v>40</v>
      </c>
      <c r="F136" s="197">
        <f t="shared" si="4"/>
        <v>1</v>
      </c>
      <c r="G136" s="198"/>
      <c r="H136">
        <v>0</v>
      </c>
      <c r="I136" s="46">
        <v>0</v>
      </c>
      <c r="L136" s="195" t="s">
        <v>303</v>
      </c>
      <c r="M136" s="196" t="s">
        <v>304</v>
      </c>
      <c r="N136" s="73">
        <v>2</v>
      </c>
      <c r="O136" s="73" t="s">
        <v>39</v>
      </c>
      <c r="P136" s="73" t="s">
        <v>40</v>
      </c>
      <c r="Q136" s="197">
        <f t="shared" si="5"/>
        <v>1</v>
      </c>
    </row>
    <row r="137" spans="1:17">
      <c r="A137" s="195" t="s">
        <v>305</v>
      </c>
      <c r="B137" s="196" t="s">
        <v>306</v>
      </c>
      <c r="C137" s="189">
        <v>2</v>
      </c>
      <c r="D137" s="189" t="s">
        <v>39</v>
      </c>
      <c r="E137" s="73" t="s">
        <v>34</v>
      </c>
      <c r="F137" s="197">
        <f t="shared" si="4"/>
        <v>1</v>
      </c>
      <c r="G137" s="198"/>
      <c r="H137">
        <v>0</v>
      </c>
      <c r="I137" s="46">
        <v>0</v>
      </c>
      <c r="L137" s="195" t="s">
        <v>305</v>
      </c>
      <c r="M137" s="196" t="s">
        <v>306</v>
      </c>
      <c r="N137" s="73">
        <v>2</v>
      </c>
      <c r="O137" s="73" t="s">
        <v>39</v>
      </c>
      <c r="P137" s="73" t="s">
        <v>34</v>
      </c>
      <c r="Q137" s="197">
        <f t="shared" si="5"/>
        <v>1</v>
      </c>
    </row>
    <row r="138" spans="1:17">
      <c r="A138" s="195" t="s">
        <v>307</v>
      </c>
      <c r="B138" s="196" t="s">
        <v>308</v>
      </c>
      <c r="C138" s="189">
        <v>2</v>
      </c>
      <c r="D138" s="189" t="s">
        <v>39</v>
      </c>
      <c r="E138" s="73" t="s">
        <v>34</v>
      </c>
      <c r="F138" s="197">
        <f t="shared" si="4"/>
        <v>1</v>
      </c>
      <c r="G138" s="198"/>
      <c r="H138">
        <v>0</v>
      </c>
      <c r="I138" s="46">
        <v>0</v>
      </c>
      <c r="L138" s="195" t="s">
        <v>307</v>
      </c>
      <c r="M138" s="196" t="s">
        <v>308</v>
      </c>
      <c r="N138" s="73">
        <v>2</v>
      </c>
      <c r="O138" s="73" t="s">
        <v>39</v>
      </c>
      <c r="P138" s="73" t="s">
        <v>34</v>
      </c>
      <c r="Q138" s="197">
        <f t="shared" si="5"/>
        <v>1</v>
      </c>
    </row>
    <row r="139" spans="1:17">
      <c r="A139" s="195" t="s">
        <v>309</v>
      </c>
      <c r="B139" s="196" t="s">
        <v>310</v>
      </c>
      <c r="C139" s="189">
        <v>1</v>
      </c>
      <c r="D139" s="189" t="s">
        <v>33</v>
      </c>
      <c r="E139" s="73" t="s">
        <v>34</v>
      </c>
      <c r="F139" s="197">
        <f t="shared" si="4"/>
        <v>0</v>
      </c>
      <c r="G139" s="198"/>
      <c r="H139">
        <v>0</v>
      </c>
      <c r="I139" s="46">
        <v>0</v>
      </c>
      <c r="L139" s="195" t="s">
        <v>309</v>
      </c>
      <c r="M139" s="196" t="s">
        <v>310</v>
      </c>
      <c r="N139" s="73">
        <v>1</v>
      </c>
      <c r="O139" s="73" t="s">
        <v>33</v>
      </c>
      <c r="P139" s="73" t="s">
        <v>34</v>
      </c>
      <c r="Q139" s="197">
        <f t="shared" si="5"/>
        <v>0</v>
      </c>
    </row>
    <row r="140" spans="1:17">
      <c r="A140" s="195" t="s">
        <v>311</v>
      </c>
      <c r="B140" s="196" t="s">
        <v>312</v>
      </c>
      <c r="C140" s="189">
        <v>2</v>
      </c>
      <c r="D140" s="189" t="s">
        <v>39</v>
      </c>
      <c r="E140" s="73" t="s">
        <v>40</v>
      </c>
      <c r="F140" s="197">
        <f t="shared" si="4"/>
        <v>1</v>
      </c>
      <c r="G140" s="198"/>
      <c r="H140">
        <v>0</v>
      </c>
      <c r="I140" s="46">
        <v>0</v>
      </c>
      <c r="L140" s="195" t="s">
        <v>311</v>
      </c>
      <c r="M140" s="196" t="s">
        <v>312</v>
      </c>
      <c r="N140" s="73">
        <v>2</v>
      </c>
      <c r="O140" s="73" t="s">
        <v>39</v>
      </c>
      <c r="P140" s="73" t="s">
        <v>40</v>
      </c>
      <c r="Q140" s="197">
        <f t="shared" si="5"/>
        <v>1</v>
      </c>
    </row>
    <row r="141" spans="1:17">
      <c r="A141" s="195" t="s">
        <v>313</v>
      </c>
      <c r="B141" s="196" t="s">
        <v>314</v>
      </c>
      <c r="C141" s="189">
        <v>2</v>
      </c>
      <c r="D141" s="189" t="s">
        <v>33</v>
      </c>
      <c r="E141" s="73" t="s">
        <v>34</v>
      </c>
      <c r="F141" s="197">
        <f t="shared" si="4"/>
        <v>0</v>
      </c>
      <c r="G141" s="198"/>
      <c r="H141">
        <v>0</v>
      </c>
      <c r="I141" s="46">
        <v>0</v>
      </c>
      <c r="L141" s="195" t="s">
        <v>313</v>
      </c>
      <c r="M141" s="196" t="s">
        <v>314</v>
      </c>
      <c r="N141" s="73">
        <v>2</v>
      </c>
      <c r="O141" s="73" t="s">
        <v>33</v>
      </c>
      <c r="P141" s="73" t="s">
        <v>34</v>
      </c>
      <c r="Q141" s="197">
        <f t="shared" si="5"/>
        <v>0</v>
      </c>
    </row>
    <row r="142" spans="1:17">
      <c r="A142" s="194" t="s">
        <v>315</v>
      </c>
      <c r="B142" s="135" t="s">
        <v>316</v>
      </c>
      <c r="C142" s="189">
        <v>2</v>
      </c>
      <c r="D142" s="189" t="s">
        <v>33</v>
      </c>
      <c r="E142" s="73" t="s">
        <v>34</v>
      </c>
      <c r="F142" s="197">
        <f t="shared" si="4"/>
        <v>0</v>
      </c>
      <c r="G142" s="198"/>
      <c r="H142">
        <v>0</v>
      </c>
      <c r="I142" s="46">
        <v>0</v>
      </c>
      <c r="L142" s="194" t="s">
        <v>315</v>
      </c>
      <c r="M142" s="135" t="s">
        <v>316</v>
      </c>
      <c r="N142" s="73">
        <v>2</v>
      </c>
      <c r="O142" s="73" t="s">
        <v>33</v>
      </c>
      <c r="P142" s="73" t="s">
        <v>34</v>
      </c>
      <c r="Q142" s="197">
        <f t="shared" si="5"/>
        <v>0</v>
      </c>
    </row>
    <row r="143" spans="1:17">
      <c r="A143" s="205" t="s">
        <v>317</v>
      </c>
      <c r="B143" s="46" t="s">
        <v>318</v>
      </c>
      <c r="C143" s="189">
        <v>2</v>
      </c>
      <c r="D143" s="189" t="s">
        <v>33</v>
      </c>
      <c r="E143" s="73" t="s">
        <v>34</v>
      </c>
      <c r="F143" s="197">
        <f t="shared" si="4"/>
        <v>0</v>
      </c>
      <c r="G143" s="198"/>
      <c r="H143">
        <v>0</v>
      </c>
      <c r="I143" s="46">
        <v>0</v>
      </c>
      <c r="L143" s="205" t="s">
        <v>317</v>
      </c>
      <c r="M143" s="46" t="s">
        <v>318</v>
      </c>
      <c r="N143" s="73">
        <v>2</v>
      </c>
      <c r="O143" s="73" t="s">
        <v>33</v>
      </c>
      <c r="P143" s="73" t="s">
        <v>34</v>
      </c>
      <c r="Q143" s="197">
        <f t="shared" si="5"/>
        <v>0</v>
      </c>
    </row>
    <row r="144" spans="1:17">
      <c r="A144" s="195" t="s">
        <v>319</v>
      </c>
      <c r="B144" s="196" t="s">
        <v>320</v>
      </c>
      <c r="C144" s="189">
        <v>2</v>
      </c>
      <c r="D144" s="189" t="s">
        <v>39</v>
      </c>
      <c r="E144" s="73" t="s">
        <v>34</v>
      </c>
      <c r="F144" s="197">
        <f t="shared" si="4"/>
        <v>1</v>
      </c>
      <c r="G144" s="198"/>
      <c r="H144">
        <v>0</v>
      </c>
      <c r="I144" s="46">
        <v>0</v>
      </c>
      <c r="L144" s="195" t="s">
        <v>319</v>
      </c>
      <c r="M144" s="196" t="s">
        <v>320</v>
      </c>
      <c r="N144" s="73">
        <v>2</v>
      </c>
      <c r="O144" s="73" t="s">
        <v>39</v>
      </c>
      <c r="P144" s="73" t="s">
        <v>34</v>
      </c>
      <c r="Q144" s="197">
        <f t="shared" si="5"/>
        <v>1</v>
      </c>
    </row>
    <row r="145" spans="1:17">
      <c r="A145" s="195" t="s">
        <v>321</v>
      </c>
      <c r="B145" s="196" t="s">
        <v>322</v>
      </c>
      <c r="C145" s="189">
        <v>1</v>
      </c>
      <c r="D145" s="189" t="s">
        <v>33</v>
      </c>
      <c r="E145" s="73" t="s">
        <v>34</v>
      </c>
      <c r="F145" s="197">
        <f t="shared" si="4"/>
        <v>0</v>
      </c>
      <c r="G145" s="198"/>
      <c r="H145">
        <v>0</v>
      </c>
      <c r="I145" s="46">
        <v>0</v>
      </c>
      <c r="L145" s="195" t="s">
        <v>321</v>
      </c>
      <c r="M145" s="196" t="s">
        <v>322</v>
      </c>
      <c r="N145" s="73">
        <v>1</v>
      </c>
      <c r="O145" s="73" t="s">
        <v>33</v>
      </c>
      <c r="P145" s="73" t="s">
        <v>34</v>
      </c>
      <c r="Q145" s="197">
        <f t="shared" si="5"/>
        <v>0</v>
      </c>
    </row>
    <row r="146" spans="1:17">
      <c r="A146" s="195" t="s">
        <v>323</v>
      </c>
      <c r="B146" s="196" t="s">
        <v>324</v>
      </c>
      <c r="C146" s="189">
        <v>2</v>
      </c>
      <c r="D146" s="189" t="s">
        <v>33</v>
      </c>
      <c r="E146" s="73" t="s">
        <v>34</v>
      </c>
      <c r="F146" s="197">
        <f t="shared" si="4"/>
        <v>0</v>
      </c>
      <c r="G146" s="198"/>
      <c r="H146">
        <v>0</v>
      </c>
      <c r="I146" s="46">
        <v>0</v>
      </c>
      <c r="L146" s="195" t="s">
        <v>323</v>
      </c>
      <c r="M146" s="196" t="s">
        <v>324</v>
      </c>
      <c r="N146" s="73">
        <v>2</v>
      </c>
      <c r="O146" s="73" t="s">
        <v>33</v>
      </c>
      <c r="P146" s="73" t="s">
        <v>34</v>
      </c>
      <c r="Q146" s="197">
        <f t="shared" si="5"/>
        <v>0</v>
      </c>
    </row>
    <row r="147" spans="1:17">
      <c r="A147" s="195" t="s">
        <v>325</v>
      </c>
      <c r="B147" s="196" t="s">
        <v>326</v>
      </c>
      <c r="C147" s="189">
        <v>2</v>
      </c>
      <c r="D147" s="189" t="s">
        <v>33</v>
      </c>
      <c r="E147" s="73" t="s">
        <v>34</v>
      </c>
      <c r="F147" s="197">
        <f t="shared" si="4"/>
        <v>0</v>
      </c>
      <c r="G147" s="198"/>
      <c r="H147">
        <v>0</v>
      </c>
      <c r="I147" s="46">
        <v>0</v>
      </c>
      <c r="L147" s="195" t="s">
        <v>325</v>
      </c>
      <c r="M147" s="196" t="s">
        <v>326</v>
      </c>
      <c r="N147" s="73">
        <v>2</v>
      </c>
      <c r="O147" s="73" t="s">
        <v>33</v>
      </c>
      <c r="P147" s="73" t="s">
        <v>34</v>
      </c>
      <c r="Q147" s="197">
        <f t="shared" si="5"/>
        <v>0</v>
      </c>
    </row>
    <row r="148" spans="1:17">
      <c r="A148" s="195" t="s">
        <v>327</v>
      </c>
      <c r="B148" s="196" t="s">
        <v>328</v>
      </c>
      <c r="C148" s="189">
        <v>2</v>
      </c>
      <c r="D148" s="189" t="s">
        <v>33</v>
      </c>
      <c r="E148" s="73" t="s">
        <v>34</v>
      </c>
      <c r="F148" s="197">
        <f t="shared" si="4"/>
        <v>0</v>
      </c>
      <c r="G148" s="198"/>
      <c r="H148">
        <v>0</v>
      </c>
      <c r="I148" s="46">
        <v>0</v>
      </c>
      <c r="L148" s="195" t="s">
        <v>327</v>
      </c>
      <c r="M148" s="196" t="s">
        <v>328</v>
      </c>
      <c r="N148" s="73">
        <v>2</v>
      </c>
      <c r="O148" s="73" t="s">
        <v>33</v>
      </c>
      <c r="P148" s="73" t="s">
        <v>34</v>
      </c>
      <c r="Q148" s="197">
        <f t="shared" si="5"/>
        <v>0</v>
      </c>
    </row>
    <row r="149" spans="1:17">
      <c r="A149" s="195" t="s">
        <v>329</v>
      </c>
      <c r="B149" s="196" t="s">
        <v>330</v>
      </c>
      <c r="C149" s="189">
        <v>2</v>
      </c>
      <c r="D149" s="189" t="s">
        <v>33</v>
      </c>
      <c r="E149" s="73" t="s">
        <v>34</v>
      </c>
      <c r="F149" s="197">
        <f t="shared" si="4"/>
        <v>0</v>
      </c>
      <c r="G149" s="198"/>
      <c r="H149">
        <v>0</v>
      </c>
      <c r="I149" s="46">
        <v>0</v>
      </c>
      <c r="L149" s="195" t="s">
        <v>329</v>
      </c>
      <c r="M149" s="196" t="s">
        <v>330</v>
      </c>
      <c r="N149" s="73">
        <v>2</v>
      </c>
      <c r="O149" s="73" t="s">
        <v>33</v>
      </c>
      <c r="P149" s="73" t="s">
        <v>34</v>
      </c>
      <c r="Q149" s="197">
        <f t="shared" si="5"/>
        <v>0</v>
      </c>
    </row>
    <row r="150" spans="1:17">
      <c r="A150" s="195" t="s">
        <v>331</v>
      </c>
      <c r="B150" s="196" t="s">
        <v>332</v>
      </c>
      <c r="C150" s="189">
        <v>2</v>
      </c>
      <c r="D150" s="189" t="s">
        <v>39</v>
      </c>
      <c r="E150" s="73" t="s">
        <v>34</v>
      </c>
      <c r="F150" s="197">
        <f t="shared" si="4"/>
        <v>1</v>
      </c>
      <c r="G150" s="198"/>
      <c r="H150">
        <v>0</v>
      </c>
      <c r="I150" s="46">
        <v>0</v>
      </c>
      <c r="L150" s="195" t="s">
        <v>331</v>
      </c>
      <c r="M150" s="196" t="s">
        <v>332</v>
      </c>
      <c r="N150" s="73">
        <v>2</v>
      </c>
      <c r="O150" s="73" t="s">
        <v>39</v>
      </c>
      <c r="P150" s="73" t="s">
        <v>34</v>
      </c>
      <c r="Q150" s="197">
        <f t="shared" si="5"/>
        <v>1</v>
      </c>
    </row>
    <row r="151" spans="1:17">
      <c r="A151" s="195" t="s">
        <v>333</v>
      </c>
      <c r="B151" s="196" t="s">
        <v>334</v>
      </c>
      <c r="C151" s="189">
        <v>1</v>
      </c>
      <c r="D151" s="189" t="s">
        <v>33</v>
      </c>
      <c r="E151" s="73" t="s">
        <v>34</v>
      </c>
      <c r="F151" s="197">
        <f t="shared" si="4"/>
        <v>0</v>
      </c>
      <c r="G151" s="198"/>
      <c r="H151">
        <v>0</v>
      </c>
      <c r="I151" s="46">
        <v>0</v>
      </c>
      <c r="L151" s="195" t="s">
        <v>333</v>
      </c>
      <c r="M151" s="196" t="s">
        <v>334</v>
      </c>
      <c r="N151" s="73">
        <v>1</v>
      </c>
      <c r="O151" s="73" t="s">
        <v>33</v>
      </c>
      <c r="P151" s="73" t="s">
        <v>34</v>
      </c>
      <c r="Q151" s="197">
        <f t="shared" si="5"/>
        <v>0</v>
      </c>
    </row>
    <row r="152" spans="1:17">
      <c r="A152" s="195" t="s">
        <v>335</v>
      </c>
      <c r="B152" s="196" t="s">
        <v>336</v>
      </c>
      <c r="C152" s="189">
        <v>2</v>
      </c>
      <c r="D152" s="189" t="s">
        <v>39</v>
      </c>
      <c r="E152" s="73" t="s">
        <v>40</v>
      </c>
      <c r="F152" s="197">
        <f t="shared" si="4"/>
        <v>1</v>
      </c>
      <c r="G152" s="198"/>
      <c r="H152">
        <v>0</v>
      </c>
      <c r="I152" s="46">
        <v>0</v>
      </c>
      <c r="L152" s="195" t="s">
        <v>335</v>
      </c>
      <c r="M152" s="196" t="s">
        <v>336</v>
      </c>
      <c r="N152" s="73">
        <v>2</v>
      </c>
      <c r="O152" s="73" t="s">
        <v>39</v>
      </c>
      <c r="P152" s="73" t="s">
        <v>40</v>
      </c>
      <c r="Q152" s="197">
        <f t="shared" si="5"/>
        <v>1</v>
      </c>
    </row>
    <row r="153" spans="1:17">
      <c r="A153" s="195" t="s">
        <v>337</v>
      </c>
      <c r="B153" s="196" t="s">
        <v>338</v>
      </c>
      <c r="C153" s="189">
        <v>1</v>
      </c>
      <c r="D153" s="189" t="s">
        <v>33</v>
      </c>
      <c r="E153" s="73" t="s">
        <v>34</v>
      </c>
      <c r="F153" s="197">
        <f t="shared" si="4"/>
        <v>0</v>
      </c>
      <c r="G153" s="198"/>
      <c r="H153">
        <v>0</v>
      </c>
      <c r="I153" s="46">
        <v>0</v>
      </c>
      <c r="L153" s="195" t="s">
        <v>337</v>
      </c>
      <c r="M153" s="196" t="s">
        <v>338</v>
      </c>
      <c r="N153" s="73">
        <v>1</v>
      </c>
      <c r="O153" s="73" t="s">
        <v>33</v>
      </c>
      <c r="P153" s="73" t="s">
        <v>34</v>
      </c>
      <c r="Q153" s="197">
        <f t="shared" si="5"/>
        <v>0</v>
      </c>
    </row>
    <row r="154" spans="1:17">
      <c r="A154" s="195" t="s">
        <v>339</v>
      </c>
      <c r="B154" s="196" t="s">
        <v>340</v>
      </c>
      <c r="C154" s="189">
        <v>2</v>
      </c>
      <c r="D154" s="189" t="s">
        <v>33</v>
      </c>
      <c r="E154" s="73" t="s">
        <v>34</v>
      </c>
      <c r="F154" s="197">
        <f t="shared" si="4"/>
        <v>0</v>
      </c>
      <c r="G154" s="198"/>
      <c r="H154">
        <v>0</v>
      </c>
      <c r="I154" s="46">
        <v>0</v>
      </c>
      <c r="L154" s="195" t="s">
        <v>339</v>
      </c>
      <c r="M154" s="196" t="s">
        <v>340</v>
      </c>
      <c r="N154" s="73">
        <v>2</v>
      </c>
      <c r="O154" s="73" t="s">
        <v>33</v>
      </c>
      <c r="P154" s="73" t="s">
        <v>34</v>
      </c>
      <c r="Q154" s="197">
        <f t="shared" si="5"/>
        <v>0</v>
      </c>
    </row>
    <row r="155" spans="1:17">
      <c r="A155" s="195" t="s">
        <v>341</v>
      </c>
      <c r="B155" s="196" t="s">
        <v>342</v>
      </c>
      <c r="C155" s="189">
        <v>1</v>
      </c>
      <c r="D155" s="189" t="s">
        <v>33</v>
      </c>
      <c r="E155" s="73" t="s">
        <v>34</v>
      </c>
      <c r="F155" s="197">
        <f t="shared" si="4"/>
        <v>0</v>
      </c>
      <c r="G155" s="198"/>
      <c r="H155">
        <v>0</v>
      </c>
      <c r="I155" s="46">
        <v>0</v>
      </c>
      <c r="L155" s="195" t="s">
        <v>341</v>
      </c>
      <c r="M155" s="196" t="s">
        <v>342</v>
      </c>
      <c r="N155" s="73">
        <v>1</v>
      </c>
      <c r="O155" s="73" t="s">
        <v>33</v>
      </c>
      <c r="P155" s="73" t="s">
        <v>34</v>
      </c>
      <c r="Q155" s="197">
        <f t="shared" si="5"/>
        <v>0</v>
      </c>
    </row>
    <row r="156" spans="1:17">
      <c r="A156" s="195" t="s">
        <v>343</v>
      </c>
      <c r="B156" s="196" t="s">
        <v>344</v>
      </c>
      <c r="C156" s="189">
        <v>2</v>
      </c>
      <c r="D156" s="189" t="s">
        <v>33</v>
      </c>
      <c r="E156" s="73" t="s">
        <v>34</v>
      </c>
      <c r="F156" s="197">
        <f t="shared" si="4"/>
        <v>0</v>
      </c>
      <c r="G156" s="198"/>
      <c r="H156">
        <v>0</v>
      </c>
      <c r="I156" s="46">
        <v>0</v>
      </c>
      <c r="L156" s="195" t="s">
        <v>343</v>
      </c>
      <c r="M156" s="196" t="s">
        <v>344</v>
      </c>
      <c r="N156" s="73">
        <v>2</v>
      </c>
      <c r="O156" s="73" t="s">
        <v>33</v>
      </c>
      <c r="P156" s="73" t="s">
        <v>34</v>
      </c>
      <c r="Q156" s="197">
        <f t="shared" si="5"/>
        <v>0</v>
      </c>
    </row>
    <row r="157" spans="1:17">
      <c r="A157" s="195" t="s">
        <v>345</v>
      </c>
      <c r="B157" s="196" t="s">
        <v>346</v>
      </c>
      <c r="C157" s="189">
        <v>2</v>
      </c>
      <c r="D157" s="189" t="s">
        <v>33</v>
      </c>
      <c r="E157" s="73" t="s">
        <v>34</v>
      </c>
      <c r="F157" s="197">
        <f t="shared" si="4"/>
        <v>0</v>
      </c>
      <c r="G157" s="198"/>
      <c r="H157">
        <v>0</v>
      </c>
      <c r="I157" s="46">
        <v>0</v>
      </c>
      <c r="L157" s="195" t="s">
        <v>345</v>
      </c>
      <c r="M157" s="196" t="s">
        <v>346</v>
      </c>
      <c r="N157" s="73">
        <v>2</v>
      </c>
      <c r="O157" s="73" t="s">
        <v>33</v>
      </c>
      <c r="P157" s="73" t="s">
        <v>34</v>
      </c>
      <c r="Q157" s="197">
        <f t="shared" si="5"/>
        <v>0</v>
      </c>
    </row>
    <row r="158" spans="1:17">
      <c r="A158" s="195" t="s">
        <v>347</v>
      </c>
      <c r="B158" s="196" t="s">
        <v>348</v>
      </c>
      <c r="C158" s="189">
        <v>2</v>
      </c>
      <c r="D158" s="189" t="s">
        <v>39</v>
      </c>
      <c r="E158" s="73" t="s">
        <v>40</v>
      </c>
      <c r="F158" s="197">
        <f t="shared" si="4"/>
        <v>1</v>
      </c>
      <c r="G158" s="198"/>
      <c r="H158">
        <v>0</v>
      </c>
      <c r="I158" s="46">
        <v>0</v>
      </c>
      <c r="L158" s="195" t="s">
        <v>347</v>
      </c>
      <c r="M158" s="196" t="s">
        <v>348</v>
      </c>
      <c r="N158" s="73">
        <v>2</v>
      </c>
      <c r="O158" s="73" t="s">
        <v>39</v>
      </c>
      <c r="P158" s="73" t="s">
        <v>40</v>
      </c>
      <c r="Q158" s="197">
        <f t="shared" si="5"/>
        <v>1</v>
      </c>
    </row>
    <row r="159" spans="1:17">
      <c r="A159" s="195" t="s">
        <v>349</v>
      </c>
      <c r="B159" s="196" t="s">
        <v>350</v>
      </c>
      <c r="C159" s="189">
        <v>1</v>
      </c>
      <c r="D159" s="189" t="s">
        <v>33</v>
      </c>
      <c r="E159" s="73" t="s">
        <v>34</v>
      </c>
      <c r="F159" s="197">
        <f t="shared" si="4"/>
        <v>0</v>
      </c>
      <c r="G159" s="198"/>
      <c r="H159">
        <v>0</v>
      </c>
      <c r="I159" s="46">
        <v>0</v>
      </c>
      <c r="L159" s="195" t="s">
        <v>349</v>
      </c>
      <c r="M159" s="196" t="s">
        <v>350</v>
      </c>
      <c r="N159" s="73">
        <v>1</v>
      </c>
      <c r="O159" s="73" t="s">
        <v>33</v>
      </c>
      <c r="P159" s="73" t="s">
        <v>34</v>
      </c>
      <c r="Q159" s="197">
        <f t="shared" si="5"/>
        <v>0</v>
      </c>
    </row>
    <row r="160" spans="1:17">
      <c r="A160" s="195" t="s">
        <v>351</v>
      </c>
      <c r="B160" s="196" t="s">
        <v>352</v>
      </c>
      <c r="C160" s="189">
        <v>2</v>
      </c>
      <c r="D160" s="189" t="s">
        <v>33</v>
      </c>
      <c r="E160" s="73" t="s">
        <v>34</v>
      </c>
      <c r="F160" s="197">
        <f t="shared" si="4"/>
        <v>0</v>
      </c>
      <c r="G160" s="198"/>
      <c r="H160">
        <v>0</v>
      </c>
      <c r="I160" s="46">
        <v>0</v>
      </c>
      <c r="L160" s="195" t="s">
        <v>351</v>
      </c>
      <c r="M160" s="196" t="s">
        <v>352</v>
      </c>
      <c r="N160" s="73">
        <v>2</v>
      </c>
      <c r="O160" s="73" t="s">
        <v>33</v>
      </c>
      <c r="P160" s="73" t="s">
        <v>34</v>
      </c>
      <c r="Q160" s="197">
        <f t="shared" si="5"/>
        <v>0</v>
      </c>
    </row>
    <row r="161" spans="1:17">
      <c r="A161" s="195" t="s">
        <v>353</v>
      </c>
      <c r="B161" s="196" t="s">
        <v>354</v>
      </c>
      <c r="C161" s="189">
        <v>2</v>
      </c>
      <c r="D161" s="189" t="s">
        <v>39</v>
      </c>
      <c r="E161" s="73" t="s">
        <v>34</v>
      </c>
      <c r="F161" s="197">
        <f t="shared" si="4"/>
        <v>1</v>
      </c>
      <c r="G161" s="198"/>
      <c r="H161">
        <v>0</v>
      </c>
      <c r="I161" s="46">
        <v>0</v>
      </c>
      <c r="L161" s="195" t="s">
        <v>353</v>
      </c>
      <c r="M161" s="196" t="s">
        <v>354</v>
      </c>
      <c r="N161" s="73">
        <v>2</v>
      </c>
      <c r="O161" s="73" t="s">
        <v>39</v>
      </c>
      <c r="P161" s="73" t="s">
        <v>34</v>
      </c>
      <c r="Q161" s="197">
        <f t="shared" si="5"/>
        <v>1</v>
      </c>
    </row>
    <row r="162" spans="1:17">
      <c r="A162" s="195" t="s">
        <v>355</v>
      </c>
      <c r="B162" s="196" t="s">
        <v>356</v>
      </c>
      <c r="C162" s="189">
        <v>1</v>
      </c>
      <c r="D162" s="189" t="s">
        <v>33</v>
      </c>
      <c r="E162" s="73" t="s">
        <v>34</v>
      </c>
      <c r="F162" s="197">
        <f t="shared" si="4"/>
        <v>0</v>
      </c>
      <c r="G162" s="198"/>
      <c r="H162">
        <v>0</v>
      </c>
      <c r="I162" s="46">
        <v>0</v>
      </c>
      <c r="L162" s="195" t="s">
        <v>355</v>
      </c>
      <c r="M162" s="196" t="s">
        <v>356</v>
      </c>
      <c r="N162" s="73">
        <v>1</v>
      </c>
      <c r="O162" s="73" t="s">
        <v>33</v>
      </c>
      <c r="P162" s="73" t="s">
        <v>34</v>
      </c>
      <c r="Q162" s="197">
        <f t="shared" si="5"/>
        <v>0</v>
      </c>
    </row>
    <row r="163" spans="1:17">
      <c r="A163" s="195" t="s">
        <v>357</v>
      </c>
      <c r="B163" s="196" t="s">
        <v>358</v>
      </c>
      <c r="C163" s="189">
        <v>2</v>
      </c>
      <c r="D163" s="189" t="s">
        <v>33</v>
      </c>
      <c r="E163" s="73" t="s">
        <v>34</v>
      </c>
      <c r="F163" s="197">
        <f t="shared" si="4"/>
        <v>0</v>
      </c>
      <c r="G163" s="198"/>
      <c r="H163">
        <v>0</v>
      </c>
      <c r="I163" s="46">
        <v>0</v>
      </c>
      <c r="L163" s="195" t="s">
        <v>357</v>
      </c>
      <c r="M163" s="196" t="s">
        <v>358</v>
      </c>
      <c r="N163" s="73">
        <v>2</v>
      </c>
      <c r="O163" s="73" t="s">
        <v>33</v>
      </c>
      <c r="P163" s="73" t="s">
        <v>34</v>
      </c>
      <c r="Q163" s="197">
        <f t="shared" si="5"/>
        <v>0</v>
      </c>
    </row>
    <row r="164" spans="1:17">
      <c r="A164" s="195" t="s">
        <v>359</v>
      </c>
      <c r="B164" s="196" t="s">
        <v>360</v>
      </c>
      <c r="C164" s="189">
        <v>2</v>
      </c>
      <c r="D164" s="189" t="s">
        <v>33</v>
      </c>
      <c r="E164" s="73" t="s">
        <v>34</v>
      </c>
      <c r="F164" s="197">
        <f t="shared" si="4"/>
        <v>0</v>
      </c>
      <c r="G164" s="198"/>
      <c r="H164">
        <v>0</v>
      </c>
      <c r="I164" s="46">
        <v>0</v>
      </c>
      <c r="L164" s="195" t="s">
        <v>359</v>
      </c>
      <c r="M164" s="196" t="s">
        <v>360</v>
      </c>
      <c r="N164" s="73">
        <v>2</v>
      </c>
      <c r="O164" s="73" t="s">
        <v>33</v>
      </c>
      <c r="P164" s="73" t="s">
        <v>34</v>
      </c>
      <c r="Q164" s="197">
        <f t="shared" si="5"/>
        <v>0</v>
      </c>
    </row>
    <row r="165" spans="1:17">
      <c r="A165" s="195" t="s">
        <v>361</v>
      </c>
      <c r="B165" s="196" t="s">
        <v>362</v>
      </c>
      <c r="C165" s="189">
        <v>2</v>
      </c>
      <c r="D165" s="189" t="s">
        <v>33</v>
      </c>
      <c r="E165" s="73" t="s">
        <v>34</v>
      </c>
      <c r="F165" s="197">
        <f t="shared" si="4"/>
        <v>0</v>
      </c>
      <c r="G165" s="198"/>
      <c r="H165">
        <v>0</v>
      </c>
      <c r="I165" s="46">
        <v>0</v>
      </c>
      <c r="L165" s="195" t="s">
        <v>361</v>
      </c>
      <c r="M165" s="196" t="s">
        <v>362</v>
      </c>
      <c r="N165" s="73">
        <v>2</v>
      </c>
      <c r="O165" s="73" t="s">
        <v>33</v>
      </c>
      <c r="P165" s="73" t="s">
        <v>34</v>
      </c>
      <c r="Q165" s="197">
        <f t="shared" si="5"/>
        <v>0</v>
      </c>
    </row>
    <row r="166" spans="1:17">
      <c r="A166" s="195" t="s">
        <v>363</v>
      </c>
      <c r="B166" s="196" t="s">
        <v>364</v>
      </c>
      <c r="C166" s="189">
        <v>2</v>
      </c>
      <c r="D166" s="189" t="s">
        <v>39</v>
      </c>
      <c r="E166" s="73" t="s">
        <v>40</v>
      </c>
      <c r="F166" s="197">
        <f t="shared" si="4"/>
        <v>1</v>
      </c>
      <c r="G166" s="198"/>
      <c r="H166">
        <v>0</v>
      </c>
      <c r="I166" s="46">
        <v>0</v>
      </c>
      <c r="L166" s="195" t="s">
        <v>363</v>
      </c>
      <c r="M166" s="196" t="s">
        <v>364</v>
      </c>
      <c r="N166" s="73">
        <v>2</v>
      </c>
      <c r="O166" s="73" t="s">
        <v>39</v>
      </c>
      <c r="P166" s="73" t="s">
        <v>40</v>
      </c>
      <c r="Q166" s="197">
        <f t="shared" si="5"/>
        <v>1</v>
      </c>
    </row>
    <row r="167" spans="1:17">
      <c r="A167" s="195" t="s">
        <v>365</v>
      </c>
      <c r="B167" s="196" t="s">
        <v>366</v>
      </c>
      <c r="C167" s="189">
        <v>1</v>
      </c>
      <c r="D167" s="189" t="s">
        <v>33</v>
      </c>
      <c r="E167" s="73" t="s">
        <v>34</v>
      </c>
      <c r="F167" s="197">
        <f t="shared" si="4"/>
        <v>0</v>
      </c>
      <c r="G167" s="198"/>
      <c r="H167">
        <v>0</v>
      </c>
      <c r="I167" s="46">
        <v>0</v>
      </c>
      <c r="L167" s="195" t="s">
        <v>365</v>
      </c>
      <c r="M167" s="196" t="s">
        <v>366</v>
      </c>
      <c r="N167" s="73">
        <v>1</v>
      </c>
      <c r="O167" s="73" t="s">
        <v>33</v>
      </c>
      <c r="P167" s="73" t="s">
        <v>34</v>
      </c>
      <c r="Q167" s="197">
        <f t="shared" si="5"/>
        <v>0</v>
      </c>
    </row>
    <row r="168" spans="1:17">
      <c r="A168" s="205" t="s">
        <v>367</v>
      </c>
      <c r="B168" s="46" t="s">
        <v>368</v>
      </c>
      <c r="C168" s="189">
        <v>2</v>
      </c>
      <c r="D168" s="189" t="s">
        <v>33</v>
      </c>
      <c r="E168" s="73" t="s">
        <v>34</v>
      </c>
      <c r="F168" s="197">
        <f t="shared" si="4"/>
        <v>0</v>
      </c>
      <c r="G168" s="198"/>
      <c r="H168">
        <v>0</v>
      </c>
      <c r="I168" s="46">
        <v>0</v>
      </c>
      <c r="L168" s="205" t="s">
        <v>367</v>
      </c>
      <c r="M168" s="46" t="s">
        <v>368</v>
      </c>
      <c r="N168" s="73">
        <v>2</v>
      </c>
      <c r="O168" s="73" t="s">
        <v>33</v>
      </c>
      <c r="P168" s="73" t="s">
        <v>34</v>
      </c>
      <c r="Q168" s="197">
        <f t="shared" si="5"/>
        <v>0</v>
      </c>
    </row>
    <row r="169" spans="1:17">
      <c r="A169" s="195" t="s">
        <v>369</v>
      </c>
      <c r="B169" s="196" t="s">
        <v>370</v>
      </c>
      <c r="C169" s="189">
        <v>1</v>
      </c>
      <c r="D169" s="189" t="s">
        <v>33</v>
      </c>
      <c r="E169" s="73" t="s">
        <v>34</v>
      </c>
      <c r="F169" s="197">
        <f t="shared" si="4"/>
        <v>0</v>
      </c>
      <c r="G169" s="198"/>
      <c r="H169">
        <v>0</v>
      </c>
      <c r="I169" s="46">
        <v>0</v>
      </c>
      <c r="L169" s="195" t="s">
        <v>369</v>
      </c>
      <c r="M169" s="196" t="s">
        <v>370</v>
      </c>
      <c r="N169" s="73">
        <v>1</v>
      </c>
      <c r="O169" s="73" t="s">
        <v>33</v>
      </c>
      <c r="P169" s="73" t="s">
        <v>34</v>
      </c>
      <c r="Q169" s="197">
        <f t="shared" si="5"/>
        <v>0</v>
      </c>
    </row>
    <row r="170" spans="1:17">
      <c r="A170" s="195" t="s">
        <v>371</v>
      </c>
      <c r="B170" s="196" t="s">
        <v>372</v>
      </c>
      <c r="C170" s="189">
        <v>2</v>
      </c>
      <c r="D170" s="189" t="s">
        <v>33</v>
      </c>
      <c r="E170" s="73" t="s">
        <v>34</v>
      </c>
      <c r="F170" s="197">
        <f t="shared" si="4"/>
        <v>0</v>
      </c>
      <c r="G170" s="198"/>
      <c r="H170">
        <v>0</v>
      </c>
      <c r="I170" s="46">
        <v>0</v>
      </c>
      <c r="L170" s="195" t="s">
        <v>371</v>
      </c>
      <c r="M170" s="196" t="s">
        <v>372</v>
      </c>
      <c r="N170" s="73">
        <v>2</v>
      </c>
      <c r="O170" s="73" t="s">
        <v>33</v>
      </c>
      <c r="P170" s="73" t="s">
        <v>34</v>
      </c>
      <c r="Q170" s="197">
        <f t="shared" si="5"/>
        <v>0</v>
      </c>
    </row>
    <row r="171" spans="1:17">
      <c r="A171" s="195" t="s">
        <v>373</v>
      </c>
      <c r="B171" s="196" t="s">
        <v>374</v>
      </c>
      <c r="C171" s="189">
        <v>2</v>
      </c>
      <c r="D171" s="189" t="s">
        <v>33</v>
      </c>
      <c r="E171" s="73" t="s">
        <v>34</v>
      </c>
      <c r="F171" s="197">
        <f t="shared" si="4"/>
        <v>0</v>
      </c>
      <c r="G171" s="198"/>
      <c r="H171">
        <v>0</v>
      </c>
      <c r="I171" s="46">
        <v>0</v>
      </c>
      <c r="L171" s="195" t="s">
        <v>373</v>
      </c>
      <c r="M171" s="196" t="s">
        <v>374</v>
      </c>
      <c r="N171" s="73">
        <v>2</v>
      </c>
      <c r="O171" s="73" t="s">
        <v>33</v>
      </c>
      <c r="P171" s="73" t="s">
        <v>34</v>
      </c>
      <c r="Q171" s="197">
        <f t="shared" si="5"/>
        <v>0</v>
      </c>
    </row>
    <row r="172" spans="1:17">
      <c r="A172" s="195" t="s">
        <v>375</v>
      </c>
      <c r="B172" s="196" t="s">
        <v>376</v>
      </c>
      <c r="C172" s="189">
        <v>2</v>
      </c>
      <c r="D172" s="189" t="s">
        <v>39</v>
      </c>
      <c r="E172" s="73" t="s">
        <v>34</v>
      </c>
      <c r="F172" s="197">
        <f t="shared" si="4"/>
        <v>1</v>
      </c>
      <c r="G172" s="198"/>
      <c r="H172">
        <v>0</v>
      </c>
      <c r="I172" s="46">
        <v>0</v>
      </c>
      <c r="L172" s="195" t="s">
        <v>375</v>
      </c>
      <c r="M172" s="196" t="s">
        <v>376</v>
      </c>
      <c r="N172" s="73">
        <v>2</v>
      </c>
      <c r="O172" s="73" t="s">
        <v>39</v>
      </c>
      <c r="P172" s="73" t="s">
        <v>34</v>
      </c>
      <c r="Q172" s="197">
        <f t="shared" si="5"/>
        <v>1</v>
      </c>
    </row>
    <row r="173" spans="1:17">
      <c r="A173" s="195" t="s">
        <v>377</v>
      </c>
      <c r="B173" s="196" t="s">
        <v>378</v>
      </c>
      <c r="C173" s="189">
        <v>2</v>
      </c>
      <c r="D173" s="189" t="s">
        <v>33</v>
      </c>
      <c r="E173" s="73" t="s">
        <v>40</v>
      </c>
      <c r="F173" s="197">
        <f t="shared" si="4"/>
        <v>0</v>
      </c>
      <c r="G173" s="198"/>
      <c r="H173">
        <v>0</v>
      </c>
      <c r="I173" s="46">
        <v>0</v>
      </c>
      <c r="L173" s="195" t="s">
        <v>377</v>
      </c>
      <c r="M173" s="196" t="s">
        <v>378</v>
      </c>
      <c r="N173" s="73">
        <v>2</v>
      </c>
      <c r="O173" s="73" t="s">
        <v>33</v>
      </c>
      <c r="P173" s="73" t="s">
        <v>40</v>
      </c>
      <c r="Q173" s="197">
        <f t="shared" si="5"/>
        <v>0</v>
      </c>
    </row>
    <row r="174" spans="1:17">
      <c r="A174" s="195" t="s">
        <v>379</v>
      </c>
      <c r="B174" s="196" t="s">
        <v>380</v>
      </c>
      <c r="C174" s="189">
        <v>2</v>
      </c>
      <c r="D174" s="189" t="s">
        <v>33</v>
      </c>
      <c r="E174" s="73" t="s">
        <v>34</v>
      </c>
      <c r="F174" s="197">
        <f t="shared" si="4"/>
        <v>0</v>
      </c>
      <c r="G174" s="198"/>
      <c r="H174">
        <v>0</v>
      </c>
      <c r="I174" s="46">
        <v>0</v>
      </c>
      <c r="L174" s="195" t="s">
        <v>379</v>
      </c>
      <c r="M174" s="196" t="s">
        <v>380</v>
      </c>
      <c r="N174" s="73">
        <v>2</v>
      </c>
      <c r="O174" s="73" t="s">
        <v>33</v>
      </c>
      <c r="P174" s="73" t="s">
        <v>34</v>
      </c>
      <c r="Q174" s="197">
        <f t="shared" si="5"/>
        <v>0</v>
      </c>
    </row>
    <row r="175" spans="1:17">
      <c r="A175" s="195" t="s">
        <v>381</v>
      </c>
      <c r="B175" s="196" t="s">
        <v>382</v>
      </c>
      <c r="C175" s="189">
        <v>2</v>
      </c>
      <c r="D175" s="189" t="s">
        <v>33</v>
      </c>
      <c r="E175" s="73" t="s">
        <v>34</v>
      </c>
      <c r="F175" s="197">
        <f t="shared" si="4"/>
        <v>0</v>
      </c>
      <c r="G175" s="198"/>
      <c r="H175">
        <v>0</v>
      </c>
      <c r="I175" s="46">
        <v>0</v>
      </c>
      <c r="L175" s="195" t="s">
        <v>381</v>
      </c>
      <c r="M175" s="196" t="s">
        <v>382</v>
      </c>
      <c r="N175" s="73">
        <v>2</v>
      </c>
      <c r="O175" s="73" t="s">
        <v>33</v>
      </c>
      <c r="P175" s="73" t="s">
        <v>34</v>
      </c>
      <c r="Q175" s="197">
        <f t="shared" si="5"/>
        <v>0</v>
      </c>
    </row>
    <row r="176" spans="1:17">
      <c r="A176" s="195" t="s">
        <v>383</v>
      </c>
      <c r="B176" s="196" t="s">
        <v>384</v>
      </c>
      <c r="C176" s="189">
        <v>2</v>
      </c>
      <c r="D176" s="189" t="s">
        <v>33</v>
      </c>
      <c r="E176" s="73" t="s">
        <v>34</v>
      </c>
      <c r="F176" s="197">
        <f t="shared" si="4"/>
        <v>0</v>
      </c>
      <c r="G176" s="198"/>
      <c r="H176">
        <v>0</v>
      </c>
      <c r="I176" s="46">
        <v>0</v>
      </c>
      <c r="L176" s="195" t="s">
        <v>383</v>
      </c>
      <c r="M176" s="196" t="s">
        <v>384</v>
      </c>
      <c r="N176" s="73">
        <v>2</v>
      </c>
      <c r="O176" s="73" t="s">
        <v>33</v>
      </c>
      <c r="P176" s="73" t="s">
        <v>34</v>
      </c>
      <c r="Q176" s="197">
        <f t="shared" si="5"/>
        <v>0</v>
      </c>
    </row>
    <row r="177" spans="1:17">
      <c r="A177" s="195" t="s">
        <v>385</v>
      </c>
      <c r="B177" s="196" t="s">
        <v>386</v>
      </c>
      <c r="C177" s="189">
        <v>2</v>
      </c>
      <c r="D177" s="189" t="s">
        <v>39</v>
      </c>
      <c r="E177" s="73" t="s">
        <v>34</v>
      </c>
      <c r="F177" s="197">
        <f t="shared" si="4"/>
        <v>1</v>
      </c>
      <c r="G177" s="198"/>
      <c r="H177">
        <v>0</v>
      </c>
      <c r="I177" s="46">
        <v>0</v>
      </c>
      <c r="L177" s="195" t="s">
        <v>385</v>
      </c>
      <c r="M177" s="196" t="s">
        <v>386</v>
      </c>
      <c r="N177" s="73">
        <v>2</v>
      </c>
      <c r="O177" s="73" t="s">
        <v>39</v>
      </c>
      <c r="P177" s="73" t="s">
        <v>34</v>
      </c>
      <c r="Q177" s="197">
        <f t="shared" si="5"/>
        <v>1</v>
      </c>
    </row>
    <row r="178" spans="1:17">
      <c r="A178" s="195" t="s">
        <v>387</v>
      </c>
      <c r="B178" s="196" t="s">
        <v>388</v>
      </c>
      <c r="C178" s="189">
        <v>1</v>
      </c>
      <c r="D178" s="189" t="s">
        <v>33</v>
      </c>
      <c r="E178" s="73" t="s">
        <v>34</v>
      </c>
      <c r="F178" s="197">
        <f t="shared" si="4"/>
        <v>0</v>
      </c>
      <c r="G178" s="198"/>
      <c r="H178">
        <v>0</v>
      </c>
      <c r="I178" s="46">
        <v>0</v>
      </c>
      <c r="L178" s="195" t="s">
        <v>387</v>
      </c>
      <c r="M178" s="196" t="s">
        <v>388</v>
      </c>
      <c r="N178" s="73">
        <v>1</v>
      </c>
      <c r="O178" s="73" t="s">
        <v>33</v>
      </c>
      <c r="P178" s="73" t="s">
        <v>34</v>
      </c>
      <c r="Q178" s="197">
        <f t="shared" si="5"/>
        <v>0</v>
      </c>
    </row>
    <row r="179" spans="1:17">
      <c r="A179" s="195" t="s">
        <v>389</v>
      </c>
      <c r="B179" s="196" t="s">
        <v>390</v>
      </c>
      <c r="C179" s="189">
        <v>1</v>
      </c>
      <c r="D179" s="189" t="s">
        <v>33</v>
      </c>
      <c r="E179" s="73" t="s">
        <v>34</v>
      </c>
      <c r="F179" s="197">
        <f t="shared" si="4"/>
        <v>0</v>
      </c>
      <c r="G179" s="198"/>
      <c r="H179">
        <v>0</v>
      </c>
      <c r="I179" s="46">
        <v>0</v>
      </c>
      <c r="L179" s="195" t="s">
        <v>389</v>
      </c>
      <c r="M179" s="196" t="s">
        <v>390</v>
      </c>
      <c r="N179" s="73">
        <v>1</v>
      </c>
      <c r="O179" s="73" t="s">
        <v>33</v>
      </c>
      <c r="P179" s="73" t="s">
        <v>34</v>
      </c>
      <c r="Q179" s="197">
        <f t="shared" si="5"/>
        <v>0</v>
      </c>
    </row>
    <row r="180" spans="1:17">
      <c r="A180" s="195" t="s">
        <v>391</v>
      </c>
      <c r="B180" s="196" t="s">
        <v>392</v>
      </c>
      <c r="C180" s="189">
        <v>1</v>
      </c>
      <c r="D180" s="189" t="s">
        <v>33</v>
      </c>
      <c r="E180" s="73" t="s">
        <v>34</v>
      </c>
      <c r="F180" s="197">
        <f t="shared" si="4"/>
        <v>0</v>
      </c>
      <c r="G180" s="198"/>
      <c r="H180">
        <v>0</v>
      </c>
      <c r="I180" s="46">
        <v>0</v>
      </c>
      <c r="L180" s="195" t="s">
        <v>391</v>
      </c>
      <c r="M180" s="196" t="s">
        <v>392</v>
      </c>
      <c r="N180" s="73">
        <v>1</v>
      </c>
      <c r="O180" s="73" t="s">
        <v>33</v>
      </c>
      <c r="P180" s="73" t="s">
        <v>34</v>
      </c>
      <c r="Q180" s="197">
        <f t="shared" si="5"/>
        <v>0</v>
      </c>
    </row>
    <row r="181" spans="1:17">
      <c r="A181" s="195" t="s">
        <v>393</v>
      </c>
      <c r="B181" s="196" t="s">
        <v>394</v>
      </c>
      <c r="C181" s="189">
        <v>2</v>
      </c>
      <c r="D181" s="189" t="s">
        <v>39</v>
      </c>
      <c r="E181" s="73" t="s">
        <v>34</v>
      </c>
      <c r="F181" s="197">
        <f t="shared" si="4"/>
        <v>1</v>
      </c>
      <c r="G181" s="198"/>
      <c r="H181">
        <v>0</v>
      </c>
      <c r="I181" s="46">
        <v>0</v>
      </c>
      <c r="L181" s="195" t="s">
        <v>393</v>
      </c>
      <c r="M181" s="196" t="s">
        <v>394</v>
      </c>
      <c r="N181" s="73">
        <v>2</v>
      </c>
      <c r="O181" s="73" t="s">
        <v>39</v>
      </c>
      <c r="P181" s="73" t="s">
        <v>34</v>
      </c>
      <c r="Q181" s="197">
        <f t="shared" si="5"/>
        <v>1</v>
      </c>
    </row>
    <row r="182" spans="1:17">
      <c r="A182" s="195" t="s">
        <v>395</v>
      </c>
      <c r="B182" s="196" t="s">
        <v>396</v>
      </c>
      <c r="C182" s="189">
        <v>1</v>
      </c>
      <c r="D182" s="189" t="s">
        <v>33</v>
      </c>
      <c r="E182" s="73" t="s">
        <v>34</v>
      </c>
      <c r="F182" s="197">
        <f t="shared" si="4"/>
        <v>0</v>
      </c>
      <c r="G182" s="198"/>
      <c r="H182">
        <v>0</v>
      </c>
      <c r="I182" s="46">
        <v>0</v>
      </c>
      <c r="L182" s="195" t="s">
        <v>395</v>
      </c>
      <c r="M182" s="196" t="s">
        <v>396</v>
      </c>
      <c r="N182" s="73">
        <v>1</v>
      </c>
      <c r="O182" s="73" t="s">
        <v>33</v>
      </c>
      <c r="P182" s="73" t="s">
        <v>34</v>
      </c>
      <c r="Q182" s="197">
        <f t="shared" si="5"/>
        <v>0</v>
      </c>
    </row>
    <row r="183" spans="1:17">
      <c r="A183" s="195" t="s">
        <v>397</v>
      </c>
      <c r="B183" s="196" t="s">
        <v>398</v>
      </c>
      <c r="C183" s="189">
        <v>2</v>
      </c>
      <c r="D183" s="189" t="s">
        <v>39</v>
      </c>
      <c r="E183" s="73" t="s">
        <v>34</v>
      </c>
      <c r="F183" s="197">
        <f t="shared" si="4"/>
        <v>1</v>
      </c>
      <c r="G183" s="198"/>
      <c r="H183">
        <v>0</v>
      </c>
      <c r="I183" s="46">
        <v>0</v>
      </c>
      <c r="L183" s="195" t="s">
        <v>397</v>
      </c>
      <c r="M183" s="196" t="s">
        <v>398</v>
      </c>
      <c r="N183" s="73">
        <v>2</v>
      </c>
      <c r="O183" s="73" t="s">
        <v>39</v>
      </c>
      <c r="P183" s="73" t="s">
        <v>34</v>
      </c>
      <c r="Q183" s="197">
        <f t="shared" si="5"/>
        <v>1</v>
      </c>
    </row>
    <row r="184" spans="1:17">
      <c r="A184" s="195" t="s">
        <v>399</v>
      </c>
      <c r="B184" s="196" t="s">
        <v>400</v>
      </c>
      <c r="C184" s="189">
        <v>1</v>
      </c>
      <c r="D184" s="189" t="s">
        <v>33</v>
      </c>
      <c r="E184" s="73" t="s">
        <v>34</v>
      </c>
      <c r="F184" s="197">
        <f t="shared" si="4"/>
        <v>0</v>
      </c>
      <c r="G184" s="198"/>
      <c r="H184">
        <v>0</v>
      </c>
      <c r="I184" s="46">
        <v>0</v>
      </c>
      <c r="L184" s="195" t="s">
        <v>399</v>
      </c>
      <c r="M184" s="196" t="s">
        <v>400</v>
      </c>
      <c r="N184" s="73">
        <v>1</v>
      </c>
      <c r="O184" s="73" t="s">
        <v>33</v>
      </c>
      <c r="P184" s="73" t="s">
        <v>34</v>
      </c>
      <c r="Q184" s="197">
        <f t="shared" si="5"/>
        <v>0</v>
      </c>
    </row>
    <row r="185" spans="1:17">
      <c r="A185" s="195" t="s">
        <v>401</v>
      </c>
      <c r="B185" s="196" t="s">
        <v>402</v>
      </c>
      <c r="C185" s="189">
        <v>1</v>
      </c>
      <c r="D185" s="189" t="s">
        <v>33</v>
      </c>
      <c r="E185" s="73" t="s">
        <v>34</v>
      </c>
      <c r="F185" s="197">
        <f t="shared" si="4"/>
        <v>0</v>
      </c>
      <c r="G185" s="198"/>
      <c r="H185">
        <v>0</v>
      </c>
      <c r="I185" s="46">
        <v>0</v>
      </c>
      <c r="L185" s="195" t="s">
        <v>401</v>
      </c>
      <c r="M185" s="196" t="s">
        <v>402</v>
      </c>
      <c r="N185" s="73">
        <v>1</v>
      </c>
      <c r="O185" s="73" t="s">
        <v>33</v>
      </c>
      <c r="P185" s="73" t="s">
        <v>34</v>
      </c>
      <c r="Q185" s="197">
        <f t="shared" si="5"/>
        <v>0</v>
      </c>
    </row>
    <row r="186" spans="1:17">
      <c r="A186" s="195" t="s">
        <v>403</v>
      </c>
      <c r="B186" s="196" t="s">
        <v>404</v>
      </c>
      <c r="C186" s="189">
        <v>2</v>
      </c>
      <c r="D186" s="189" t="s">
        <v>39</v>
      </c>
      <c r="E186" s="73" t="s">
        <v>34</v>
      </c>
      <c r="F186" s="197">
        <f t="shared" si="4"/>
        <v>1</v>
      </c>
      <c r="G186" s="198"/>
      <c r="H186">
        <v>0</v>
      </c>
      <c r="I186" s="46">
        <v>0</v>
      </c>
      <c r="L186" s="195" t="s">
        <v>403</v>
      </c>
      <c r="M186" s="196" t="s">
        <v>404</v>
      </c>
      <c r="N186" s="73">
        <v>2</v>
      </c>
      <c r="O186" s="73" t="s">
        <v>39</v>
      </c>
      <c r="P186" s="73" t="s">
        <v>34</v>
      </c>
      <c r="Q186" s="197">
        <f t="shared" si="5"/>
        <v>1</v>
      </c>
    </row>
    <row r="187" spans="1:17">
      <c r="A187" s="195" t="s">
        <v>405</v>
      </c>
      <c r="B187" s="196" t="s">
        <v>406</v>
      </c>
      <c r="C187" s="189">
        <v>2</v>
      </c>
      <c r="D187" s="189" t="s">
        <v>33</v>
      </c>
      <c r="E187" s="73" t="s">
        <v>34</v>
      </c>
      <c r="F187" s="197">
        <f t="shared" si="4"/>
        <v>0</v>
      </c>
      <c r="G187" s="198"/>
      <c r="H187">
        <v>0</v>
      </c>
      <c r="I187" s="46">
        <v>0</v>
      </c>
      <c r="L187" s="195" t="s">
        <v>405</v>
      </c>
      <c r="M187" s="196" t="s">
        <v>406</v>
      </c>
      <c r="N187" s="73">
        <v>2</v>
      </c>
      <c r="O187" s="73" t="s">
        <v>33</v>
      </c>
      <c r="P187" s="73" t="s">
        <v>34</v>
      </c>
      <c r="Q187" s="197">
        <f t="shared" si="5"/>
        <v>0</v>
      </c>
    </row>
    <row r="188" spans="1:17">
      <c r="A188" s="195" t="s">
        <v>407</v>
      </c>
      <c r="B188" s="196" t="s">
        <v>408</v>
      </c>
      <c r="C188" s="189">
        <v>2</v>
      </c>
      <c r="D188" s="189" t="s">
        <v>33</v>
      </c>
      <c r="E188" s="73" t="s">
        <v>34</v>
      </c>
      <c r="F188" s="197">
        <f t="shared" si="4"/>
        <v>0</v>
      </c>
      <c r="G188" s="198"/>
      <c r="H188">
        <v>0</v>
      </c>
      <c r="I188" s="46">
        <v>0</v>
      </c>
      <c r="L188" s="195" t="s">
        <v>407</v>
      </c>
      <c r="M188" s="196" t="s">
        <v>408</v>
      </c>
      <c r="N188" s="73">
        <v>2</v>
      </c>
      <c r="O188" s="73" t="s">
        <v>33</v>
      </c>
      <c r="P188" s="73" t="s">
        <v>34</v>
      </c>
      <c r="Q188" s="197">
        <f t="shared" si="5"/>
        <v>0</v>
      </c>
    </row>
    <row r="189" spans="1:17">
      <c r="A189" s="195" t="s">
        <v>409</v>
      </c>
      <c r="B189" s="196" t="s">
        <v>410</v>
      </c>
      <c r="C189" s="189">
        <v>2</v>
      </c>
      <c r="D189" s="189" t="s">
        <v>39</v>
      </c>
      <c r="E189" s="73" t="s">
        <v>34</v>
      </c>
      <c r="F189" s="197">
        <f t="shared" si="4"/>
        <v>1</v>
      </c>
      <c r="G189" s="198"/>
      <c r="H189">
        <v>0</v>
      </c>
      <c r="I189" s="46">
        <v>0</v>
      </c>
      <c r="L189" s="195" t="s">
        <v>409</v>
      </c>
      <c r="M189" s="196" t="s">
        <v>410</v>
      </c>
      <c r="N189" s="73">
        <v>2</v>
      </c>
      <c r="O189" s="73" t="s">
        <v>39</v>
      </c>
      <c r="P189" s="73" t="s">
        <v>34</v>
      </c>
      <c r="Q189" s="197">
        <f t="shared" si="5"/>
        <v>1</v>
      </c>
    </row>
    <row r="190" spans="1:17">
      <c r="A190" s="195" t="s">
        <v>411</v>
      </c>
      <c r="B190" s="196" t="s">
        <v>412</v>
      </c>
      <c r="C190" s="189">
        <v>2</v>
      </c>
      <c r="D190" s="189" t="s">
        <v>39</v>
      </c>
      <c r="E190" s="73" t="s">
        <v>34</v>
      </c>
      <c r="F190" s="197">
        <f t="shared" si="4"/>
        <v>1</v>
      </c>
      <c r="G190" s="198"/>
      <c r="H190">
        <v>0</v>
      </c>
      <c r="I190" s="46">
        <v>0</v>
      </c>
      <c r="L190" s="195" t="s">
        <v>411</v>
      </c>
      <c r="M190" s="196" t="s">
        <v>412</v>
      </c>
      <c r="N190" s="73">
        <v>2</v>
      </c>
      <c r="O190" s="73" t="s">
        <v>39</v>
      </c>
      <c r="P190" s="73" t="s">
        <v>34</v>
      </c>
      <c r="Q190" s="197">
        <f t="shared" si="5"/>
        <v>1</v>
      </c>
    </row>
    <row r="191" spans="1:17">
      <c r="A191" s="195" t="s">
        <v>413</v>
      </c>
      <c r="B191" s="196" t="s">
        <v>414</v>
      </c>
      <c r="C191" s="189">
        <v>2</v>
      </c>
      <c r="D191" s="189" t="s">
        <v>33</v>
      </c>
      <c r="E191" s="73" t="s">
        <v>34</v>
      </c>
      <c r="F191" s="197">
        <f t="shared" si="4"/>
        <v>0</v>
      </c>
      <c r="G191" s="198"/>
      <c r="H191">
        <v>0</v>
      </c>
      <c r="I191" s="46">
        <v>0</v>
      </c>
      <c r="L191" s="195" t="s">
        <v>413</v>
      </c>
      <c r="M191" s="196" t="s">
        <v>414</v>
      </c>
      <c r="N191" s="73">
        <v>2</v>
      </c>
      <c r="O191" s="73" t="s">
        <v>33</v>
      </c>
      <c r="P191" s="73" t="s">
        <v>34</v>
      </c>
      <c r="Q191" s="197">
        <f t="shared" si="5"/>
        <v>0</v>
      </c>
    </row>
    <row r="192" spans="1:17">
      <c r="A192" s="195" t="s">
        <v>415</v>
      </c>
      <c r="B192" s="196" t="s">
        <v>416</v>
      </c>
      <c r="C192" s="189">
        <v>1</v>
      </c>
      <c r="D192" s="189" t="s">
        <v>33</v>
      </c>
      <c r="E192" s="73" t="s">
        <v>34</v>
      </c>
      <c r="F192" s="197">
        <f t="shared" si="4"/>
        <v>0</v>
      </c>
      <c r="G192" s="198"/>
      <c r="H192">
        <v>0</v>
      </c>
      <c r="I192" s="46">
        <v>0</v>
      </c>
      <c r="L192" s="195" t="s">
        <v>415</v>
      </c>
      <c r="M192" s="196" t="s">
        <v>416</v>
      </c>
      <c r="N192" s="73">
        <v>1</v>
      </c>
      <c r="O192" s="73" t="s">
        <v>33</v>
      </c>
      <c r="P192" s="73" t="s">
        <v>34</v>
      </c>
      <c r="Q192" s="197">
        <f t="shared" si="5"/>
        <v>0</v>
      </c>
    </row>
    <row r="193" spans="1:17">
      <c r="A193" s="195" t="s">
        <v>417</v>
      </c>
      <c r="B193" s="196" t="s">
        <v>418</v>
      </c>
      <c r="C193" s="189">
        <v>2</v>
      </c>
      <c r="D193" s="189" t="s">
        <v>33</v>
      </c>
      <c r="E193" s="73" t="s">
        <v>34</v>
      </c>
      <c r="F193" s="197">
        <f t="shared" si="4"/>
        <v>0</v>
      </c>
      <c r="G193" s="198"/>
      <c r="H193">
        <v>0</v>
      </c>
      <c r="I193" s="46">
        <v>0</v>
      </c>
      <c r="L193" s="195" t="s">
        <v>417</v>
      </c>
      <c r="M193" s="196" t="s">
        <v>418</v>
      </c>
      <c r="N193" s="73">
        <v>2</v>
      </c>
      <c r="O193" s="73" t="s">
        <v>33</v>
      </c>
      <c r="P193" s="73" t="s">
        <v>34</v>
      </c>
      <c r="Q193" s="197">
        <f t="shared" si="5"/>
        <v>0</v>
      </c>
    </row>
    <row r="194" spans="1:17">
      <c r="A194" s="195" t="s">
        <v>419</v>
      </c>
      <c r="B194" s="196" t="s">
        <v>420</v>
      </c>
      <c r="C194" s="189">
        <v>2</v>
      </c>
      <c r="D194" s="189" t="s">
        <v>33</v>
      </c>
      <c r="E194" s="73" t="s">
        <v>34</v>
      </c>
      <c r="F194" s="197">
        <f t="shared" ref="F194:F257" si="6">IF(+D194="cash",1,0)</f>
        <v>0</v>
      </c>
      <c r="G194" s="198"/>
      <c r="H194">
        <v>0</v>
      </c>
      <c r="I194" s="46">
        <v>0</v>
      </c>
      <c r="L194" s="195" t="s">
        <v>419</v>
      </c>
      <c r="M194" s="196" t="s">
        <v>420</v>
      </c>
      <c r="N194" s="73">
        <v>2</v>
      </c>
      <c r="O194" s="73" t="s">
        <v>33</v>
      </c>
      <c r="P194" s="73" t="s">
        <v>34</v>
      </c>
      <c r="Q194" s="197">
        <f t="shared" ref="Q194:Q257" si="7">IF(+O194="cash",1,0)</f>
        <v>0</v>
      </c>
    </row>
    <row r="195" spans="1:17">
      <c r="A195" s="195" t="s">
        <v>421</v>
      </c>
      <c r="B195" s="196" t="s">
        <v>422</v>
      </c>
      <c r="C195" s="189">
        <v>2</v>
      </c>
      <c r="D195" s="189" t="s">
        <v>39</v>
      </c>
      <c r="E195" s="73" t="s">
        <v>40</v>
      </c>
      <c r="F195" s="197">
        <f t="shared" si="6"/>
        <v>1</v>
      </c>
      <c r="G195" s="198"/>
      <c r="H195">
        <v>0</v>
      </c>
      <c r="I195" s="46">
        <v>0</v>
      </c>
      <c r="L195" s="195" t="s">
        <v>421</v>
      </c>
      <c r="M195" s="196" t="s">
        <v>422</v>
      </c>
      <c r="N195" s="73">
        <v>2</v>
      </c>
      <c r="O195" s="73" t="s">
        <v>39</v>
      </c>
      <c r="P195" s="73" t="s">
        <v>40</v>
      </c>
      <c r="Q195" s="197">
        <f t="shared" si="7"/>
        <v>1</v>
      </c>
    </row>
    <row r="196" spans="1:17">
      <c r="A196" s="195" t="s">
        <v>423</v>
      </c>
      <c r="B196" s="196" t="s">
        <v>424</v>
      </c>
      <c r="C196" s="189">
        <v>2</v>
      </c>
      <c r="D196" s="189" t="s">
        <v>33</v>
      </c>
      <c r="E196" s="73" t="s">
        <v>34</v>
      </c>
      <c r="F196" s="197">
        <f t="shared" si="6"/>
        <v>0</v>
      </c>
      <c r="G196" s="198"/>
      <c r="H196">
        <v>0</v>
      </c>
      <c r="I196" s="46">
        <v>0</v>
      </c>
      <c r="L196" s="195" t="s">
        <v>423</v>
      </c>
      <c r="M196" s="196" t="s">
        <v>424</v>
      </c>
      <c r="N196" s="73">
        <v>2</v>
      </c>
      <c r="O196" s="73" t="s">
        <v>33</v>
      </c>
      <c r="P196" s="73" t="s">
        <v>34</v>
      </c>
      <c r="Q196" s="197">
        <f t="shared" si="7"/>
        <v>0</v>
      </c>
    </row>
    <row r="197" spans="1:17">
      <c r="A197" s="195" t="s">
        <v>425</v>
      </c>
      <c r="B197" s="196" t="s">
        <v>426</v>
      </c>
      <c r="C197" s="189">
        <v>2</v>
      </c>
      <c r="D197" s="189" t="s">
        <v>39</v>
      </c>
      <c r="E197" s="73" t="s">
        <v>40</v>
      </c>
      <c r="F197" s="197">
        <f t="shared" si="6"/>
        <v>1</v>
      </c>
      <c r="G197" s="198"/>
      <c r="H197">
        <v>0</v>
      </c>
      <c r="I197" s="46">
        <v>0</v>
      </c>
      <c r="L197" s="195" t="s">
        <v>425</v>
      </c>
      <c r="M197" s="196" t="s">
        <v>426</v>
      </c>
      <c r="N197" s="73">
        <v>2</v>
      </c>
      <c r="O197" s="73" t="s">
        <v>39</v>
      </c>
      <c r="P197" s="73" t="s">
        <v>40</v>
      </c>
      <c r="Q197" s="197">
        <f t="shared" si="7"/>
        <v>1</v>
      </c>
    </row>
    <row r="198" spans="1:17">
      <c r="A198" s="195" t="s">
        <v>427</v>
      </c>
      <c r="B198" s="196" t="s">
        <v>428</v>
      </c>
      <c r="C198" s="189">
        <v>2</v>
      </c>
      <c r="D198" s="189" t="s">
        <v>39</v>
      </c>
      <c r="E198" s="73" t="s">
        <v>40</v>
      </c>
      <c r="F198" s="197">
        <f t="shared" si="6"/>
        <v>1</v>
      </c>
      <c r="G198" s="198"/>
      <c r="H198">
        <v>0</v>
      </c>
      <c r="I198" s="46">
        <v>0</v>
      </c>
      <c r="L198" s="195" t="s">
        <v>427</v>
      </c>
      <c r="M198" s="196" t="s">
        <v>428</v>
      </c>
      <c r="N198" s="73">
        <v>2</v>
      </c>
      <c r="O198" s="73" t="s">
        <v>39</v>
      </c>
      <c r="P198" s="73" t="s">
        <v>40</v>
      </c>
      <c r="Q198" s="197">
        <f t="shared" si="7"/>
        <v>1</v>
      </c>
    </row>
    <row r="199" spans="1:17">
      <c r="A199" s="195" t="s">
        <v>429</v>
      </c>
      <c r="B199" s="196" t="s">
        <v>430</v>
      </c>
      <c r="C199" s="189">
        <v>2</v>
      </c>
      <c r="D199" s="189" t="s">
        <v>33</v>
      </c>
      <c r="E199" s="73" t="s">
        <v>40</v>
      </c>
      <c r="F199" s="197">
        <f t="shared" si="6"/>
        <v>0</v>
      </c>
      <c r="G199" s="198"/>
      <c r="H199">
        <v>0</v>
      </c>
      <c r="I199" s="46">
        <v>0</v>
      </c>
      <c r="L199" s="195" t="s">
        <v>429</v>
      </c>
      <c r="M199" s="196" t="s">
        <v>430</v>
      </c>
      <c r="N199" s="73">
        <v>2</v>
      </c>
      <c r="O199" s="73" t="s">
        <v>33</v>
      </c>
      <c r="P199" s="73" t="s">
        <v>40</v>
      </c>
      <c r="Q199" s="197">
        <f t="shared" si="7"/>
        <v>0</v>
      </c>
    </row>
    <row r="200" spans="1:17">
      <c r="A200" s="195" t="s">
        <v>431</v>
      </c>
      <c r="B200" s="196" t="s">
        <v>432</v>
      </c>
      <c r="C200" s="189">
        <v>2</v>
      </c>
      <c r="D200" s="189" t="s">
        <v>33</v>
      </c>
      <c r="E200" s="73" t="s">
        <v>34</v>
      </c>
      <c r="F200" s="197">
        <f t="shared" si="6"/>
        <v>0</v>
      </c>
      <c r="G200" s="198"/>
      <c r="H200">
        <v>0</v>
      </c>
      <c r="I200" s="46">
        <v>0</v>
      </c>
      <c r="L200" s="195" t="s">
        <v>431</v>
      </c>
      <c r="M200" s="196" t="s">
        <v>432</v>
      </c>
      <c r="N200" s="73">
        <v>2</v>
      </c>
      <c r="O200" s="73" t="s">
        <v>33</v>
      </c>
      <c r="P200" s="73" t="s">
        <v>34</v>
      </c>
      <c r="Q200" s="197">
        <f t="shared" si="7"/>
        <v>0</v>
      </c>
    </row>
    <row r="201" spans="1:17">
      <c r="A201" s="195" t="s">
        <v>433</v>
      </c>
      <c r="B201" s="196" t="s">
        <v>434</v>
      </c>
      <c r="C201" s="189">
        <v>1</v>
      </c>
      <c r="D201" s="189" t="s">
        <v>33</v>
      </c>
      <c r="E201" s="73" t="s">
        <v>34</v>
      </c>
      <c r="F201" s="197">
        <f t="shared" si="6"/>
        <v>0</v>
      </c>
      <c r="G201" s="198"/>
      <c r="H201">
        <v>0</v>
      </c>
      <c r="I201" s="46">
        <v>0</v>
      </c>
      <c r="L201" s="195" t="s">
        <v>433</v>
      </c>
      <c r="M201" s="196" t="s">
        <v>434</v>
      </c>
      <c r="N201" s="73">
        <v>1</v>
      </c>
      <c r="O201" s="73" t="s">
        <v>33</v>
      </c>
      <c r="P201" s="73" t="s">
        <v>34</v>
      </c>
      <c r="Q201" s="197">
        <f t="shared" si="7"/>
        <v>0</v>
      </c>
    </row>
    <row r="202" spans="1:17">
      <c r="A202" s="195" t="s">
        <v>435</v>
      </c>
      <c r="B202" s="196" t="s">
        <v>436</v>
      </c>
      <c r="C202" s="189">
        <v>1</v>
      </c>
      <c r="D202" s="189" t="s">
        <v>33</v>
      </c>
      <c r="E202" s="73" t="s">
        <v>34</v>
      </c>
      <c r="F202" s="197">
        <f t="shared" si="6"/>
        <v>0</v>
      </c>
      <c r="G202" s="198"/>
      <c r="H202">
        <v>0</v>
      </c>
      <c r="I202" s="46">
        <v>0</v>
      </c>
      <c r="L202" s="195" t="s">
        <v>435</v>
      </c>
      <c r="M202" s="196" t="s">
        <v>436</v>
      </c>
      <c r="N202" s="73">
        <v>1</v>
      </c>
      <c r="O202" s="73" t="s">
        <v>33</v>
      </c>
      <c r="P202" s="73" t="s">
        <v>34</v>
      </c>
      <c r="Q202" s="197">
        <f t="shared" si="7"/>
        <v>0</v>
      </c>
    </row>
    <row r="203" spans="1:17">
      <c r="A203" s="195" t="s">
        <v>437</v>
      </c>
      <c r="B203" s="196" t="s">
        <v>438</v>
      </c>
      <c r="C203" s="189">
        <v>2</v>
      </c>
      <c r="D203" s="189" t="s">
        <v>33</v>
      </c>
      <c r="E203" s="73" t="s">
        <v>40</v>
      </c>
      <c r="F203" s="197">
        <f t="shared" si="6"/>
        <v>0</v>
      </c>
      <c r="G203" s="198"/>
      <c r="H203">
        <v>0</v>
      </c>
      <c r="I203" s="46">
        <v>0</v>
      </c>
      <c r="L203" s="195" t="s">
        <v>437</v>
      </c>
      <c r="M203" s="196" t="s">
        <v>438</v>
      </c>
      <c r="N203" s="73">
        <v>2</v>
      </c>
      <c r="O203" s="73" t="s">
        <v>33</v>
      </c>
      <c r="P203" s="73" t="s">
        <v>40</v>
      </c>
      <c r="Q203" s="197">
        <f t="shared" si="7"/>
        <v>0</v>
      </c>
    </row>
    <row r="204" spans="1:17">
      <c r="A204" s="195" t="s">
        <v>439</v>
      </c>
      <c r="B204" s="196" t="s">
        <v>440</v>
      </c>
      <c r="C204" s="189">
        <v>2</v>
      </c>
      <c r="D204" s="189" t="s">
        <v>39</v>
      </c>
      <c r="E204" s="73" t="s">
        <v>34</v>
      </c>
      <c r="F204" s="197">
        <f t="shared" si="6"/>
        <v>1</v>
      </c>
      <c r="G204" s="198"/>
      <c r="H204">
        <v>0</v>
      </c>
      <c r="I204" s="46">
        <v>0</v>
      </c>
      <c r="L204" s="195" t="s">
        <v>439</v>
      </c>
      <c r="M204" s="196" t="s">
        <v>440</v>
      </c>
      <c r="N204" s="73">
        <v>2</v>
      </c>
      <c r="O204" s="73" t="s">
        <v>39</v>
      </c>
      <c r="P204" s="73" t="s">
        <v>34</v>
      </c>
      <c r="Q204" s="197">
        <f t="shared" si="7"/>
        <v>1</v>
      </c>
    </row>
    <row r="205" spans="1:17">
      <c r="A205" s="195" t="s">
        <v>441</v>
      </c>
      <c r="B205" s="196" t="s">
        <v>442</v>
      </c>
      <c r="C205" s="189">
        <v>1</v>
      </c>
      <c r="D205" s="189" t="s">
        <v>33</v>
      </c>
      <c r="E205" s="73" t="s">
        <v>34</v>
      </c>
      <c r="F205" s="197">
        <f t="shared" si="6"/>
        <v>0</v>
      </c>
      <c r="G205" s="198"/>
      <c r="H205">
        <v>0</v>
      </c>
      <c r="I205" s="46">
        <v>0</v>
      </c>
      <c r="L205" s="195" t="s">
        <v>441</v>
      </c>
      <c r="M205" s="196" t="s">
        <v>442</v>
      </c>
      <c r="N205" s="73">
        <v>1</v>
      </c>
      <c r="O205" s="73" t="s">
        <v>33</v>
      </c>
      <c r="P205" s="73" t="s">
        <v>34</v>
      </c>
      <c r="Q205" s="197">
        <f t="shared" si="7"/>
        <v>0</v>
      </c>
    </row>
    <row r="206" spans="1:17">
      <c r="A206" s="195" t="s">
        <v>443</v>
      </c>
      <c r="B206" s="196" t="s">
        <v>444</v>
      </c>
      <c r="C206" s="189">
        <v>2</v>
      </c>
      <c r="D206" s="189" t="s">
        <v>33</v>
      </c>
      <c r="E206" s="73" t="s">
        <v>34</v>
      </c>
      <c r="F206" s="197">
        <f t="shared" si="6"/>
        <v>0</v>
      </c>
      <c r="G206" s="198"/>
      <c r="H206">
        <v>0</v>
      </c>
      <c r="I206" s="46">
        <v>0</v>
      </c>
      <c r="L206" s="195" t="s">
        <v>443</v>
      </c>
      <c r="M206" s="196" t="s">
        <v>444</v>
      </c>
      <c r="N206" s="73">
        <v>2</v>
      </c>
      <c r="O206" s="73" t="s">
        <v>33</v>
      </c>
      <c r="P206" s="73" t="s">
        <v>34</v>
      </c>
      <c r="Q206" s="197">
        <f t="shared" si="7"/>
        <v>0</v>
      </c>
    </row>
    <row r="207" spans="1:17">
      <c r="A207" s="195" t="s">
        <v>445</v>
      </c>
      <c r="B207" s="196" t="s">
        <v>446</v>
      </c>
      <c r="C207" s="189">
        <v>2</v>
      </c>
      <c r="D207" s="189" t="s">
        <v>39</v>
      </c>
      <c r="E207" s="73" t="s">
        <v>40</v>
      </c>
      <c r="F207" s="197">
        <f t="shared" si="6"/>
        <v>1</v>
      </c>
      <c r="G207" s="198"/>
      <c r="H207">
        <v>0</v>
      </c>
      <c r="I207" s="46">
        <v>0</v>
      </c>
      <c r="L207" s="195" t="s">
        <v>445</v>
      </c>
      <c r="M207" s="196" t="s">
        <v>446</v>
      </c>
      <c r="N207" s="73">
        <v>2</v>
      </c>
      <c r="O207" s="73" t="s">
        <v>39</v>
      </c>
      <c r="P207" s="73" t="s">
        <v>40</v>
      </c>
      <c r="Q207" s="197">
        <f t="shared" si="7"/>
        <v>1</v>
      </c>
    </row>
    <row r="208" spans="1:17">
      <c r="A208" s="195" t="s">
        <v>447</v>
      </c>
      <c r="B208" s="196" t="s">
        <v>448</v>
      </c>
      <c r="C208" s="189">
        <v>2</v>
      </c>
      <c r="D208" s="189" t="s">
        <v>39</v>
      </c>
      <c r="E208" s="73" t="s">
        <v>34</v>
      </c>
      <c r="F208" s="197">
        <f t="shared" si="6"/>
        <v>1</v>
      </c>
      <c r="G208" s="198"/>
      <c r="H208">
        <v>0</v>
      </c>
      <c r="I208" s="46">
        <v>0</v>
      </c>
      <c r="L208" s="195" t="s">
        <v>447</v>
      </c>
      <c r="M208" s="196" t="s">
        <v>448</v>
      </c>
      <c r="N208" s="73">
        <v>2</v>
      </c>
      <c r="O208" s="73" t="s">
        <v>39</v>
      </c>
      <c r="P208" s="73" t="s">
        <v>34</v>
      </c>
      <c r="Q208" s="197">
        <f t="shared" si="7"/>
        <v>1</v>
      </c>
    </row>
    <row r="209" spans="1:17">
      <c r="A209" s="195" t="s">
        <v>449</v>
      </c>
      <c r="B209" s="196" t="s">
        <v>450</v>
      </c>
      <c r="C209" s="189">
        <v>1</v>
      </c>
      <c r="D209" s="189" t="s">
        <v>33</v>
      </c>
      <c r="E209" s="73" t="s">
        <v>34</v>
      </c>
      <c r="F209" s="197">
        <f t="shared" si="6"/>
        <v>0</v>
      </c>
      <c r="G209" s="198"/>
      <c r="H209">
        <v>0</v>
      </c>
      <c r="I209" s="46">
        <v>0</v>
      </c>
      <c r="L209" s="195" t="s">
        <v>449</v>
      </c>
      <c r="M209" s="196" t="s">
        <v>450</v>
      </c>
      <c r="N209" s="73">
        <v>1</v>
      </c>
      <c r="O209" s="73" t="s">
        <v>33</v>
      </c>
      <c r="P209" s="73" t="s">
        <v>34</v>
      </c>
      <c r="Q209" s="197">
        <f t="shared" si="7"/>
        <v>0</v>
      </c>
    </row>
    <row r="210" spans="1:17">
      <c r="A210" s="343" t="s">
        <v>451</v>
      </c>
      <c r="B210" s="135" t="s">
        <v>452</v>
      </c>
      <c r="C210" s="189">
        <v>2</v>
      </c>
      <c r="D210" s="189" t="s">
        <v>33</v>
      </c>
      <c r="E210" s="73" t="s">
        <v>34</v>
      </c>
      <c r="F210" s="197">
        <f t="shared" si="6"/>
        <v>0</v>
      </c>
      <c r="G210" s="198"/>
      <c r="H210">
        <v>0</v>
      </c>
      <c r="I210" s="46">
        <v>0</v>
      </c>
      <c r="L210" s="343" t="s">
        <v>451</v>
      </c>
      <c r="M210" s="135" t="s">
        <v>452</v>
      </c>
      <c r="N210" s="73">
        <v>2</v>
      </c>
      <c r="O210" s="73" t="s">
        <v>33</v>
      </c>
      <c r="P210" s="73" t="s">
        <v>34</v>
      </c>
      <c r="Q210" s="197">
        <f t="shared" si="7"/>
        <v>0</v>
      </c>
    </row>
    <row r="211" spans="1:17">
      <c r="A211" s="195" t="s">
        <v>453</v>
      </c>
      <c r="B211" s="196" t="s">
        <v>454</v>
      </c>
      <c r="C211" s="189">
        <v>2</v>
      </c>
      <c r="D211" s="189" t="s">
        <v>39</v>
      </c>
      <c r="E211" s="73" t="s">
        <v>40</v>
      </c>
      <c r="F211" s="197">
        <f t="shared" si="6"/>
        <v>1</v>
      </c>
      <c r="G211" s="198"/>
      <c r="H211">
        <v>0</v>
      </c>
      <c r="I211" s="46">
        <v>0</v>
      </c>
      <c r="L211" s="195" t="s">
        <v>453</v>
      </c>
      <c r="M211" s="196" t="s">
        <v>454</v>
      </c>
      <c r="N211" s="73">
        <v>2</v>
      </c>
      <c r="O211" s="73" t="s">
        <v>39</v>
      </c>
      <c r="P211" s="73" t="s">
        <v>40</v>
      </c>
      <c r="Q211" s="197">
        <f t="shared" si="7"/>
        <v>1</v>
      </c>
    </row>
    <row r="212" spans="1:17">
      <c r="A212" s="195" t="s">
        <v>455</v>
      </c>
      <c r="B212" s="196" t="s">
        <v>456</v>
      </c>
      <c r="C212" s="189">
        <v>2</v>
      </c>
      <c r="D212" s="189" t="s">
        <v>33</v>
      </c>
      <c r="E212" s="73" t="s">
        <v>34</v>
      </c>
      <c r="F212" s="197">
        <f t="shared" si="6"/>
        <v>0</v>
      </c>
      <c r="G212" s="198"/>
      <c r="H212">
        <v>0</v>
      </c>
      <c r="I212" s="46">
        <v>0</v>
      </c>
      <c r="L212" s="195" t="s">
        <v>455</v>
      </c>
      <c r="M212" s="196" t="s">
        <v>456</v>
      </c>
      <c r="N212" s="73">
        <v>2</v>
      </c>
      <c r="O212" s="73" t="s">
        <v>33</v>
      </c>
      <c r="P212" s="73" t="s">
        <v>34</v>
      </c>
      <c r="Q212" s="197">
        <f t="shared" si="7"/>
        <v>0</v>
      </c>
    </row>
    <row r="213" spans="1:17">
      <c r="A213" s="195" t="s">
        <v>457</v>
      </c>
      <c r="B213" s="196" t="s">
        <v>458</v>
      </c>
      <c r="C213" s="189">
        <v>1</v>
      </c>
      <c r="D213" s="189" t="s">
        <v>33</v>
      </c>
      <c r="E213" s="73" t="s">
        <v>34</v>
      </c>
      <c r="F213" s="197">
        <f t="shared" si="6"/>
        <v>0</v>
      </c>
      <c r="G213" s="198"/>
      <c r="H213">
        <v>0</v>
      </c>
      <c r="I213" s="46">
        <v>0</v>
      </c>
      <c r="L213" s="195" t="s">
        <v>457</v>
      </c>
      <c r="M213" s="196" t="s">
        <v>458</v>
      </c>
      <c r="N213" s="73">
        <v>1</v>
      </c>
      <c r="O213" s="73" t="s">
        <v>33</v>
      </c>
      <c r="P213" s="73" t="s">
        <v>34</v>
      </c>
      <c r="Q213" s="197">
        <f t="shared" si="7"/>
        <v>0</v>
      </c>
    </row>
    <row r="214" spans="1:17">
      <c r="A214" s="195" t="s">
        <v>459</v>
      </c>
      <c r="B214" s="196" t="s">
        <v>460</v>
      </c>
      <c r="C214" s="189">
        <v>2</v>
      </c>
      <c r="D214" s="189" t="s">
        <v>33</v>
      </c>
      <c r="E214" s="73" t="s">
        <v>34</v>
      </c>
      <c r="F214" s="197">
        <f t="shared" si="6"/>
        <v>0</v>
      </c>
      <c r="G214" s="198"/>
      <c r="H214">
        <v>0</v>
      </c>
      <c r="I214" s="46">
        <v>0</v>
      </c>
      <c r="L214" s="195" t="s">
        <v>459</v>
      </c>
      <c r="M214" s="196" t="s">
        <v>460</v>
      </c>
      <c r="N214" s="73">
        <v>2</v>
      </c>
      <c r="O214" s="73" t="s">
        <v>33</v>
      </c>
      <c r="P214" s="73" t="s">
        <v>34</v>
      </c>
      <c r="Q214" s="197">
        <f t="shared" si="7"/>
        <v>0</v>
      </c>
    </row>
    <row r="215" spans="1:17">
      <c r="A215" s="195" t="s">
        <v>461</v>
      </c>
      <c r="B215" s="196" t="s">
        <v>462</v>
      </c>
      <c r="C215" s="189">
        <v>2</v>
      </c>
      <c r="D215" s="189" t="s">
        <v>39</v>
      </c>
      <c r="E215" s="73" t="s">
        <v>34</v>
      </c>
      <c r="F215" s="197">
        <f t="shared" si="6"/>
        <v>1</v>
      </c>
      <c r="G215" s="198"/>
      <c r="H215">
        <v>0</v>
      </c>
      <c r="I215" s="46">
        <v>0</v>
      </c>
      <c r="L215" s="195" t="s">
        <v>461</v>
      </c>
      <c r="M215" s="196" t="s">
        <v>462</v>
      </c>
      <c r="N215" s="73">
        <v>2</v>
      </c>
      <c r="O215" s="73" t="s">
        <v>39</v>
      </c>
      <c r="P215" s="73" t="s">
        <v>34</v>
      </c>
      <c r="Q215" s="197">
        <f t="shared" si="7"/>
        <v>1</v>
      </c>
    </row>
    <row r="216" spans="1:17">
      <c r="A216" s="201" t="s">
        <v>463</v>
      </c>
      <c r="B216" s="202" t="s">
        <v>464</v>
      </c>
      <c r="C216" s="189">
        <v>2</v>
      </c>
      <c r="D216" s="189" t="s">
        <v>33</v>
      </c>
      <c r="E216" s="73" t="s">
        <v>34</v>
      </c>
      <c r="F216" s="197">
        <f t="shared" si="6"/>
        <v>0</v>
      </c>
      <c r="G216" s="198"/>
      <c r="H216">
        <v>0</v>
      </c>
      <c r="I216" s="46">
        <v>0</v>
      </c>
      <c r="L216" s="201" t="s">
        <v>463</v>
      </c>
      <c r="M216" s="202" t="s">
        <v>464</v>
      </c>
      <c r="N216" s="73">
        <v>2</v>
      </c>
      <c r="O216" s="73" t="s">
        <v>33</v>
      </c>
      <c r="P216" s="73" t="s">
        <v>34</v>
      </c>
      <c r="Q216" s="197">
        <f t="shared" si="7"/>
        <v>0</v>
      </c>
    </row>
    <row r="217" spans="1:17">
      <c r="A217" s="195" t="s">
        <v>465</v>
      </c>
      <c r="B217" s="196" t="s">
        <v>466</v>
      </c>
      <c r="C217" s="189">
        <v>1</v>
      </c>
      <c r="D217" s="189" t="s">
        <v>33</v>
      </c>
      <c r="E217" s="73" t="s">
        <v>34</v>
      </c>
      <c r="F217" s="197">
        <f t="shared" si="6"/>
        <v>0</v>
      </c>
      <c r="G217" s="198"/>
      <c r="H217">
        <v>0</v>
      </c>
      <c r="I217" s="46">
        <v>0</v>
      </c>
      <c r="L217" s="195" t="s">
        <v>465</v>
      </c>
      <c r="M217" s="196" t="s">
        <v>466</v>
      </c>
      <c r="N217" s="73">
        <v>1</v>
      </c>
      <c r="O217" s="73" t="s">
        <v>33</v>
      </c>
      <c r="P217" s="73" t="s">
        <v>34</v>
      </c>
      <c r="Q217" s="197">
        <f t="shared" si="7"/>
        <v>0</v>
      </c>
    </row>
    <row r="218" spans="1:17">
      <c r="A218" s="195" t="s">
        <v>467</v>
      </c>
      <c r="B218" s="196" t="s">
        <v>468</v>
      </c>
      <c r="C218" s="189">
        <v>1</v>
      </c>
      <c r="D218" s="189" t="s">
        <v>33</v>
      </c>
      <c r="E218" s="73" t="s">
        <v>34</v>
      </c>
      <c r="F218" s="197">
        <f t="shared" si="6"/>
        <v>0</v>
      </c>
      <c r="G218" s="198"/>
      <c r="H218">
        <v>0</v>
      </c>
      <c r="I218" s="46">
        <v>0</v>
      </c>
      <c r="L218" s="195" t="s">
        <v>467</v>
      </c>
      <c r="M218" s="196" t="s">
        <v>468</v>
      </c>
      <c r="N218" s="73">
        <v>1</v>
      </c>
      <c r="O218" s="73" t="s">
        <v>33</v>
      </c>
      <c r="P218" s="73" t="s">
        <v>34</v>
      </c>
      <c r="Q218" s="197">
        <f t="shared" si="7"/>
        <v>0</v>
      </c>
    </row>
    <row r="219" spans="1:17">
      <c r="A219" s="366" t="s">
        <v>469</v>
      </c>
      <c r="B219" s="135" t="s">
        <v>470</v>
      </c>
      <c r="C219" s="189">
        <v>2</v>
      </c>
      <c r="D219" s="189" t="s">
        <v>33</v>
      </c>
      <c r="E219" s="73" t="s">
        <v>34</v>
      </c>
      <c r="F219" s="197">
        <f t="shared" si="6"/>
        <v>0</v>
      </c>
      <c r="G219" s="198"/>
      <c r="H219">
        <v>0</v>
      </c>
      <c r="I219" s="46">
        <v>0</v>
      </c>
      <c r="L219" s="366" t="s">
        <v>469</v>
      </c>
      <c r="M219" s="135" t="s">
        <v>470</v>
      </c>
      <c r="N219" s="73">
        <v>2</v>
      </c>
      <c r="O219" s="73" t="s">
        <v>33</v>
      </c>
      <c r="P219" s="73" t="s">
        <v>34</v>
      </c>
      <c r="Q219" s="197">
        <f t="shared" si="7"/>
        <v>0</v>
      </c>
    </row>
    <row r="220" spans="1:17">
      <c r="A220" s="195" t="s">
        <v>471</v>
      </c>
      <c r="B220" s="196" t="s">
        <v>472</v>
      </c>
      <c r="C220" s="189">
        <v>1</v>
      </c>
      <c r="D220" s="189" t="s">
        <v>33</v>
      </c>
      <c r="E220" s="73" t="s">
        <v>34</v>
      </c>
      <c r="F220" s="197">
        <f t="shared" si="6"/>
        <v>0</v>
      </c>
      <c r="G220" s="198"/>
      <c r="H220">
        <v>0</v>
      </c>
      <c r="I220" s="46">
        <v>0</v>
      </c>
      <c r="L220" s="195" t="s">
        <v>471</v>
      </c>
      <c r="M220" s="196" t="s">
        <v>472</v>
      </c>
      <c r="N220" s="73">
        <v>1</v>
      </c>
      <c r="O220" s="73" t="s">
        <v>33</v>
      </c>
      <c r="P220" s="73" t="s">
        <v>34</v>
      </c>
      <c r="Q220" s="197">
        <f t="shared" si="7"/>
        <v>0</v>
      </c>
    </row>
    <row r="221" spans="1:17">
      <c r="A221" s="195" t="s">
        <v>473</v>
      </c>
      <c r="B221" s="196" t="s">
        <v>474</v>
      </c>
      <c r="C221" s="189">
        <v>2</v>
      </c>
      <c r="D221" s="189" t="s">
        <v>39</v>
      </c>
      <c r="E221" s="73" t="s">
        <v>40</v>
      </c>
      <c r="F221" s="197">
        <f t="shared" si="6"/>
        <v>1</v>
      </c>
      <c r="G221" s="198"/>
      <c r="H221">
        <v>0</v>
      </c>
      <c r="I221" s="46">
        <v>0</v>
      </c>
      <c r="L221" s="195" t="s">
        <v>473</v>
      </c>
      <c r="M221" s="196" t="s">
        <v>474</v>
      </c>
      <c r="N221" s="73">
        <v>2</v>
      </c>
      <c r="O221" s="73" t="s">
        <v>39</v>
      </c>
      <c r="P221" s="73" t="s">
        <v>40</v>
      </c>
      <c r="Q221" s="197">
        <f t="shared" si="7"/>
        <v>1</v>
      </c>
    </row>
    <row r="222" spans="1:17">
      <c r="A222" s="195" t="s">
        <v>475</v>
      </c>
      <c r="B222" s="196" t="s">
        <v>476</v>
      </c>
      <c r="C222" s="189">
        <v>2</v>
      </c>
      <c r="D222" s="189" t="s">
        <v>33</v>
      </c>
      <c r="E222" s="73" t="s">
        <v>34</v>
      </c>
      <c r="F222" s="197">
        <f t="shared" si="6"/>
        <v>0</v>
      </c>
      <c r="G222" s="198"/>
      <c r="H222">
        <v>0</v>
      </c>
      <c r="I222" s="46">
        <v>0</v>
      </c>
      <c r="L222" s="195" t="s">
        <v>475</v>
      </c>
      <c r="M222" s="196" t="s">
        <v>476</v>
      </c>
      <c r="N222" s="73">
        <v>2</v>
      </c>
      <c r="O222" s="73" t="s">
        <v>33</v>
      </c>
      <c r="P222" s="73" t="s">
        <v>34</v>
      </c>
      <c r="Q222" s="197">
        <f t="shared" si="7"/>
        <v>0</v>
      </c>
    </row>
    <row r="223" spans="1:17">
      <c r="A223" s="206" t="s">
        <v>477</v>
      </c>
      <c r="B223" s="46" t="s">
        <v>478</v>
      </c>
      <c r="C223" s="189">
        <v>2</v>
      </c>
      <c r="D223" s="189" t="s">
        <v>33</v>
      </c>
      <c r="E223" s="73" t="s">
        <v>34</v>
      </c>
      <c r="F223" s="197">
        <f t="shared" si="6"/>
        <v>0</v>
      </c>
      <c r="G223" s="198"/>
      <c r="H223">
        <v>0</v>
      </c>
      <c r="I223" s="46">
        <v>0</v>
      </c>
      <c r="L223" s="206" t="s">
        <v>477</v>
      </c>
      <c r="M223" s="46" t="s">
        <v>478</v>
      </c>
      <c r="N223" s="73">
        <v>2</v>
      </c>
      <c r="O223" s="73" t="s">
        <v>33</v>
      </c>
      <c r="P223" s="73" t="s">
        <v>34</v>
      </c>
      <c r="Q223" s="197">
        <f t="shared" si="7"/>
        <v>0</v>
      </c>
    </row>
    <row r="224" spans="1:17">
      <c r="A224" s="195" t="s">
        <v>479</v>
      </c>
      <c r="B224" s="196" t="s">
        <v>480</v>
      </c>
      <c r="C224" s="189">
        <v>1</v>
      </c>
      <c r="D224" s="189" t="s">
        <v>33</v>
      </c>
      <c r="E224" s="73" t="s">
        <v>34</v>
      </c>
      <c r="F224" s="197">
        <f t="shared" si="6"/>
        <v>0</v>
      </c>
      <c r="G224" s="198"/>
      <c r="H224">
        <v>0</v>
      </c>
      <c r="I224" s="46">
        <v>0</v>
      </c>
      <c r="L224" s="195" t="s">
        <v>479</v>
      </c>
      <c r="M224" s="196" t="s">
        <v>480</v>
      </c>
      <c r="N224" s="73">
        <v>1</v>
      </c>
      <c r="O224" s="73" t="s">
        <v>33</v>
      </c>
      <c r="P224" s="73" t="s">
        <v>34</v>
      </c>
      <c r="Q224" s="197">
        <f t="shared" si="7"/>
        <v>0</v>
      </c>
    </row>
    <row r="225" spans="1:17">
      <c r="A225" s="195" t="s">
        <v>481</v>
      </c>
      <c r="B225" s="196" t="s">
        <v>482</v>
      </c>
      <c r="C225" s="189">
        <v>2</v>
      </c>
      <c r="D225" s="189" t="s">
        <v>33</v>
      </c>
      <c r="E225" s="73" t="s">
        <v>34</v>
      </c>
      <c r="F225" s="197">
        <f t="shared" si="6"/>
        <v>0</v>
      </c>
      <c r="G225" s="198"/>
      <c r="H225">
        <v>0</v>
      </c>
      <c r="I225" s="46">
        <v>0</v>
      </c>
      <c r="L225" s="195" t="s">
        <v>481</v>
      </c>
      <c r="M225" s="196" t="s">
        <v>482</v>
      </c>
      <c r="N225" s="73">
        <v>2</v>
      </c>
      <c r="O225" s="73" t="s">
        <v>33</v>
      </c>
      <c r="P225" s="73" t="s">
        <v>34</v>
      </c>
      <c r="Q225" s="197">
        <f t="shared" si="7"/>
        <v>0</v>
      </c>
    </row>
    <row r="226" spans="1:17">
      <c r="A226" s="195" t="s">
        <v>483</v>
      </c>
      <c r="B226" s="196" t="s">
        <v>484</v>
      </c>
      <c r="C226" s="189">
        <v>1</v>
      </c>
      <c r="D226" s="189" t="s">
        <v>33</v>
      </c>
      <c r="E226" s="73" t="s">
        <v>34</v>
      </c>
      <c r="F226" s="197">
        <f t="shared" si="6"/>
        <v>0</v>
      </c>
      <c r="G226" s="198"/>
      <c r="H226">
        <v>0</v>
      </c>
      <c r="I226" s="46">
        <v>0</v>
      </c>
      <c r="L226" s="195" t="s">
        <v>483</v>
      </c>
      <c r="M226" s="196" t="s">
        <v>484</v>
      </c>
      <c r="N226" s="73">
        <v>1</v>
      </c>
      <c r="O226" s="73" t="s">
        <v>33</v>
      </c>
      <c r="P226" s="73" t="s">
        <v>34</v>
      </c>
      <c r="Q226" s="197">
        <f t="shared" si="7"/>
        <v>0</v>
      </c>
    </row>
    <row r="227" spans="1:17">
      <c r="A227" s="195" t="s">
        <v>485</v>
      </c>
      <c r="B227" s="196" t="s">
        <v>486</v>
      </c>
      <c r="C227" s="189">
        <v>2</v>
      </c>
      <c r="D227" s="189" t="s">
        <v>33</v>
      </c>
      <c r="E227" s="73" t="s">
        <v>34</v>
      </c>
      <c r="F227" s="197">
        <f t="shared" si="6"/>
        <v>0</v>
      </c>
      <c r="G227" s="198"/>
      <c r="H227">
        <v>0</v>
      </c>
      <c r="I227" s="46">
        <v>0</v>
      </c>
      <c r="L227" s="195" t="s">
        <v>485</v>
      </c>
      <c r="M227" s="196" t="s">
        <v>486</v>
      </c>
      <c r="N227" s="73">
        <v>2</v>
      </c>
      <c r="O227" s="73" t="s">
        <v>33</v>
      </c>
      <c r="P227" s="73" t="s">
        <v>34</v>
      </c>
      <c r="Q227" s="197">
        <f t="shared" si="7"/>
        <v>0</v>
      </c>
    </row>
    <row r="228" spans="1:17">
      <c r="A228" s="201" t="s">
        <v>487</v>
      </c>
      <c r="B228" s="202" t="s">
        <v>488</v>
      </c>
      <c r="C228" s="189">
        <v>2</v>
      </c>
      <c r="D228" s="189" t="s">
        <v>33</v>
      </c>
      <c r="E228" s="73" t="s">
        <v>34</v>
      </c>
      <c r="F228" s="197">
        <f t="shared" si="6"/>
        <v>0</v>
      </c>
      <c r="G228" s="198"/>
      <c r="H228">
        <v>0</v>
      </c>
      <c r="I228" s="46">
        <v>0</v>
      </c>
      <c r="L228" s="201" t="s">
        <v>487</v>
      </c>
      <c r="M228" s="202" t="s">
        <v>488</v>
      </c>
      <c r="N228" s="73">
        <v>2</v>
      </c>
      <c r="O228" s="73" t="s">
        <v>33</v>
      </c>
      <c r="P228" s="73" t="s">
        <v>34</v>
      </c>
      <c r="Q228" s="197">
        <f t="shared" si="7"/>
        <v>0</v>
      </c>
    </row>
    <row r="229" spans="1:17">
      <c r="A229" s="201" t="s">
        <v>489</v>
      </c>
      <c r="B229" s="135" t="s">
        <v>490</v>
      </c>
      <c r="C229" s="189">
        <v>2</v>
      </c>
      <c r="D229" s="189" t="s">
        <v>33</v>
      </c>
      <c r="E229" s="73" t="s">
        <v>34</v>
      </c>
      <c r="F229" s="197">
        <f t="shared" si="6"/>
        <v>0</v>
      </c>
      <c r="G229" s="198"/>
      <c r="H229">
        <v>0</v>
      </c>
      <c r="I229" s="46">
        <v>0</v>
      </c>
      <c r="L229" s="201" t="s">
        <v>489</v>
      </c>
      <c r="M229" s="135" t="s">
        <v>490</v>
      </c>
      <c r="N229" s="73">
        <v>2</v>
      </c>
      <c r="O229" s="73" t="s">
        <v>33</v>
      </c>
      <c r="P229" s="73" t="s">
        <v>34</v>
      </c>
      <c r="Q229" s="197">
        <f t="shared" si="7"/>
        <v>0</v>
      </c>
    </row>
    <row r="230" spans="1:17">
      <c r="A230" s="195" t="s">
        <v>491</v>
      </c>
      <c r="B230" s="196" t="s">
        <v>492</v>
      </c>
      <c r="C230" s="189">
        <v>2</v>
      </c>
      <c r="D230" s="189" t="s">
        <v>33</v>
      </c>
      <c r="E230" s="73" t="s">
        <v>34</v>
      </c>
      <c r="F230" s="197">
        <f t="shared" si="6"/>
        <v>0</v>
      </c>
      <c r="G230" s="198"/>
      <c r="H230">
        <v>0</v>
      </c>
      <c r="I230" s="46">
        <v>0</v>
      </c>
      <c r="L230" s="195" t="s">
        <v>491</v>
      </c>
      <c r="M230" s="196" t="s">
        <v>492</v>
      </c>
      <c r="N230" s="73">
        <v>2</v>
      </c>
      <c r="O230" s="73" t="s">
        <v>33</v>
      </c>
      <c r="P230" s="73" t="s">
        <v>34</v>
      </c>
      <c r="Q230" s="197">
        <f t="shared" si="7"/>
        <v>0</v>
      </c>
    </row>
    <row r="231" spans="1:17">
      <c r="A231" s="195" t="s">
        <v>493</v>
      </c>
      <c r="B231" s="196" t="s">
        <v>494</v>
      </c>
      <c r="C231" s="189">
        <v>2</v>
      </c>
      <c r="D231" s="189" t="s">
        <v>39</v>
      </c>
      <c r="E231" s="73" t="s">
        <v>34</v>
      </c>
      <c r="F231" s="197">
        <f t="shared" si="6"/>
        <v>1</v>
      </c>
      <c r="G231" s="198"/>
      <c r="H231">
        <v>0</v>
      </c>
      <c r="I231" s="46">
        <v>0</v>
      </c>
      <c r="L231" s="195" t="s">
        <v>493</v>
      </c>
      <c r="M231" s="196" t="s">
        <v>494</v>
      </c>
      <c r="N231" s="73">
        <v>2</v>
      </c>
      <c r="O231" s="73" t="s">
        <v>39</v>
      </c>
      <c r="P231" s="73" t="s">
        <v>34</v>
      </c>
      <c r="Q231" s="197">
        <f t="shared" si="7"/>
        <v>1</v>
      </c>
    </row>
    <row r="232" spans="1:17">
      <c r="A232" s="195" t="s">
        <v>495</v>
      </c>
      <c r="B232" s="196" t="s">
        <v>496</v>
      </c>
      <c r="C232" s="189">
        <v>1</v>
      </c>
      <c r="D232" s="189" t="s">
        <v>33</v>
      </c>
      <c r="E232" s="73" t="s">
        <v>34</v>
      </c>
      <c r="F232" s="197">
        <f t="shared" si="6"/>
        <v>0</v>
      </c>
      <c r="G232" s="198"/>
      <c r="H232">
        <v>0</v>
      </c>
      <c r="I232" s="46">
        <v>0</v>
      </c>
      <c r="L232" s="195" t="s">
        <v>495</v>
      </c>
      <c r="M232" s="196" t="s">
        <v>496</v>
      </c>
      <c r="N232" s="73">
        <v>1</v>
      </c>
      <c r="O232" s="73" t="s">
        <v>33</v>
      </c>
      <c r="P232" s="73" t="s">
        <v>34</v>
      </c>
      <c r="Q232" s="197">
        <f t="shared" si="7"/>
        <v>0</v>
      </c>
    </row>
    <row r="233" spans="1:17">
      <c r="A233" s="195" t="s">
        <v>497</v>
      </c>
      <c r="B233" s="196" t="s">
        <v>498</v>
      </c>
      <c r="C233" s="189">
        <v>2</v>
      </c>
      <c r="D233" s="189" t="s">
        <v>39</v>
      </c>
      <c r="E233" s="73" t="s">
        <v>34</v>
      </c>
      <c r="F233" s="197">
        <f t="shared" si="6"/>
        <v>1</v>
      </c>
      <c r="G233" s="198"/>
      <c r="H233">
        <v>0</v>
      </c>
      <c r="I233" s="46">
        <v>0</v>
      </c>
      <c r="L233" s="195" t="s">
        <v>497</v>
      </c>
      <c r="M233" s="196" t="s">
        <v>498</v>
      </c>
      <c r="N233" s="73">
        <v>2</v>
      </c>
      <c r="O233" s="73" t="s">
        <v>39</v>
      </c>
      <c r="P233" s="73" t="s">
        <v>34</v>
      </c>
      <c r="Q233" s="197">
        <f t="shared" si="7"/>
        <v>1</v>
      </c>
    </row>
    <row r="234" spans="1:17">
      <c r="A234" s="195" t="s">
        <v>499</v>
      </c>
      <c r="B234" s="196" t="s">
        <v>500</v>
      </c>
      <c r="C234" s="189">
        <v>1</v>
      </c>
      <c r="D234" s="189" t="s">
        <v>33</v>
      </c>
      <c r="E234" s="73" t="s">
        <v>34</v>
      </c>
      <c r="F234" s="197">
        <f t="shared" si="6"/>
        <v>0</v>
      </c>
      <c r="G234" s="198"/>
      <c r="H234">
        <v>0</v>
      </c>
      <c r="I234" s="46">
        <v>0</v>
      </c>
      <c r="L234" s="195" t="s">
        <v>499</v>
      </c>
      <c r="M234" s="196" t="s">
        <v>500</v>
      </c>
      <c r="N234" s="73">
        <v>1</v>
      </c>
      <c r="O234" s="73" t="s">
        <v>33</v>
      </c>
      <c r="P234" s="73" t="s">
        <v>34</v>
      </c>
      <c r="Q234" s="197">
        <f t="shared" si="7"/>
        <v>0</v>
      </c>
    </row>
    <row r="235" spans="1:17">
      <c r="A235" s="195" t="s">
        <v>501</v>
      </c>
      <c r="B235" s="196" t="s">
        <v>502</v>
      </c>
      <c r="C235" s="189">
        <v>1</v>
      </c>
      <c r="D235" s="189" t="s">
        <v>33</v>
      </c>
      <c r="E235" s="73" t="s">
        <v>34</v>
      </c>
      <c r="F235" s="197">
        <f t="shared" si="6"/>
        <v>0</v>
      </c>
      <c r="G235" s="198"/>
      <c r="H235">
        <v>0</v>
      </c>
      <c r="I235" s="46">
        <v>0</v>
      </c>
      <c r="L235" s="195" t="s">
        <v>501</v>
      </c>
      <c r="M235" s="196" t="s">
        <v>502</v>
      </c>
      <c r="N235" s="73">
        <v>1</v>
      </c>
      <c r="O235" s="73" t="s">
        <v>33</v>
      </c>
      <c r="P235" s="73" t="s">
        <v>34</v>
      </c>
      <c r="Q235" s="197">
        <f t="shared" si="7"/>
        <v>0</v>
      </c>
    </row>
    <row r="236" spans="1:17">
      <c r="A236" s="195" t="s">
        <v>503</v>
      </c>
      <c r="B236" s="196" t="s">
        <v>504</v>
      </c>
      <c r="C236" s="189">
        <v>2</v>
      </c>
      <c r="D236" s="189" t="s">
        <v>39</v>
      </c>
      <c r="E236" s="73" t="s">
        <v>34</v>
      </c>
      <c r="F236" s="197">
        <f t="shared" si="6"/>
        <v>1</v>
      </c>
      <c r="G236" s="198"/>
      <c r="H236">
        <v>0</v>
      </c>
      <c r="I236" s="46">
        <v>0</v>
      </c>
      <c r="L236" s="195" t="s">
        <v>503</v>
      </c>
      <c r="M236" s="196" t="s">
        <v>504</v>
      </c>
      <c r="N236" s="73">
        <v>2</v>
      </c>
      <c r="O236" s="73" t="s">
        <v>39</v>
      </c>
      <c r="P236" s="73" t="s">
        <v>34</v>
      </c>
      <c r="Q236" s="197">
        <f t="shared" si="7"/>
        <v>1</v>
      </c>
    </row>
    <row r="237" spans="1:17">
      <c r="A237" s="195" t="s">
        <v>505</v>
      </c>
      <c r="B237" s="196" t="s">
        <v>506</v>
      </c>
      <c r="C237" s="189">
        <v>2</v>
      </c>
      <c r="D237" s="189" t="s">
        <v>33</v>
      </c>
      <c r="E237" s="73" t="s">
        <v>34</v>
      </c>
      <c r="F237" s="197">
        <f t="shared" si="6"/>
        <v>0</v>
      </c>
      <c r="G237" s="198"/>
      <c r="H237">
        <v>0</v>
      </c>
      <c r="I237" s="46">
        <v>0</v>
      </c>
      <c r="L237" s="195" t="s">
        <v>505</v>
      </c>
      <c r="M237" s="196" t="s">
        <v>506</v>
      </c>
      <c r="N237" s="73">
        <v>2</v>
      </c>
      <c r="O237" s="73" t="s">
        <v>33</v>
      </c>
      <c r="P237" s="73" t="s">
        <v>34</v>
      </c>
      <c r="Q237" s="197">
        <f t="shared" si="7"/>
        <v>0</v>
      </c>
    </row>
    <row r="238" spans="1:17">
      <c r="A238" s="195" t="s">
        <v>507</v>
      </c>
      <c r="B238" s="196" t="s">
        <v>508</v>
      </c>
      <c r="C238" s="189">
        <v>1</v>
      </c>
      <c r="D238" s="189" t="s">
        <v>33</v>
      </c>
      <c r="E238" s="73" t="s">
        <v>34</v>
      </c>
      <c r="F238" s="197">
        <f t="shared" si="6"/>
        <v>0</v>
      </c>
      <c r="G238" s="198"/>
      <c r="H238">
        <v>0</v>
      </c>
      <c r="I238" s="46">
        <v>0</v>
      </c>
      <c r="L238" s="195" t="s">
        <v>507</v>
      </c>
      <c r="M238" s="196" t="s">
        <v>508</v>
      </c>
      <c r="N238" s="73">
        <v>1</v>
      </c>
      <c r="O238" s="73" t="s">
        <v>33</v>
      </c>
      <c r="P238" s="73" t="s">
        <v>34</v>
      </c>
      <c r="Q238" s="197">
        <f t="shared" si="7"/>
        <v>0</v>
      </c>
    </row>
    <row r="239" spans="1:17">
      <c r="A239" s="195" t="s">
        <v>509</v>
      </c>
      <c r="B239" s="196" t="s">
        <v>510</v>
      </c>
      <c r="C239" s="189">
        <v>1</v>
      </c>
      <c r="D239" s="189" t="s">
        <v>33</v>
      </c>
      <c r="E239" s="73" t="s">
        <v>34</v>
      </c>
      <c r="F239" s="197">
        <f t="shared" si="6"/>
        <v>0</v>
      </c>
      <c r="G239" s="198"/>
      <c r="H239">
        <v>0</v>
      </c>
      <c r="I239" s="46">
        <v>0</v>
      </c>
      <c r="L239" s="195" t="s">
        <v>509</v>
      </c>
      <c r="M239" s="196" t="s">
        <v>510</v>
      </c>
      <c r="N239" s="73">
        <v>1</v>
      </c>
      <c r="O239" s="73" t="s">
        <v>33</v>
      </c>
      <c r="P239" s="73" t="s">
        <v>34</v>
      </c>
      <c r="Q239" s="197">
        <f t="shared" si="7"/>
        <v>0</v>
      </c>
    </row>
    <row r="240" spans="1:17">
      <c r="A240" s="195" t="s">
        <v>511</v>
      </c>
      <c r="B240" s="196" t="s">
        <v>512</v>
      </c>
      <c r="C240" s="189">
        <v>2</v>
      </c>
      <c r="D240" s="189" t="s">
        <v>39</v>
      </c>
      <c r="E240" s="73" t="s">
        <v>40</v>
      </c>
      <c r="F240" s="197">
        <f t="shared" si="6"/>
        <v>1</v>
      </c>
      <c r="G240" s="198"/>
      <c r="H240">
        <v>0</v>
      </c>
      <c r="I240" s="46">
        <v>0</v>
      </c>
      <c r="L240" s="195" t="s">
        <v>511</v>
      </c>
      <c r="M240" s="196" t="s">
        <v>512</v>
      </c>
      <c r="N240" s="73">
        <v>2</v>
      </c>
      <c r="O240" s="73" t="s">
        <v>39</v>
      </c>
      <c r="P240" s="73" t="s">
        <v>40</v>
      </c>
      <c r="Q240" s="197">
        <f t="shared" si="7"/>
        <v>1</v>
      </c>
    </row>
    <row r="241" spans="1:17">
      <c r="A241" s="195" t="s">
        <v>513</v>
      </c>
      <c r="B241" s="196" t="s">
        <v>514</v>
      </c>
      <c r="C241" s="189">
        <v>2</v>
      </c>
      <c r="D241" s="189" t="s">
        <v>39</v>
      </c>
      <c r="E241" s="73" t="s">
        <v>34</v>
      </c>
      <c r="F241" s="197">
        <f t="shared" si="6"/>
        <v>1</v>
      </c>
      <c r="G241" s="198"/>
      <c r="H241">
        <v>0</v>
      </c>
      <c r="I241" s="46">
        <v>0</v>
      </c>
      <c r="L241" s="195" t="s">
        <v>513</v>
      </c>
      <c r="M241" s="196" t="s">
        <v>514</v>
      </c>
      <c r="N241" s="73">
        <v>2</v>
      </c>
      <c r="O241" s="73" t="s">
        <v>39</v>
      </c>
      <c r="P241" s="73" t="s">
        <v>34</v>
      </c>
      <c r="Q241" s="197">
        <f t="shared" si="7"/>
        <v>1</v>
      </c>
    </row>
    <row r="242" spans="1:17">
      <c r="A242" s="195" t="s">
        <v>515</v>
      </c>
      <c r="B242" s="196" t="s">
        <v>516</v>
      </c>
      <c r="C242" s="189">
        <v>2</v>
      </c>
      <c r="D242" s="189" t="s">
        <v>33</v>
      </c>
      <c r="E242" s="73" t="s">
        <v>34</v>
      </c>
      <c r="F242" s="197">
        <f t="shared" si="6"/>
        <v>0</v>
      </c>
      <c r="G242" s="198"/>
      <c r="H242">
        <v>0</v>
      </c>
      <c r="I242" s="46">
        <v>0</v>
      </c>
      <c r="L242" s="195" t="s">
        <v>515</v>
      </c>
      <c r="M242" s="196" t="s">
        <v>516</v>
      </c>
      <c r="N242" s="73">
        <v>2</v>
      </c>
      <c r="O242" s="73" t="s">
        <v>33</v>
      </c>
      <c r="P242" s="73" t="s">
        <v>34</v>
      </c>
      <c r="Q242" s="197">
        <f t="shared" si="7"/>
        <v>0</v>
      </c>
    </row>
    <row r="243" spans="1:17">
      <c r="A243" s="195" t="s">
        <v>517</v>
      </c>
      <c r="B243" s="196" t="s">
        <v>518</v>
      </c>
      <c r="C243" s="189">
        <v>2</v>
      </c>
      <c r="D243" s="189" t="s">
        <v>33</v>
      </c>
      <c r="E243" s="73" t="s">
        <v>34</v>
      </c>
      <c r="F243" s="197">
        <f t="shared" si="6"/>
        <v>0</v>
      </c>
      <c r="G243" s="198"/>
      <c r="H243">
        <v>0</v>
      </c>
      <c r="I243" s="46">
        <v>0</v>
      </c>
      <c r="L243" s="195" t="s">
        <v>517</v>
      </c>
      <c r="M243" s="196" t="s">
        <v>518</v>
      </c>
      <c r="N243" s="73">
        <v>2</v>
      </c>
      <c r="O243" s="73" t="s">
        <v>33</v>
      </c>
      <c r="P243" s="73" t="s">
        <v>34</v>
      </c>
      <c r="Q243" s="197">
        <f t="shared" si="7"/>
        <v>0</v>
      </c>
    </row>
    <row r="244" spans="1:17">
      <c r="A244" s="195" t="s">
        <v>519</v>
      </c>
      <c r="B244" s="196" t="s">
        <v>520</v>
      </c>
      <c r="C244" s="189">
        <v>2</v>
      </c>
      <c r="D244" s="189" t="s">
        <v>39</v>
      </c>
      <c r="E244" s="73" t="s">
        <v>40</v>
      </c>
      <c r="F244" s="197">
        <f t="shared" si="6"/>
        <v>1</v>
      </c>
      <c r="G244" s="198"/>
      <c r="H244">
        <v>0</v>
      </c>
      <c r="I244" s="46">
        <v>0</v>
      </c>
      <c r="L244" s="195" t="s">
        <v>519</v>
      </c>
      <c r="M244" s="196" t="s">
        <v>520</v>
      </c>
      <c r="N244" s="73">
        <v>2</v>
      </c>
      <c r="O244" s="73" t="s">
        <v>39</v>
      </c>
      <c r="P244" s="73" t="s">
        <v>40</v>
      </c>
      <c r="Q244" s="197">
        <f t="shared" si="7"/>
        <v>1</v>
      </c>
    </row>
    <row r="245" spans="1:17">
      <c r="A245" s="195" t="s">
        <v>521</v>
      </c>
      <c r="B245" s="196" t="s">
        <v>522</v>
      </c>
      <c r="C245" s="189">
        <v>1</v>
      </c>
      <c r="D245" s="189" t="s">
        <v>33</v>
      </c>
      <c r="E245" s="73" t="s">
        <v>34</v>
      </c>
      <c r="F245" s="197">
        <f t="shared" si="6"/>
        <v>0</v>
      </c>
      <c r="G245" s="198"/>
      <c r="H245">
        <v>0</v>
      </c>
      <c r="I245" s="46">
        <v>0</v>
      </c>
      <c r="L245" s="195" t="s">
        <v>521</v>
      </c>
      <c r="M245" s="196" t="s">
        <v>522</v>
      </c>
      <c r="N245" s="73">
        <v>1</v>
      </c>
      <c r="O245" s="73" t="s">
        <v>33</v>
      </c>
      <c r="P245" s="73" t="s">
        <v>34</v>
      </c>
      <c r="Q245" s="197">
        <f t="shared" si="7"/>
        <v>0</v>
      </c>
    </row>
    <row r="246" spans="1:17">
      <c r="A246" s="195" t="s">
        <v>523</v>
      </c>
      <c r="B246" s="196" t="s">
        <v>524</v>
      </c>
      <c r="C246" s="189">
        <v>1</v>
      </c>
      <c r="D246" s="189" t="s">
        <v>33</v>
      </c>
      <c r="E246" s="73" t="s">
        <v>34</v>
      </c>
      <c r="F246" s="197">
        <f t="shared" si="6"/>
        <v>0</v>
      </c>
      <c r="G246" s="198"/>
      <c r="H246">
        <v>0</v>
      </c>
      <c r="I246" s="46">
        <v>0</v>
      </c>
      <c r="L246" s="195" t="s">
        <v>523</v>
      </c>
      <c r="M246" s="196" t="s">
        <v>524</v>
      </c>
      <c r="N246" s="73">
        <v>1</v>
      </c>
      <c r="O246" s="73" t="s">
        <v>33</v>
      </c>
      <c r="P246" s="73" t="s">
        <v>34</v>
      </c>
      <c r="Q246" s="197">
        <f t="shared" si="7"/>
        <v>0</v>
      </c>
    </row>
    <row r="247" spans="1:17">
      <c r="A247" s="195" t="s">
        <v>525</v>
      </c>
      <c r="B247" s="196" t="s">
        <v>526</v>
      </c>
      <c r="C247" s="189">
        <v>1</v>
      </c>
      <c r="D247" s="189" t="s">
        <v>33</v>
      </c>
      <c r="E247" s="73" t="s">
        <v>34</v>
      </c>
      <c r="F247" s="197">
        <f t="shared" si="6"/>
        <v>0</v>
      </c>
      <c r="G247" s="198"/>
      <c r="H247">
        <v>0</v>
      </c>
      <c r="I247" s="46">
        <v>0</v>
      </c>
      <c r="L247" s="195" t="s">
        <v>525</v>
      </c>
      <c r="M247" s="196" t="s">
        <v>526</v>
      </c>
      <c r="N247" s="73">
        <v>1</v>
      </c>
      <c r="O247" s="73" t="s">
        <v>33</v>
      </c>
      <c r="P247" s="73" t="s">
        <v>34</v>
      </c>
      <c r="Q247" s="197">
        <f t="shared" si="7"/>
        <v>0</v>
      </c>
    </row>
    <row r="248" spans="1:17">
      <c r="A248" s="195" t="s">
        <v>527</v>
      </c>
      <c r="B248" s="196" t="s">
        <v>528</v>
      </c>
      <c r="C248" s="189">
        <v>2</v>
      </c>
      <c r="D248" s="189" t="s">
        <v>39</v>
      </c>
      <c r="E248" s="73" t="s">
        <v>34</v>
      </c>
      <c r="F248" s="197">
        <f t="shared" si="6"/>
        <v>1</v>
      </c>
      <c r="G248" s="198"/>
      <c r="H248">
        <v>0</v>
      </c>
      <c r="I248" s="46">
        <v>0</v>
      </c>
      <c r="L248" s="195" t="s">
        <v>527</v>
      </c>
      <c r="M248" s="196" t="s">
        <v>528</v>
      </c>
      <c r="N248" s="73">
        <v>2</v>
      </c>
      <c r="O248" s="73" t="s">
        <v>39</v>
      </c>
      <c r="P248" s="73" t="s">
        <v>34</v>
      </c>
      <c r="Q248" s="197">
        <f t="shared" si="7"/>
        <v>1</v>
      </c>
    </row>
    <row r="249" spans="1:17">
      <c r="A249" s="195" t="s">
        <v>529</v>
      </c>
      <c r="B249" s="196" t="s">
        <v>530</v>
      </c>
      <c r="C249" s="189">
        <v>1</v>
      </c>
      <c r="D249" s="189" t="s">
        <v>33</v>
      </c>
      <c r="E249" s="73" t="s">
        <v>34</v>
      </c>
      <c r="F249" s="197">
        <f t="shared" si="6"/>
        <v>0</v>
      </c>
      <c r="G249" s="198"/>
      <c r="H249">
        <v>0</v>
      </c>
      <c r="I249" s="46">
        <v>0</v>
      </c>
      <c r="L249" s="195" t="s">
        <v>529</v>
      </c>
      <c r="M249" s="196" t="s">
        <v>530</v>
      </c>
      <c r="N249" s="73">
        <v>1</v>
      </c>
      <c r="O249" s="73" t="s">
        <v>33</v>
      </c>
      <c r="P249" s="73" t="s">
        <v>34</v>
      </c>
      <c r="Q249" s="197">
        <f t="shared" si="7"/>
        <v>0</v>
      </c>
    </row>
    <row r="250" spans="1:17">
      <c r="A250" s="195" t="s">
        <v>531</v>
      </c>
      <c r="B250" s="196" t="s">
        <v>532</v>
      </c>
      <c r="C250" s="189">
        <v>2</v>
      </c>
      <c r="D250" s="189" t="s">
        <v>39</v>
      </c>
      <c r="E250" s="73" t="s">
        <v>40</v>
      </c>
      <c r="F250" s="197">
        <f t="shared" si="6"/>
        <v>1</v>
      </c>
      <c r="G250" s="198"/>
      <c r="H250">
        <v>0</v>
      </c>
      <c r="I250" s="46">
        <v>0</v>
      </c>
      <c r="L250" s="195" t="s">
        <v>531</v>
      </c>
      <c r="M250" s="196" t="s">
        <v>532</v>
      </c>
      <c r="N250" s="73">
        <v>2</v>
      </c>
      <c r="O250" s="73" t="s">
        <v>39</v>
      </c>
      <c r="P250" s="73" t="s">
        <v>40</v>
      </c>
      <c r="Q250" s="197">
        <f t="shared" si="7"/>
        <v>1</v>
      </c>
    </row>
    <row r="251" spans="1:17">
      <c r="A251" s="195" t="s">
        <v>533</v>
      </c>
      <c r="B251" s="196" t="s">
        <v>534</v>
      </c>
      <c r="C251" s="189">
        <v>1</v>
      </c>
      <c r="D251" s="189" t="s">
        <v>33</v>
      </c>
      <c r="E251" s="73" t="s">
        <v>34</v>
      </c>
      <c r="F251" s="197">
        <f t="shared" si="6"/>
        <v>0</v>
      </c>
      <c r="G251" s="198"/>
      <c r="H251">
        <v>0</v>
      </c>
      <c r="I251" s="46">
        <v>0</v>
      </c>
      <c r="L251" s="195" t="s">
        <v>533</v>
      </c>
      <c r="M251" s="196" t="s">
        <v>534</v>
      </c>
      <c r="N251" s="73">
        <v>1</v>
      </c>
      <c r="O251" s="73" t="s">
        <v>33</v>
      </c>
      <c r="P251" s="73" t="s">
        <v>34</v>
      </c>
      <c r="Q251" s="197">
        <f t="shared" si="7"/>
        <v>0</v>
      </c>
    </row>
    <row r="252" spans="1:17">
      <c r="A252" s="195" t="s">
        <v>535</v>
      </c>
      <c r="B252" s="196" t="s">
        <v>536</v>
      </c>
      <c r="C252" s="189">
        <v>1</v>
      </c>
      <c r="D252" s="189" t="s">
        <v>33</v>
      </c>
      <c r="E252" s="73" t="s">
        <v>34</v>
      </c>
      <c r="F252" s="197">
        <f t="shared" si="6"/>
        <v>0</v>
      </c>
      <c r="G252" s="198"/>
      <c r="H252">
        <v>0</v>
      </c>
      <c r="I252" s="46">
        <v>0</v>
      </c>
      <c r="L252" s="195" t="s">
        <v>535</v>
      </c>
      <c r="M252" s="196" t="s">
        <v>536</v>
      </c>
      <c r="N252" s="73">
        <v>1</v>
      </c>
      <c r="O252" s="73" t="s">
        <v>33</v>
      </c>
      <c r="P252" s="73" t="s">
        <v>34</v>
      </c>
      <c r="Q252" s="197">
        <f t="shared" si="7"/>
        <v>0</v>
      </c>
    </row>
    <row r="253" spans="1:17">
      <c r="A253" s="195" t="s">
        <v>537</v>
      </c>
      <c r="B253" s="196" t="s">
        <v>538</v>
      </c>
      <c r="C253" s="189">
        <v>2</v>
      </c>
      <c r="D253" s="189" t="s">
        <v>39</v>
      </c>
      <c r="E253" s="73" t="s">
        <v>40</v>
      </c>
      <c r="F253" s="197">
        <f t="shared" si="6"/>
        <v>1</v>
      </c>
      <c r="G253" s="198"/>
      <c r="H253">
        <v>0</v>
      </c>
      <c r="I253" s="46">
        <v>0</v>
      </c>
      <c r="L253" s="195" t="s">
        <v>537</v>
      </c>
      <c r="M253" s="196" t="s">
        <v>538</v>
      </c>
      <c r="N253" s="73">
        <v>2</v>
      </c>
      <c r="O253" s="73" t="s">
        <v>39</v>
      </c>
      <c r="P253" s="73" t="s">
        <v>40</v>
      </c>
      <c r="Q253" s="197">
        <f t="shared" si="7"/>
        <v>1</v>
      </c>
    </row>
    <row r="254" spans="1:17">
      <c r="A254" s="195" t="s">
        <v>539</v>
      </c>
      <c r="B254" s="196" t="s">
        <v>540</v>
      </c>
      <c r="C254" s="189">
        <v>2</v>
      </c>
      <c r="D254" s="189" t="s">
        <v>39</v>
      </c>
      <c r="E254" s="73" t="s">
        <v>34</v>
      </c>
      <c r="F254" s="197">
        <f t="shared" si="6"/>
        <v>1</v>
      </c>
      <c r="G254" s="198"/>
      <c r="H254">
        <v>0</v>
      </c>
      <c r="I254" s="46">
        <v>0</v>
      </c>
      <c r="L254" s="195" t="s">
        <v>539</v>
      </c>
      <c r="M254" s="196" t="s">
        <v>540</v>
      </c>
      <c r="N254" s="73">
        <v>2</v>
      </c>
      <c r="O254" s="73" t="s">
        <v>39</v>
      </c>
      <c r="P254" s="73" t="s">
        <v>34</v>
      </c>
      <c r="Q254" s="197">
        <f t="shared" si="7"/>
        <v>1</v>
      </c>
    </row>
    <row r="255" spans="1:17">
      <c r="A255" s="195" t="s">
        <v>541</v>
      </c>
      <c r="B255" s="196" t="s">
        <v>542</v>
      </c>
      <c r="C255" s="189">
        <v>1</v>
      </c>
      <c r="D255" s="189" t="s">
        <v>33</v>
      </c>
      <c r="E255" s="73" t="s">
        <v>34</v>
      </c>
      <c r="F255" s="197">
        <f t="shared" si="6"/>
        <v>0</v>
      </c>
      <c r="G255" s="198"/>
      <c r="H255">
        <v>0</v>
      </c>
      <c r="I255" s="46">
        <v>0</v>
      </c>
      <c r="L255" s="195" t="s">
        <v>541</v>
      </c>
      <c r="M255" s="196" t="s">
        <v>542</v>
      </c>
      <c r="N255" s="73">
        <v>1</v>
      </c>
      <c r="O255" s="73" t="s">
        <v>33</v>
      </c>
      <c r="P255" s="73" t="s">
        <v>34</v>
      </c>
      <c r="Q255" s="197">
        <f t="shared" si="7"/>
        <v>0</v>
      </c>
    </row>
    <row r="256" spans="1:17">
      <c r="A256" s="195" t="s">
        <v>543</v>
      </c>
      <c r="B256" s="196" t="s">
        <v>544</v>
      </c>
      <c r="C256" s="189">
        <v>1</v>
      </c>
      <c r="D256" s="189" t="s">
        <v>33</v>
      </c>
      <c r="E256" s="73" t="s">
        <v>34</v>
      </c>
      <c r="F256" s="197">
        <f t="shared" si="6"/>
        <v>0</v>
      </c>
      <c r="G256" s="198"/>
      <c r="H256">
        <v>0</v>
      </c>
      <c r="I256" s="46">
        <v>0</v>
      </c>
      <c r="L256" s="195" t="s">
        <v>543</v>
      </c>
      <c r="M256" s="196" t="s">
        <v>544</v>
      </c>
      <c r="N256" s="73">
        <v>1</v>
      </c>
      <c r="O256" s="73" t="s">
        <v>33</v>
      </c>
      <c r="P256" s="73" t="s">
        <v>34</v>
      </c>
      <c r="Q256" s="197">
        <f t="shared" si="7"/>
        <v>0</v>
      </c>
    </row>
    <row r="257" spans="1:17">
      <c r="A257" s="195" t="s">
        <v>545</v>
      </c>
      <c r="B257" s="196" t="s">
        <v>546</v>
      </c>
      <c r="C257" s="189">
        <v>2</v>
      </c>
      <c r="D257" s="189" t="s">
        <v>33</v>
      </c>
      <c r="E257" s="73" t="s">
        <v>34</v>
      </c>
      <c r="F257" s="197">
        <f t="shared" si="6"/>
        <v>0</v>
      </c>
      <c r="G257" s="198"/>
      <c r="H257">
        <v>0</v>
      </c>
      <c r="I257" s="46">
        <v>0</v>
      </c>
      <c r="L257" s="195" t="s">
        <v>545</v>
      </c>
      <c r="M257" s="196" t="s">
        <v>546</v>
      </c>
      <c r="N257" s="73">
        <v>2</v>
      </c>
      <c r="O257" s="73" t="s">
        <v>33</v>
      </c>
      <c r="P257" s="73" t="s">
        <v>34</v>
      </c>
      <c r="Q257" s="197">
        <f t="shared" si="7"/>
        <v>0</v>
      </c>
    </row>
    <row r="258" spans="1:17">
      <c r="A258" s="195" t="s">
        <v>547</v>
      </c>
      <c r="B258" s="202" t="s">
        <v>548</v>
      </c>
      <c r="C258" s="189">
        <v>2</v>
      </c>
      <c r="D258" s="358" t="s">
        <v>39</v>
      </c>
      <c r="E258" s="73" t="s">
        <v>34</v>
      </c>
      <c r="F258" s="197">
        <f t="shared" ref="F258:F321" si="8">IF(+D258="cash",1,0)</f>
        <v>1</v>
      </c>
      <c r="G258" s="198"/>
      <c r="H258">
        <v>0</v>
      </c>
      <c r="I258" s="353">
        <v>-1</v>
      </c>
      <c r="L258" s="195" t="s">
        <v>547</v>
      </c>
      <c r="M258" s="202" t="s">
        <v>548</v>
      </c>
      <c r="N258" s="73">
        <v>2</v>
      </c>
      <c r="O258" s="354" t="s">
        <v>33</v>
      </c>
      <c r="P258" s="73" t="s">
        <v>34</v>
      </c>
      <c r="Q258" s="197">
        <f t="shared" ref="Q258:Q321" si="9">IF(+O258="cash",1,0)</f>
        <v>0</v>
      </c>
    </row>
    <row r="259" spans="1:17">
      <c r="A259" s="195" t="s">
        <v>549</v>
      </c>
      <c r="B259" s="202" t="s">
        <v>550</v>
      </c>
      <c r="C259" s="189">
        <v>1</v>
      </c>
      <c r="D259" s="189" t="s">
        <v>33</v>
      </c>
      <c r="E259" s="73" t="s">
        <v>34</v>
      </c>
      <c r="F259" s="197">
        <f t="shared" si="8"/>
        <v>0</v>
      </c>
      <c r="G259" s="198"/>
      <c r="H259">
        <v>0</v>
      </c>
      <c r="I259" s="46">
        <v>0</v>
      </c>
      <c r="L259" s="195" t="s">
        <v>549</v>
      </c>
      <c r="M259" s="202" t="s">
        <v>550</v>
      </c>
      <c r="N259" s="73">
        <v>1</v>
      </c>
      <c r="O259" s="73" t="s">
        <v>33</v>
      </c>
      <c r="P259" s="73" t="s">
        <v>34</v>
      </c>
      <c r="Q259" s="197">
        <f t="shared" si="9"/>
        <v>0</v>
      </c>
    </row>
    <row r="260" spans="1:17">
      <c r="A260" s="195" t="s">
        <v>551</v>
      </c>
      <c r="B260" s="202" t="s">
        <v>552</v>
      </c>
      <c r="C260" s="189">
        <v>2</v>
      </c>
      <c r="D260" s="189" t="s">
        <v>33</v>
      </c>
      <c r="E260" s="73" t="s">
        <v>34</v>
      </c>
      <c r="F260" s="197">
        <f t="shared" si="8"/>
        <v>0</v>
      </c>
      <c r="G260" s="198"/>
      <c r="H260">
        <v>0</v>
      </c>
      <c r="I260" s="46">
        <v>0</v>
      </c>
      <c r="L260" s="195" t="s">
        <v>551</v>
      </c>
      <c r="M260" s="202" t="s">
        <v>552</v>
      </c>
      <c r="N260" s="73">
        <v>2</v>
      </c>
      <c r="O260" s="73" t="s">
        <v>33</v>
      </c>
      <c r="P260" s="73" t="s">
        <v>34</v>
      </c>
      <c r="Q260" s="197">
        <f t="shared" si="9"/>
        <v>0</v>
      </c>
    </row>
    <row r="261" spans="1:17">
      <c r="A261" s="195" t="s">
        <v>553</v>
      </c>
      <c r="B261" s="202" t="s">
        <v>554</v>
      </c>
      <c r="C261" s="189">
        <v>2</v>
      </c>
      <c r="D261" s="189" t="s">
        <v>33</v>
      </c>
      <c r="E261" s="73" t="s">
        <v>40</v>
      </c>
      <c r="F261" s="197">
        <f t="shared" si="8"/>
        <v>0</v>
      </c>
      <c r="G261" s="198"/>
      <c r="H261">
        <v>0</v>
      </c>
      <c r="I261" s="46">
        <v>0</v>
      </c>
      <c r="L261" s="195" t="s">
        <v>553</v>
      </c>
      <c r="M261" s="202" t="s">
        <v>554</v>
      </c>
      <c r="N261" s="73">
        <v>2</v>
      </c>
      <c r="O261" s="73" t="s">
        <v>33</v>
      </c>
      <c r="P261" s="73" t="s">
        <v>40</v>
      </c>
      <c r="Q261" s="197">
        <f t="shared" si="9"/>
        <v>0</v>
      </c>
    </row>
    <row r="262" spans="1:17">
      <c r="A262" s="195" t="s">
        <v>555</v>
      </c>
      <c r="B262" s="202" t="s">
        <v>556</v>
      </c>
      <c r="C262" s="189">
        <v>1</v>
      </c>
      <c r="D262" s="189" t="s">
        <v>33</v>
      </c>
      <c r="E262" s="73" t="s">
        <v>34</v>
      </c>
      <c r="F262" s="197">
        <f t="shared" si="8"/>
        <v>0</v>
      </c>
      <c r="G262" s="198"/>
      <c r="H262">
        <v>0</v>
      </c>
      <c r="I262" s="46">
        <v>0</v>
      </c>
      <c r="L262" s="195" t="s">
        <v>555</v>
      </c>
      <c r="M262" s="202" t="s">
        <v>556</v>
      </c>
      <c r="N262" s="73">
        <v>1</v>
      </c>
      <c r="O262" s="73" t="s">
        <v>33</v>
      </c>
      <c r="P262" s="73" t="s">
        <v>34</v>
      </c>
      <c r="Q262" s="197">
        <f t="shared" si="9"/>
        <v>0</v>
      </c>
    </row>
    <row r="263" spans="1:17">
      <c r="A263" s="201" t="s">
        <v>557</v>
      </c>
      <c r="B263" s="202" t="s">
        <v>558</v>
      </c>
      <c r="C263" s="189">
        <v>2</v>
      </c>
      <c r="D263" s="189" t="s">
        <v>33</v>
      </c>
      <c r="E263" s="73" t="s">
        <v>34</v>
      </c>
      <c r="F263" s="197">
        <f t="shared" si="8"/>
        <v>0</v>
      </c>
      <c r="G263" s="198"/>
      <c r="H263">
        <v>0</v>
      </c>
      <c r="I263" s="46">
        <v>0</v>
      </c>
      <c r="L263" s="201" t="s">
        <v>557</v>
      </c>
      <c r="M263" s="202" t="s">
        <v>558</v>
      </c>
      <c r="N263" s="73">
        <v>2</v>
      </c>
      <c r="O263" s="73" t="s">
        <v>33</v>
      </c>
      <c r="P263" s="73" t="s">
        <v>34</v>
      </c>
      <c r="Q263" s="197">
        <f t="shared" si="9"/>
        <v>0</v>
      </c>
    </row>
    <row r="264" spans="1:17">
      <c r="A264" s="195" t="s">
        <v>559</v>
      </c>
      <c r="B264" s="196" t="s">
        <v>560</v>
      </c>
      <c r="C264" s="189">
        <v>2</v>
      </c>
      <c r="D264" s="189" t="s">
        <v>39</v>
      </c>
      <c r="E264" s="73" t="s">
        <v>34</v>
      </c>
      <c r="F264" s="197">
        <f t="shared" si="8"/>
        <v>1</v>
      </c>
      <c r="G264" s="198"/>
      <c r="H264">
        <v>0</v>
      </c>
      <c r="I264" s="46">
        <v>0</v>
      </c>
      <c r="L264" s="195" t="s">
        <v>559</v>
      </c>
      <c r="M264" s="196" t="s">
        <v>560</v>
      </c>
      <c r="N264" s="73">
        <v>2</v>
      </c>
      <c r="O264" s="73" t="s">
        <v>39</v>
      </c>
      <c r="P264" s="73" t="s">
        <v>34</v>
      </c>
      <c r="Q264" s="197">
        <f t="shared" si="9"/>
        <v>1</v>
      </c>
    </row>
    <row r="265" spans="1:17">
      <c r="A265" s="195" t="s">
        <v>561</v>
      </c>
      <c r="B265" s="196" t="s">
        <v>562</v>
      </c>
      <c r="C265" s="189">
        <v>2</v>
      </c>
      <c r="D265" s="189" t="s">
        <v>39</v>
      </c>
      <c r="E265" s="73" t="s">
        <v>34</v>
      </c>
      <c r="F265" s="197">
        <f t="shared" si="8"/>
        <v>1</v>
      </c>
      <c r="G265" s="198"/>
      <c r="H265">
        <v>0</v>
      </c>
      <c r="I265" s="46">
        <v>0</v>
      </c>
      <c r="L265" s="195" t="s">
        <v>561</v>
      </c>
      <c r="M265" s="196" t="s">
        <v>562</v>
      </c>
      <c r="N265" s="73">
        <v>2</v>
      </c>
      <c r="O265" s="73" t="s">
        <v>39</v>
      </c>
      <c r="P265" s="73" t="s">
        <v>34</v>
      </c>
      <c r="Q265" s="197">
        <f t="shared" si="9"/>
        <v>1</v>
      </c>
    </row>
    <row r="266" spans="1:17">
      <c r="A266" s="195" t="s">
        <v>563</v>
      </c>
      <c r="B266" s="196" t="s">
        <v>564</v>
      </c>
      <c r="C266" s="189">
        <v>1</v>
      </c>
      <c r="D266" s="189" t="s">
        <v>33</v>
      </c>
      <c r="E266" s="73" t="s">
        <v>34</v>
      </c>
      <c r="F266" s="197">
        <f t="shared" si="8"/>
        <v>0</v>
      </c>
      <c r="G266" s="198"/>
      <c r="H266">
        <v>0</v>
      </c>
      <c r="I266" s="46">
        <v>0</v>
      </c>
      <c r="L266" s="195" t="s">
        <v>563</v>
      </c>
      <c r="M266" s="196" t="s">
        <v>564</v>
      </c>
      <c r="N266" s="73">
        <v>1</v>
      </c>
      <c r="O266" s="73" t="s">
        <v>33</v>
      </c>
      <c r="P266" s="73" t="s">
        <v>34</v>
      </c>
      <c r="Q266" s="197">
        <f t="shared" si="9"/>
        <v>0</v>
      </c>
    </row>
    <row r="267" spans="1:17">
      <c r="A267" s="195" t="s">
        <v>565</v>
      </c>
      <c r="B267" s="196" t="s">
        <v>566</v>
      </c>
      <c r="C267" s="189">
        <v>2</v>
      </c>
      <c r="D267" s="189" t="s">
        <v>39</v>
      </c>
      <c r="E267" s="73" t="s">
        <v>40</v>
      </c>
      <c r="F267" s="197">
        <f t="shared" si="8"/>
        <v>1</v>
      </c>
      <c r="G267" s="198"/>
      <c r="H267">
        <v>0</v>
      </c>
      <c r="I267" s="46">
        <v>0</v>
      </c>
      <c r="L267" s="195" t="s">
        <v>565</v>
      </c>
      <c r="M267" s="196" t="s">
        <v>566</v>
      </c>
      <c r="N267" s="73">
        <v>2</v>
      </c>
      <c r="O267" s="73" t="s">
        <v>39</v>
      </c>
      <c r="P267" s="73" t="s">
        <v>40</v>
      </c>
      <c r="Q267" s="197">
        <f t="shared" si="9"/>
        <v>1</v>
      </c>
    </row>
    <row r="268" spans="1:17">
      <c r="A268" s="195" t="s">
        <v>567</v>
      </c>
      <c r="B268" s="196" t="s">
        <v>568</v>
      </c>
      <c r="C268" s="189">
        <v>2</v>
      </c>
      <c r="D268" s="189" t="s">
        <v>39</v>
      </c>
      <c r="E268" s="73" t="s">
        <v>40</v>
      </c>
      <c r="F268" s="197">
        <f t="shared" si="8"/>
        <v>1</v>
      </c>
      <c r="G268" s="198"/>
      <c r="H268">
        <v>0</v>
      </c>
      <c r="I268" s="46">
        <v>0</v>
      </c>
      <c r="L268" s="195" t="s">
        <v>567</v>
      </c>
      <c r="M268" s="196" t="s">
        <v>568</v>
      </c>
      <c r="N268" s="73">
        <v>2</v>
      </c>
      <c r="O268" s="73" t="s">
        <v>39</v>
      </c>
      <c r="P268" s="73" t="s">
        <v>40</v>
      </c>
      <c r="Q268" s="197">
        <f t="shared" si="9"/>
        <v>1</v>
      </c>
    </row>
    <row r="269" spans="1:17">
      <c r="A269" s="195" t="s">
        <v>569</v>
      </c>
      <c r="B269" s="196" t="s">
        <v>570</v>
      </c>
      <c r="C269" s="189">
        <v>2</v>
      </c>
      <c r="D269" s="189" t="s">
        <v>33</v>
      </c>
      <c r="E269" s="73" t="s">
        <v>40</v>
      </c>
      <c r="F269" s="197">
        <f t="shared" si="8"/>
        <v>0</v>
      </c>
      <c r="G269" s="198"/>
      <c r="H269">
        <v>0</v>
      </c>
      <c r="I269" s="46">
        <v>0</v>
      </c>
      <c r="L269" s="195" t="s">
        <v>569</v>
      </c>
      <c r="M269" s="196" t="s">
        <v>570</v>
      </c>
      <c r="N269" s="73">
        <v>2</v>
      </c>
      <c r="O269" s="73" t="s">
        <v>33</v>
      </c>
      <c r="P269" s="73" t="s">
        <v>40</v>
      </c>
      <c r="Q269" s="197">
        <f t="shared" si="9"/>
        <v>0</v>
      </c>
    </row>
    <row r="270" spans="1:17">
      <c r="A270" s="195" t="s">
        <v>571</v>
      </c>
      <c r="B270" s="196" t="s">
        <v>572</v>
      </c>
      <c r="C270" s="189">
        <v>1</v>
      </c>
      <c r="D270" s="189" t="s">
        <v>33</v>
      </c>
      <c r="E270" s="73" t="s">
        <v>34</v>
      </c>
      <c r="F270" s="197">
        <f t="shared" si="8"/>
        <v>0</v>
      </c>
      <c r="G270" s="198"/>
      <c r="H270">
        <v>0</v>
      </c>
      <c r="I270" s="46">
        <v>0</v>
      </c>
      <c r="L270" s="195" t="s">
        <v>571</v>
      </c>
      <c r="M270" s="196" t="s">
        <v>572</v>
      </c>
      <c r="N270" s="73">
        <v>1</v>
      </c>
      <c r="O270" s="73" t="s">
        <v>33</v>
      </c>
      <c r="P270" s="73" t="s">
        <v>34</v>
      </c>
      <c r="Q270" s="197">
        <f t="shared" si="9"/>
        <v>0</v>
      </c>
    </row>
    <row r="271" spans="1:17" ht="15.75" customHeight="1">
      <c r="A271" s="195" t="s">
        <v>573</v>
      </c>
      <c r="B271" s="196" t="s">
        <v>574</v>
      </c>
      <c r="C271" s="189">
        <v>2</v>
      </c>
      <c r="D271" s="189" t="s">
        <v>39</v>
      </c>
      <c r="E271" s="73" t="s">
        <v>40</v>
      </c>
      <c r="F271" s="197">
        <f t="shared" si="8"/>
        <v>1</v>
      </c>
      <c r="G271" s="198"/>
      <c r="H271">
        <v>0</v>
      </c>
      <c r="I271" s="46">
        <v>0</v>
      </c>
      <c r="L271" s="195" t="s">
        <v>573</v>
      </c>
      <c r="M271" s="196" t="s">
        <v>574</v>
      </c>
      <c r="N271" s="73">
        <v>2</v>
      </c>
      <c r="O271" s="73" t="s">
        <v>39</v>
      </c>
      <c r="P271" s="73" t="s">
        <v>40</v>
      </c>
      <c r="Q271" s="197">
        <f t="shared" si="9"/>
        <v>1</v>
      </c>
    </row>
    <row r="272" spans="1:17">
      <c r="A272" s="195" t="s">
        <v>575</v>
      </c>
      <c r="B272" s="196" t="s">
        <v>576</v>
      </c>
      <c r="C272" s="189">
        <v>2</v>
      </c>
      <c r="D272" s="189" t="s">
        <v>33</v>
      </c>
      <c r="E272" s="73" t="s">
        <v>34</v>
      </c>
      <c r="F272" s="197">
        <f t="shared" si="8"/>
        <v>0</v>
      </c>
      <c r="G272" s="198"/>
      <c r="H272">
        <v>0</v>
      </c>
      <c r="I272" s="46">
        <v>0</v>
      </c>
      <c r="L272" s="195" t="s">
        <v>575</v>
      </c>
      <c r="M272" s="196" t="s">
        <v>576</v>
      </c>
      <c r="N272" s="73">
        <v>2</v>
      </c>
      <c r="O272" s="73" t="s">
        <v>33</v>
      </c>
      <c r="P272" s="73" t="s">
        <v>34</v>
      </c>
      <c r="Q272" s="197">
        <f t="shared" si="9"/>
        <v>0</v>
      </c>
    </row>
    <row r="273" spans="1:17">
      <c r="A273" s="195" t="s">
        <v>577</v>
      </c>
      <c r="B273" s="196" t="s">
        <v>578</v>
      </c>
      <c r="C273" s="189">
        <v>1</v>
      </c>
      <c r="D273" s="189" t="s">
        <v>33</v>
      </c>
      <c r="E273" s="73" t="s">
        <v>34</v>
      </c>
      <c r="F273" s="197">
        <f t="shared" si="8"/>
        <v>0</v>
      </c>
      <c r="G273" s="198"/>
      <c r="H273">
        <v>0</v>
      </c>
      <c r="I273" s="46">
        <v>0</v>
      </c>
      <c r="L273" s="195" t="s">
        <v>577</v>
      </c>
      <c r="M273" s="196" t="s">
        <v>578</v>
      </c>
      <c r="N273" s="73">
        <v>1</v>
      </c>
      <c r="O273" s="73" t="s">
        <v>33</v>
      </c>
      <c r="P273" s="73" t="s">
        <v>34</v>
      </c>
      <c r="Q273" s="197">
        <f t="shared" si="9"/>
        <v>0</v>
      </c>
    </row>
    <row r="274" spans="1:17">
      <c r="A274" s="195" t="s">
        <v>579</v>
      </c>
      <c r="B274" s="196" t="s">
        <v>580</v>
      </c>
      <c r="C274" s="189">
        <v>2</v>
      </c>
      <c r="D274" s="189" t="s">
        <v>39</v>
      </c>
      <c r="E274" s="73" t="s">
        <v>40</v>
      </c>
      <c r="F274" s="197">
        <f t="shared" si="8"/>
        <v>1</v>
      </c>
      <c r="G274" s="198"/>
      <c r="H274">
        <v>0</v>
      </c>
      <c r="I274" s="46">
        <v>0</v>
      </c>
      <c r="L274" s="195" t="s">
        <v>579</v>
      </c>
      <c r="M274" s="196" t="s">
        <v>580</v>
      </c>
      <c r="N274" s="73">
        <v>2</v>
      </c>
      <c r="O274" s="73" t="s">
        <v>39</v>
      </c>
      <c r="P274" s="73" t="s">
        <v>40</v>
      </c>
      <c r="Q274" s="197">
        <f t="shared" si="9"/>
        <v>1</v>
      </c>
    </row>
    <row r="275" spans="1:17">
      <c r="A275" s="205" t="s">
        <v>581</v>
      </c>
      <c r="B275" s="46" t="s">
        <v>582</v>
      </c>
      <c r="C275" s="189">
        <v>2</v>
      </c>
      <c r="D275" s="189" t="s">
        <v>33</v>
      </c>
      <c r="E275" s="73" t="s">
        <v>34</v>
      </c>
      <c r="F275" s="197">
        <f t="shared" si="8"/>
        <v>0</v>
      </c>
      <c r="G275" s="198"/>
      <c r="H275">
        <v>0</v>
      </c>
      <c r="I275" s="46">
        <v>0</v>
      </c>
      <c r="L275" s="205" t="s">
        <v>581</v>
      </c>
      <c r="M275" s="46" t="s">
        <v>582</v>
      </c>
      <c r="N275" s="73">
        <v>2</v>
      </c>
      <c r="O275" s="73" t="s">
        <v>33</v>
      </c>
      <c r="P275" s="73" t="s">
        <v>34</v>
      </c>
      <c r="Q275" s="197">
        <f t="shared" si="9"/>
        <v>0</v>
      </c>
    </row>
    <row r="276" spans="1:17">
      <c r="A276" s="201" t="s">
        <v>583</v>
      </c>
      <c r="B276" s="46" t="s">
        <v>584</v>
      </c>
      <c r="C276" s="189">
        <v>2</v>
      </c>
      <c r="D276" s="189" t="s">
        <v>33</v>
      </c>
      <c r="E276" s="73" t="s">
        <v>34</v>
      </c>
      <c r="F276" s="197">
        <f t="shared" si="8"/>
        <v>0</v>
      </c>
      <c r="G276" s="198"/>
      <c r="H276">
        <v>0</v>
      </c>
      <c r="I276" s="46">
        <v>0</v>
      </c>
      <c r="L276" s="201" t="s">
        <v>583</v>
      </c>
      <c r="M276" s="46" t="s">
        <v>584</v>
      </c>
      <c r="N276" s="73">
        <v>2</v>
      </c>
      <c r="O276" s="73" t="s">
        <v>33</v>
      </c>
      <c r="P276" s="73" t="s">
        <v>34</v>
      </c>
      <c r="Q276" s="197">
        <f t="shared" si="9"/>
        <v>0</v>
      </c>
    </row>
    <row r="277" spans="1:17">
      <c r="A277" s="201" t="s">
        <v>585</v>
      </c>
      <c r="B277" s="46" t="s">
        <v>586</v>
      </c>
      <c r="C277" s="189">
        <v>2</v>
      </c>
      <c r="D277" s="189" t="s">
        <v>33</v>
      </c>
      <c r="E277" s="73" t="s">
        <v>34</v>
      </c>
      <c r="F277" s="197">
        <f t="shared" si="8"/>
        <v>0</v>
      </c>
      <c r="G277" s="198"/>
      <c r="H277">
        <v>0</v>
      </c>
      <c r="I277" s="46">
        <v>0</v>
      </c>
      <c r="L277" s="201" t="s">
        <v>585</v>
      </c>
      <c r="M277" s="46" t="s">
        <v>586</v>
      </c>
      <c r="N277" s="73">
        <v>2</v>
      </c>
      <c r="O277" s="73" t="s">
        <v>33</v>
      </c>
      <c r="P277" s="73" t="s">
        <v>34</v>
      </c>
      <c r="Q277" s="197">
        <f t="shared" si="9"/>
        <v>0</v>
      </c>
    </row>
    <row r="278" spans="1:17">
      <c r="A278" s="195" t="s">
        <v>587</v>
      </c>
      <c r="B278" s="196" t="s">
        <v>588</v>
      </c>
      <c r="C278" s="189">
        <v>1</v>
      </c>
      <c r="D278" s="189" t="s">
        <v>33</v>
      </c>
      <c r="E278" s="73" t="s">
        <v>34</v>
      </c>
      <c r="F278" s="197">
        <f t="shared" si="8"/>
        <v>0</v>
      </c>
      <c r="G278" s="198"/>
      <c r="H278">
        <v>0</v>
      </c>
      <c r="I278" s="46">
        <v>0</v>
      </c>
      <c r="L278" s="195" t="s">
        <v>587</v>
      </c>
      <c r="M278" s="196" t="s">
        <v>588</v>
      </c>
      <c r="N278" s="73">
        <v>1</v>
      </c>
      <c r="O278" s="73" t="s">
        <v>33</v>
      </c>
      <c r="P278" s="73" t="s">
        <v>34</v>
      </c>
      <c r="Q278" s="197">
        <f t="shared" si="9"/>
        <v>0</v>
      </c>
    </row>
    <row r="279" spans="1:17">
      <c r="A279" s="195" t="s">
        <v>589</v>
      </c>
      <c r="B279" s="196" t="s">
        <v>590</v>
      </c>
      <c r="C279" s="189">
        <v>1</v>
      </c>
      <c r="D279" s="189" t="s">
        <v>33</v>
      </c>
      <c r="E279" s="73" t="s">
        <v>34</v>
      </c>
      <c r="F279" s="197">
        <f t="shared" si="8"/>
        <v>0</v>
      </c>
      <c r="G279" s="198"/>
      <c r="H279">
        <v>0</v>
      </c>
      <c r="I279" s="46">
        <v>0</v>
      </c>
      <c r="L279" s="195" t="s">
        <v>589</v>
      </c>
      <c r="M279" s="196" t="s">
        <v>590</v>
      </c>
      <c r="N279" s="73">
        <v>1</v>
      </c>
      <c r="O279" s="73" t="s">
        <v>33</v>
      </c>
      <c r="P279" s="73" t="s">
        <v>34</v>
      </c>
      <c r="Q279" s="197">
        <f t="shared" si="9"/>
        <v>0</v>
      </c>
    </row>
    <row r="280" spans="1:17">
      <c r="A280" s="205" t="s">
        <v>591</v>
      </c>
      <c r="B280" s="46" t="s">
        <v>592</v>
      </c>
      <c r="C280" s="189">
        <v>2</v>
      </c>
      <c r="D280" s="189" t="s">
        <v>33</v>
      </c>
      <c r="E280" s="73" t="s">
        <v>34</v>
      </c>
      <c r="F280" s="197">
        <f t="shared" si="8"/>
        <v>0</v>
      </c>
      <c r="G280" s="198"/>
      <c r="H280">
        <v>0</v>
      </c>
      <c r="I280" s="46">
        <v>0</v>
      </c>
      <c r="L280" s="205" t="s">
        <v>591</v>
      </c>
      <c r="M280" s="46" t="s">
        <v>592</v>
      </c>
      <c r="N280" s="73">
        <v>2</v>
      </c>
      <c r="O280" s="73" t="s">
        <v>33</v>
      </c>
      <c r="P280" s="73" t="s">
        <v>34</v>
      </c>
      <c r="Q280" s="197">
        <f t="shared" si="9"/>
        <v>0</v>
      </c>
    </row>
    <row r="281" spans="1:17">
      <c r="A281" s="195" t="s">
        <v>593</v>
      </c>
      <c r="B281" s="196" t="s">
        <v>594</v>
      </c>
      <c r="C281" s="189">
        <v>1</v>
      </c>
      <c r="D281" s="189" t="s">
        <v>33</v>
      </c>
      <c r="E281" s="73" t="s">
        <v>34</v>
      </c>
      <c r="F281" s="197">
        <f t="shared" si="8"/>
        <v>0</v>
      </c>
      <c r="G281" s="198"/>
      <c r="H281">
        <v>0</v>
      </c>
      <c r="I281" s="46">
        <v>0</v>
      </c>
      <c r="L281" s="195" t="s">
        <v>593</v>
      </c>
      <c r="M281" s="196" t="s">
        <v>594</v>
      </c>
      <c r="N281" s="73">
        <v>1</v>
      </c>
      <c r="O281" s="73" t="s">
        <v>33</v>
      </c>
      <c r="P281" s="73" t="s">
        <v>34</v>
      </c>
      <c r="Q281" s="197">
        <f t="shared" si="9"/>
        <v>0</v>
      </c>
    </row>
    <row r="282" spans="1:17">
      <c r="A282" s="195" t="s">
        <v>595</v>
      </c>
      <c r="B282" s="196" t="s">
        <v>596</v>
      </c>
      <c r="C282" s="189">
        <v>2</v>
      </c>
      <c r="D282" s="189" t="s">
        <v>39</v>
      </c>
      <c r="E282" s="73" t="s">
        <v>34</v>
      </c>
      <c r="F282" s="197">
        <f t="shared" si="8"/>
        <v>1</v>
      </c>
      <c r="G282" s="198"/>
      <c r="H282">
        <v>0</v>
      </c>
      <c r="I282" s="46">
        <v>0</v>
      </c>
      <c r="L282" s="195" t="s">
        <v>595</v>
      </c>
      <c r="M282" s="196" t="s">
        <v>596</v>
      </c>
      <c r="N282" s="73">
        <v>2</v>
      </c>
      <c r="O282" s="73" t="s">
        <v>39</v>
      </c>
      <c r="P282" s="73" t="s">
        <v>34</v>
      </c>
      <c r="Q282" s="197">
        <f t="shared" si="9"/>
        <v>1</v>
      </c>
    </row>
    <row r="283" spans="1:17">
      <c r="A283" s="195" t="s">
        <v>597</v>
      </c>
      <c r="B283" s="196" t="s">
        <v>598</v>
      </c>
      <c r="C283" s="189">
        <v>1</v>
      </c>
      <c r="D283" s="189" t="s">
        <v>33</v>
      </c>
      <c r="E283" s="73" t="s">
        <v>34</v>
      </c>
      <c r="F283" s="197">
        <f t="shared" si="8"/>
        <v>0</v>
      </c>
      <c r="G283" s="198"/>
      <c r="H283">
        <v>0</v>
      </c>
      <c r="I283" s="46">
        <v>0</v>
      </c>
      <c r="L283" s="195" t="s">
        <v>597</v>
      </c>
      <c r="M283" s="196" t="s">
        <v>598</v>
      </c>
      <c r="N283" s="73">
        <v>1</v>
      </c>
      <c r="O283" s="73" t="s">
        <v>33</v>
      </c>
      <c r="P283" s="73" t="s">
        <v>34</v>
      </c>
      <c r="Q283" s="197">
        <f t="shared" si="9"/>
        <v>0</v>
      </c>
    </row>
    <row r="284" spans="1:17">
      <c r="A284" s="195" t="s">
        <v>599</v>
      </c>
      <c r="B284" s="196" t="s">
        <v>600</v>
      </c>
      <c r="C284" s="189">
        <v>2</v>
      </c>
      <c r="D284" s="189" t="s">
        <v>39</v>
      </c>
      <c r="E284" s="73" t="s">
        <v>34</v>
      </c>
      <c r="F284" s="197">
        <f t="shared" si="8"/>
        <v>1</v>
      </c>
      <c r="G284" s="198"/>
      <c r="H284">
        <v>0</v>
      </c>
      <c r="I284" s="46">
        <v>0</v>
      </c>
      <c r="L284" s="195" t="s">
        <v>599</v>
      </c>
      <c r="M284" s="196" t="s">
        <v>600</v>
      </c>
      <c r="N284" s="73">
        <v>2</v>
      </c>
      <c r="O284" s="73" t="s">
        <v>39</v>
      </c>
      <c r="P284" s="73" t="s">
        <v>34</v>
      </c>
      <c r="Q284" s="197">
        <f t="shared" si="9"/>
        <v>1</v>
      </c>
    </row>
    <row r="285" spans="1:17">
      <c r="A285" s="195" t="s">
        <v>601</v>
      </c>
      <c r="B285" s="196" t="s">
        <v>602</v>
      </c>
      <c r="C285" s="189">
        <v>2</v>
      </c>
      <c r="D285" s="189" t="s">
        <v>33</v>
      </c>
      <c r="E285" s="73" t="s">
        <v>34</v>
      </c>
      <c r="F285" s="197">
        <f t="shared" si="8"/>
        <v>0</v>
      </c>
      <c r="G285" s="198"/>
      <c r="H285">
        <v>0</v>
      </c>
      <c r="I285" s="46">
        <v>0</v>
      </c>
      <c r="L285" s="195" t="s">
        <v>601</v>
      </c>
      <c r="M285" s="196" t="s">
        <v>602</v>
      </c>
      <c r="N285" s="73">
        <v>2</v>
      </c>
      <c r="O285" s="73" t="s">
        <v>33</v>
      </c>
      <c r="P285" s="73" t="s">
        <v>34</v>
      </c>
      <c r="Q285" s="197">
        <f t="shared" si="9"/>
        <v>0</v>
      </c>
    </row>
    <row r="286" spans="1:17">
      <c r="A286" s="195" t="s">
        <v>603</v>
      </c>
      <c r="B286" s="196" t="s">
        <v>604</v>
      </c>
      <c r="C286" s="189">
        <v>2</v>
      </c>
      <c r="D286" s="358" t="s">
        <v>33</v>
      </c>
      <c r="E286" s="73" t="s">
        <v>34</v>
      </c>
      <c r="F286" s="197">
        <f t="shared" si="8"/>
        <v>0</v>
      </c>
      <c r="G286" s="198"/>
      <c r="H286">
        <v>0</v>
      </c>
      <c r="I286" s="353">
        <v>1</v>
      </c>
      <c r="L286" s="195" t="s">
        <v>603</v>
      </c>
      <c r="M286" s="196" t="s">
        <v>604</v>
      </c>
      <c r="N286" s="73">
        <v>2</v>
      </c>
      <c r="O286" s="354" t="s">
        <v>39</v>
      </c>
      <c r="P286" s="73" t="s">
        <v>34</v>
      </c>
      <c r="Q286" s="197">
        <f t="shared" si="9"/>
        <v>1</v>
      </c>
    </row>
    <row r="287" spans="1:17">
      <c r="A287" s="195" t="s">
        <v>605</v>
      </c>
      <c r="B287" s="196" t="s">
        <v>606</v>
      </c>
      <c r="C287" s="189">
        <v>2</v>
      </c>
      <c r="D287" s="189" t="s">
        <v>33</v>
      </c>
      <c r="E287" s="73" t="s">
        <v>34</v>
      </c>
      <c r="F287" s="197">
        <f t="shared" si="8"/>
        <v>0</v>
      </c>
      <c r="G287" s="198"/>
      <c r="H287">
        <v>0</v>
      </c>
      <c r="I287" s="46">
        <v>0</v>
      </c>
      <c r="L287" s="195" t="s">
        <v>605</v>
      </c>
      <c r="M287" s="196" t="s">
        <v>606</v>
      </c>
      <c r="N287" s="73">
        <v>2</v>
      </c>
      <c r="O287" s="73" t="s">
        <v>33</v>
      </c>
      <c r="P287" s="73" t="s">
        <v>34</v>
      </c>
      <c r="Q287" s="197">
        <f t="shared" si="9"/>
        <v>0</v>
      </c>
    </row>
    <row r="288" spans="1:17">
      <c r="A288" s="195" t="s">
        <v>607</v>
      </c>
      <c r="B288" s="196" t="s">
        <v>608</v>
      </c>
      <c r="C288" s="189">
        <v>2</v>
      </c>
      <c r="D288" s="189" t="s">
        <v>33</v>
      </c>
      <c r="E288" s="73" t="s">
        <v>34</v>
      </c>
      <c r="F288" s="197">
        <f t="shared" si="8"/>
        <v>0</v>
      </c>
      <c r="G288" s="198"/>
      <c r="H288">
        <v>0</v>
      </c>
      <c r="I288" s="46">
        <v>0</v>
      </c>
      <c r="L288" s="195" t="s">
        <v>607</v>
      </c>
      <c r="M288" s="196" t="s">
        <v>608</v>
      </c>
      <c r="N288" s="73">
        <v>2</v>
      </c>
      <c r="O288" s="73" t="s">
        <v>33</v>
      </c>
      <c r="P288" s="73" t="s">
        <v>34</v>
      </c>
      <c r="Q288" s="197">
        <f t="shared" si="9"/>
        <v>0</v>
      </c>
    </row>
    <row r="289" spans="1:17">
      <c r="A289" s="195" t="s">
        <v>609</v>
      </c>
      <c r="B289" s="196" t="s">
        <v>610</v>
      </c>
      <c r="C289" s="189">
        <v>1</v>
      </c>
      <c r="D289" s="189" t="s">
        <v>33</v>
      </c>
      <c r="E289" s="73" t="s">
        <v>34</v>
      </c>
      <c r="F289" s="197">
        <f t="shared" si="8"/>
        <v>0</v>
      </c>
      <c r="G289" s="198"/>
      <c r="H289">
        <v>0</v>
      </c>
      <c r="I289" s="46">
        <v>0</v>
      </c>
      <c r="L289" s="195" t="s">
        <v>609</v>
      </c>
      <c r="M289" s="196" t="s">
        <v>610</v>
      </c>
      <c r="N289" s="73">
        <v>1</v>
      </c>
      <c r="O289" s="73" t="s">
        <v>33</v>
      </c>
      <c r="P289" s="73" t="s">
        <v>34</v>
      </c>
      <c r="Q289" s="197">
        <f t="shared" si="9"/>
        <v>0</v>
      </c>
    </row>
    <row r="290" spans="1:17">
      <c r="A290" s="195" t="s">
        <v>611</v>
      </c>
      <c r="B290" s="196" t="s">
        <v>612</v>
      </c>
      <c r="C290" s="189">
        <v>2</v>
      </c>
      <c r="D290" s="189" t="s">
        <v>39</v>
      </c>
      <c r="E290" s="73" t="s">
        <v>34</v>
      </c>
      <c r="F290" s="197">
        <f t="shared" si="8"/>
        <v>1</v>
      </c>
      <c r="G290" s="198"/>
      <c r="H290">
        <v>0</v>
      </c>
      <c r="I290" s="46">
        <v>0</v>
      </c>
      <c r="L290" s="195" t="s">
        <v>611</v>
      </c>
      <c r="M290" s="196" t="s">
        <v>612</v>
      </c>
      <c r="N290" s="73">
        <v>2</v>
      </c>
      <c r="O290" s="73" t="s">
        <v>39</v>
      </c>
      <c r="P290" s="73" t="s">
        <v>34</v>
      </c>
      <c r="Q290" s="197">
        <f t="shared" si="9"/>
        <v>1</v>
      </c>
    </row>
    <row r="291" spans="1:17">
      <c r="A291" s="195" t="s">
        <v>613</v>
      </c>
      <c r="B291" s="204" t="s">
        <v>614</v>
      </c>
      <c r="C291" s="189">
        <v>2</v>
      </c>
      <c r="D291" s="189" t="s">
        <v>39</v>
      </c>
      <c r="E291" s="73" t="s">
        <v>34</v>
      </c>
      <c r="F291" s="197">
        <f t="shared" si="8"/>
        <v>1</v>
      </c>
      <c r="G291" s="198"/>
      <c r="H291">
        <v>0</v>
      </c>
      <c r="I291" s="46">
        <v>0</v>
      </c>
      <c r="L291" s="195" t="s">
        <v>613</v>
      </c>
      <c r="M291" s="204" t="s">
        <v>614</v>
      </c>
      <c r="N291" s="73">
        <v>2</v>
      </c>
      <c r="O291" s="73" t="s">
        <v>39</v>
      </c>
      <c r="P291" s="73" t="s">
        <v>34</v>
      </c>
      <c r="Q291" s="197">
        <f t="shared" si="9"/>
        <v>1</v>
      </c>
    </row>
    <row r="292" spans="1:17">
      <c r="A292" s="195" t="s">
        <v>615</v>
      </c>
      <c r="B292" s="196" t="s">
        <v>616</v>
      </c>
      <c r="C292" s="189">
        <v>2</v>
      </c>
      <c r="D292" s="189" t="s">
        <v>39</v>
      </c>
      <c r="E292" s="73" t="s">
        <v>34</v>
      </c>
      <c r="F292" s="197">
        <f t="shared" si="8"/>
        <v>1</v>
      </c>
      <c r="G292" s="198"/>
      <c r="H292">
        <v>0</v>
      </c>
      <c r="I292" s="46">
        <v>0</v>
      </c>
      <c r="L292" s="195" t="s">
        <v>615</v>
      </c>
      <c r="M292" s="196" t="s">
        <v>616</v>
      </c>
      <c r="N292" s="73">
        <v>2</v>
      </c>
      <c r="O292" s="73" t="s">
        <v>39</v>
      </c>
      <c r="P292" s="73" t="s">
        <v>34</v>
      </c>
      <c r="Q292" s="197">
        <f t="shared" si="9"/>
        <v>1</v>
      </c>
    </row>
    <row r="293" spans="1:17">
      <c r="A293" s="195" t="s">
        <v>617</v>
      </c>
      <c r="B293" s="196" t="s">
        <v>618</v>
      </c>
      <c r="C293" s="189">
        <v>1</v>
      </c>
      <c r="D293" s="189" t="s">
        <v>33</v>
      </c>
      <c r="E293" s="73" t="s">
        <v>34</v>
      </c>
      <c r="F293" s="197">
        <f t="shared" si="8"/>
        <v>0</v>
      </c>
      <c r="G293" s="198"/>
      <c r="H293">
        <v>0</v>
      </c>
      <c r="I293" s="46">
        <v>0</v>
      </c>
      <c r="L293" s="195" t="s">
        <v>617</v>
      </c>
      <c r="M293" s="196" t="s">
        <v>618</v>
      </c>
      <c r="N293" s="73">
        <v>1</v>
      </c>
      <c r="O293" s="73" t="s">
        <v>33</v>
      </c>
      <c r="P293" s="73" t="s">
        <v>34</v>
      </c>
      <c r="Q293" s="197">
        <f t="shared" si="9"/>
        <v>0</v>
      </c>
    </row>
    <row r="294" spans="1:17">
      <c r="A294" s="195" t="s">
        <v>619</v>
      </c>
      <c r="B294" s="196" t="s">
        <v>620</v>
      </c>
      <c r="C294" s="189">
        <v>1</v>
      </c>
      <c r="D294" s="189" t="s">
        <v>33</v>
      </c>
      <c r="E294" s="73" t="s">
        <v>34</v>
      </c>
      <c r="F294" s="197">
        <f t="shared" si="8"/>
        <v>0</v>
      </c>
      <c r="G294" s="198"/>
      <c r="H294">
        <v>0</v>
      </c>
      <c r="I294" s="46">
        <v>0</v>
      </c>
      <c r="L294" s="195" t="s">
        <v>619</v>
      </c>
      <c r="M294" s="196" t="s">
        <v>620</v>
      </c>
      <c r="N294" s="73">
        <v>1</v>
      </c>
      <c r="O294" s="73" t="s">
        <v>33</v>
      </c>
      <c r="P294" s="73" t="s">
        <v>34</v>
      </c>
      <c r="Q294" s="197">
        <f t="shared" si="9"/>
        <v>0</v>
      </c>
    </row>
    <row r="295" spans="1:17">
      <c r="A295" s="195" t="s">
        <v>621</v>
      </c>
      <c r="B295" s="196" t="s">
        <v>622</v>
      </c>
      <c r="C295" s="189">
        <v>2</v>
      </c>
      <c r="D295" s="189" t="s">
        <v>39</v>
      </c>
      <c r="E295" s="73" t="s">
        <v>40</v>
      </c>
      <c r="F295" s="197">
        <f t="shared" si="8"/>
        <v>1</v>
      </c>
      <c r="G295" s="198"/>
      <c r="H295">
        <v>0</v>
      </c>
      <c r="I295" s="46">
        <v>0</v>
      </c>
      <c r="L295" s="195" t="s">
        <v>621</v>
      </c>
      <c r="M295" s="196" t="s">
        <v>622</v>
      </c>
      <c r="N295" s="73">
        <v>2</v>
      </c>
      <c r="O295" s="73" t="s">
        <v>39</v>
      </c>
      <c r="P295" s="73" t="s">
        <v>40</v>
      </c>
      <c r="Q295" s="197">
        <f t="shared" si="9"/>
        <v>1</v>
      </c>
    </row>
    <row r="296" spans="1:17">
      <c r="A296" s="195" t="s">
        <v>623</v>
      </c>
      <c r="B296" s="196" t="s">
        <v>624</v>
      </c>
      <c r="C296" s="189">
        <v>1</v>
      </c>
      <c r="D296" s="189" t="s">
        <v>33</v>
      </c>
      <c r="E296" s="73" t="s">
        <v>34</v>
      </c>
      <c r="F296" s="197">
        <f t="shared" si="8"/>
        <v>0</v>
      </c>
      <c r="G296" s="198"/>
      <c r="H296">
        <v>0</v>
      </c>
      <c r="I296" s="46">
        <v>0</v>
      </c>
      <c r="L296" s="195" t="s">
        <v>623</v>
      </c>
      <c r="M296" s="196" t="s">
        <v>624</v>
      </c>
      <c r="N296" s="73">
        <v>1</v>
      </c>
      <c r="O296" s="73" t="s">
        <v>33</v>
      </c>
      <c r="P296" s="73" t="s">
        <v>34</v>
      </c>
      <c r="Q296" s="197">
        <f t="shared" si="9"/>
        <v>0</v>
      </c>
    </row>
    <row r="297" spans="1:17">
      <c r="A297" s="195" t="s">
        <v>625</v>
      </c>
      <c r="B297" s="196" t="s">
        <v>626</v>
      </c>
      <c r="C297" s="189">
        <v>2</v>
      </c>
      <c r="D297" s="189" t="s">
        <v>33</v>
      </c>
      <c r="E297" s="73" t="s">
        <v>40</v>
      </c>
      <c r="F297" s="197">
        <f t="shared" si="8"/>
        <v>0</v>
      </c>
      <c r="G297" s="198"/>
      <c r="H297">
        <v>0</v>
      </c>
      <c r="I297" s="46">
        <v>0</v>
      </c>
      <c r="L297" s="195" t="s">
        <v>625</v>
      </c>
      <c r="M297" s="196" t="s">
        <v>626</v>
      </c>
      <c r="N297" s="73">
        <v>2</v>
      </c>
      <c r="O297" s="73" t="s">
        <v>33</v>
      </c>
      <c r="P297" s="73" t="s">
        <v>40</v>
      </c>
      <c r="Q297" s="197">
        <f t="shared" si="9"/>
        <v>0</v>
      </c>
    </row>
    <row r="298" spans="1:17">
      <c r="A298" s="195" t="s">
        <v>627</v>
      </c>
      <c r="B298" s="196" t="s">
        <v>628</v>
      </c>
      <c r="C298" s="189">
        <v>1</v>
      </c>
      <c r="D298" s="189" t="s">
        <v>33</v>
      </c>
      <c r="E298" s="73" t="s">
        <v>34</v>
      </c>
      <c r="F298" s="197">
        <f t="shared" si="8"/>
        <v>0</v>
      </c>
      <c r="G298" s="198"/>
      <c r="H298">
        <v>0</v>
      </c>
      <c r="I298" s="46">
        <v>0</v>
      </c>
      <c r="L298" s="195" t="s">
        <v>627</v>
      </c>
      <c r="M298" s="196" t="s">
        <v>628</v>
      </c>
      <c r="N298" s="73">
        <v>1</v>
      </c>
      <c r="O298" s="73" t="s">
        <v>33</v>
      </c>
      <c r="P298" s="73" t="s">
        <v>34</v>
      </c>
      <c r="Q298" s="197">
        <f t="shared" si="9"/>
        <v>0</v>
      </c>
    </row>
    <row r="299" spans="1:17">
      <c r="A299" s="195" t="s">
        <v>629</v>
      </c>
      <c r="B299" s="196" t="s">
        <v>630</v>
      </c>
      <c r="C299" s="189">
        <v>2</v>
      </c>
      <c r="D299" s="189" t="s">
        <v>33</v>
      </c>
      <c r="E299" s="73" t="s">
        <v>34</v>
      </c>
      <c r="F299" s="197">
        <f t="shared" si="8"/>
        <v>0</v>
      </c>
      <c r="G299" s="198"/>
      <c r="H299">
        <v>0</v>
      </c>
      <c r="I299" s="46">
        <v>0</v>
      </c>
      <c r="L299" s="195" t="s">
        <v>629</v>
      </c>
      <c r="M299" s="196" t="s">
        <v>630</v>
      </c>
      <c r="N299" s="73">
        <v>2</v>
      </c>
      <c r="O299" s="73" t="s">
        <v>33</v>
      </c>
      <c r="P299" s="73" t="s">
        <v>34</v>
      </c>
      <c r="Q299" s="197">
        <f t="shared" si="9"/>
        <v>0</v>
      </c>
    </row>
    <row r="300" spans="1:17">
      <c r="A300" s="206" t="s">
        <v>631</v>
      </c>
      <c r="B300" s="46" t="s">
        <v>632</v>
      </c>
      <c r="C300" s="189">
        <v>2</v>
      </c>
      <c r="D300" s="189" t="s">
        <v>33</v>
      </c>
      <c r="E300" s="73" t="s">
        <v>34</v>
      </c>
      <c r="F300" s="197">
        <f t="shared" si="8"/>
        <v>0</v>
      </c>
      <c r="G300" s="198"/>
      <c r="H300">
        <v>0</v>
      </c>
      <c r="I300" s="46">
        <v>0</v>
      </c>
      <c r="L300" s="206" t="s">
        <v>631</v>
      </c>
      <c r="M300" s="46" t="s">
        <v>632</v>
      </c>
      <c r="N300" s="73">
        <v>2</v>
      </c>
      <c r="O300" s="73" t="s">
        <v>33</v>
      </c>
      <c r="P300" s="73" t="s">
        <v>34</v>
      </c>
      <c r="Q300" s="197">
        <f t="shared" si="9"/>
        <v>0</v>
      </c>
    </row>
    <row r="301" spans="1:17">
      <c r="A301" s="195" t="s">
        <v>633</v>
      </c>
      <c r="B301" s="196" t="s">
        <v>634</v>
      </c>
      <c r="C301" s="189">
        <v>2</v>
      </c>
      <c r="D301" s="189" t="s">
        <v>39</v>
      </c>
      <c r="E301" s="73" t="s">
        <v>34</v>
      </c>
      <c r="F301" s="197">
        <f t="shared" si="8"/>
        <v>1</v>
      </c>
      <c r="G301" s="198"/>
      <c r="H301">
        <v>0</v>
      </c>
      <c r="I301" s="46">
        <v>0</v>
      </c>
      <c r="L301" s="195" t="s">
        <v>633</v>
      </c>
      <c r="M301" s="196" t="s">
        <v>634</v>
      </c>
      <c r="N301" s="73">
        <v>2</v>
      </c>
      <c r="O301" s="73" t="s">
        <v>39</v>
      </c>
      <c r="P301" s="73" t="s">
        <v>34</v>
      </c>
      <c r="Q301" s="197">
        <f t="shared" si="9"/>
        <v>1</v>
      </c>
    </row>
    <row r="302" spans="1:17">
      <c r="A302" s="195" t="s">
        <v>635</v>
      </c>
      <c r="B302" s="196" t="s">
        <v>636</v>
      </c>
      <c r="C302" s="358">
        <v>1</v>
      </c>
      <c r="D302" s="189" t="s">
        <v>33</v>
      </c>
      <c r="E302" s="73" t="s">
        <v>34</v>
      </c>
      <c r="F302" s="197">
        <f t="shared" si="8"/>
        <v>0</v>
      </c>
      <c r="G302" s="198"/>
      <c r="H302" s="352">
        <v>1</v>
      </c>
      <c r="I302" s="46">
        <v>0</v>
      </c>
      <c r="L302" s="195" t="s">
        <v>635</v>
      </c>
      <c r="M302" s="196" t="s">
        <v>636</v>
      </c>
      <c r="N302" s="354">
        <v>2</v>
      </c>
      <c r="O302" s="73" t="s">
        <v>33</v>
      </c>
      <c r="P302" s="73" t="s">
        <v>34</v>
      </c>
      <c r="Q302" s="197">
        <f t="shared" si="9"/>
        <v>0</v>
      </c>
    </row>
    <row r="303" spans="1:17">
      <c r="A303" s="195" t="s">
        <v>637</v>
      </c>
      <c r="B303" s="196" t="s">
        <v>638</v>
      </c>
      <c r="C303" s="189">
        <v>2</v>
      </c>
      <c r="D303" s="189" t="s">
        <v>39</v>
      </c>
      <c r="E303" s="73" t="s">
        <v>34</v>
      </c>
      <c r="F303" s="197">
        <f t="shared" si="8"/>
        <v>1</v>
      </c>
      <c r="G303" s="198"/>
      <c r="H303">
        <v>0</v>
      </c>
      <c r="I303" s="46">
        <v>0</v>
      </c>
      <c r="L303" s="195" t="s">
        <v>637</v>
      </c>
      <c r="M303" s="196" t="s">
        <v>638</v>
      </c>
      <c r="N303" s="73">
        <v>2</v>
      </c>
      <c r="O303" s="73" t="s">
        <v>39</v>
      </c>
      <c r="P303" s="73" t="s">
        <v>34</v>
      </c>
      <c r="Q303" s="197">
        <f t="shared" si="9"/>
        <v>1</v>
      </c>
    </row>
    <row r="304" spans="1:17">
      <c r="A304" s="195" t="s">
        <v>639</v>
      </c>
      <c r="B304" s="196" t="s">
        <v>640</v>
      </c>
      <c r="C304" s="189">
        <v>1</v>
      </c>
      <c r="D304" s="189" t="s">
        <v>33</v>
      </c>
      <c r="E304" s="73" t="s">
        <v>34</v>
      </c>
      <c r="F304" s="197">
        <f t="shared" si="8"/>
        <v>0</v>
      </c>
      <c r="G304" s="198"/>
      <c r="H304">
        <v>0</v>
      </c>
      <c r="I304" s="46">
        <v>0</v>
      </c>
      <c r="L304" s="195" t="s">
        <v>639</v>
      </c>
      <c r="M304" s="196" t="s">
        <v>640</v>
      </c>
      <c r="N304" s="73">
        <v>1</v>
      </c>
      <c r="O304" s="73" t="s">
        <v>33</v>
      </c>
      <c r="P304" s="73" t="s">
        <v>34</v>
      </c>
      <c r="Q304" s="197">
        <f t="shared" si="9"/>
        <v>0</v>
      </c>
    </row>
    <row r="305" spans="1:17">
      <c r="A305" s="195" t="s">
        <v>641</v>
      </c>
      <c r="B305" s="196" t="s">
        <v>642</v>
      </c>
      <c r="C305" s="189">
        <v>1</v>
      </c>
      <c r="D305" s="189" t="s">
        <v>33</v>
      </c>
      <c r="E305" s="73" t="s">
        <v>34</v>
      </c>
      <c r="F305" s="197">
        <f t="shared" si="8"/>
        <v>0</v>
      </c>
      <c r="G305" s="198"/>
      <c r="H305">
        <v>0</v>
      </c>
      <c r="I305" s="46">
        <v>0</v>
      </c>
      <c r="L305" s="195" t="s">
        <v>641</v>
      </c>
      <c r="M305" s="196" t="s">
        <v>642</v>
      </c>
      <c r="N305" s="73">
        <v>1</v>
      </c>
      <c r="O305" s="73" t="s">
        <v>33</v>
      </c>
      <c r="P305" s="73" t="s">
        <v>34</v>
      </c>
      <c r="Q305" s="197">
        <f t="shared" si="9"/>
        <v>0</v>
      </c>
    </row>
    <row r="306" spans="1:17">
      <c r="A306" s="195" t="s">
        <v>643</v>
      </c>
      <c r="B306" s="196" t="s">
        <v>644</v>
      </c>
      <c r="C306" s="189">
        <v>2</v>
      </c>
      <c r="D306" s="189" t="s">
        <v>33</v>
      </c>
      <c r="E306" s="73" t="s">
        <v>34</v>
      </c>
      <c r="F306" s="197">
        <f t="shared" si="8"/>
        <v>0</v>
      </c>
      <c r="G306" s="198"/>
      <c r="H306">
        <v>0</v>
      </c>
      <c r="I306" s="46">
        <v>0</v>
      </c>
      <c r="L306" s="195" t="s">
        <v>643</v>
      </c>
      <c r="M306" s="196" t="s">
        <v>644</v>
      </c>
      <c r="N306" s="73">
        <v>2</v>
      </c>
      <c r="O306" s="73" t="s">
        <v>33</v>
      </c>
      <c r="P306" s="73" t="s">
        <v>34</v>
      </c>
      <c r="Q306" s="197">
        <f t="shared" si="9"/>
        <v>0</v>
      </c>
    </row>
    <row r="307" spans="1:17">
      <c r="A307" s="195" t="s">
        <v>645</v>
      </c>
      <c r="B307" s="196" t="s">
        <v>646</v>
      </c>
      <c r="C307" s="189">
        <v>1</v>
      </c>
      <c r="D307" s="189" t="s">
        <v>33</v>
      </c>
      <c r="E307" s="73" t="s">
        <v>34</v>
      </c>
      <c r="F307" s="197">
        <f t="shared" si="8"/>
        <v>0</v>
      </c>
      <c r="G307" s="198"/>
      <c r="H307">
        <v>0</v>
      </c>
      <c r="I307" s="46">
        <v>0</v>
      </c>
      <c r="L307" s="195" t="s">
        <v>645</v>
      </c>
      <c r="M307" s="196" t="s">
        <v>646</v>
      </c>
      <c r="N307" s="73">
        <v>1</v>
      </c>
      <c r="O307" s="73" t="s">
        <v>33</v>
      </c>
      <c r="P307" s="73" t="s">
        <v>34</v>
      </c>
      <c r="Q307" s="197">
        <f t="shared" si="9"/>
        <v>0</v>
      </c>
    </row>
    <row r="308" spans="1:17">
      <c r="A308" s="195" t="s">
        <v>647</v>
      </c>
      <c r="B308" s="196" t="s">
        <v>648</v>
      </c>
      <c r="C308" s="189">
        <v>2</v>
      </c>
      <c r="D308" s="189" t="s">
        <v>39</v>
      </c>
      <c r="E308" s="73" t="s">
        <v>34</v>
      </c>
      <c r="F308" s="197">
        <f t="shared" si="8"/>
        <v>1</v>
      </c>
      <c r="G308" s="198"/>
      <c r="H308">
        <v>0</v>
      </c>
      <c r="I308" s="46">
        <v>0</v>
      </c>
      <c r="L308" s="195" t="s">
        <v>647</v>
      </c>
      <c r="M308" s="196" t="s">
        <v>648</v>
      </c>
      <c r="N308" s="73">
        <v>2</v>
      </c>
      <c r="O308" s="73" t="s">
        <v>39</v>
      </c>
      <c r="P308" s="73" t="s">
        <v>34</v>
      </c>
      <c r="Q308" s="197">
        <f t="shared" si="9"/>
        <v>1</v>
      </c>
    </row>
    <row r="309" spans="1:17">
      <c r="A309" s="195" t="s">
        <v>649</v>
      </c>
      <c r="B309" s="196" t="s">
        <v>650</v>
      </c>
      <c r="C309" s="189">
        <v>2</v>
      </c>
      <c r="D309" s="189" t="s">
        <v>33</v>
      </c>
      <c r="E309" s="73" t="s">
        <v>34</v>
      </c>
      <c r="F309" s="197">
        <f t="shared" si="8"/>
        <v>0</v>
      </c>
      <c r="G309" s="198"/>
      <c r="H309">
        <v>0</v>
      </c>
      <c r="I309" s="46">
        <v>0</v>
      </c>
      <c r="L309" s="195" t="s">
        <v>649</v>
      </c>
      <c r="M309" s="196" t="s">
        <v>650</v>
      </c>
      <c r="N309" s="73">
        <v>2</v>
      </c>
      <c r="O309" s="73" t="s">
        <v>33</v>
      </c>
      <c r="P309" s="73" t="s">
        <v>34</v>
      </c>
      <c r="Q309" s="197">
        <f t="shared" si="9"/>
        <v>0</v>
      </c>
    </row>
    <row r="310" spans="1:17">
      <c r="A310" s="195" t="s">
        <v>651</v>
      </c>
      <c r="B310" s="196" t="s">
        <v>652</v>
      </c>
      <c r="C310" s="189">
        <v>2</v>
      </c>
      <c r="D310" s="189" t="s">
        <v>39</v>
      </c>
      <c r="E310" s="73" t="s">
        <v>34</v>
      </c>
      <c r="F310" s="197">
        <f t="shared" si="8"/>
        <v>1</v>
      </c>
      <c r="G310" s="198"/>
      <c r="H310">
        <v>0</v>
      </c>
      <c r="I310" s="46">
        <v>0</v>
      </c>
      <c r="L310" s="195" t="s">
        <v>651</v>
      </c>
      <c r="M310" s="196" t="s">
        <v>652</v>
      </c>
      <c r="N310" s="73">
        <v>2</v>
      </c>
      <c r="O310" s="73" t="s">
        <v>39</v>
      </c>
      <c r="P310" s="73" t="s">
        <v>34</v>
      </c>
      <c r="Q310" s="197">
        <f t="shared" si="9"/>
        <v>1</v>
      </c>
    </row>
    <row r="311" spans="1:17">
      <c r="A311" s="195" t="s">
        <v>653</v>
      </c>
      <c r="B311" s="196" t="s">
        <v>654</v>
      </c>
      <c r="C311" s="189">
        <v>1</v>
      </c>
      <c r="D311" s="189" t="s">
        <v>33</v>
      </c>
      <c r="E311" s="73" t="s">
        <v>34</v>
      </c>
      <c r="F311" s="197">
        <f t="shared" si="8"/>
        <v>0</v>
      </c>
      <c r="G311" s="198"/>
      <c r="H311">
        <v>0</v>
      </c>
      <c r="I311" s="46">
        <v>0</v>
      </c>
      <c r="L311" s="195" t="s">
        <v>653</v>
      </c>
      <c r="M311" s="196" t="s">
        <v>654</v>
      </c>
      <c r="N311" s="73">
        <v>1</v>
      </c>
      <c r="O311" s="73" t="s">
        <v>33</v>
      </c>
      <c r="P311" s="73" t="s">
        <v>34</v>
      </c>
      <c r="Q311" s="197">
        <f t="shared" si="9"/>
        <v>0</v>
      </c>
    </row>
    <row r="312" spans="1:17">
      <c r="A312" s="195" t="s">
        <v>655</v>
      </c>
      <c r="B312" s="196" t="s">
        <v>656</v>
      </c>
      <c r="C312" s="189">
        <v>1</v>
      </c>
      <c r="D312" s="189" t="s">
        <v>33</v>
      </c>
      <c r="E312" s="73" t="s">
        <v>34</v>
      </c>
      <c r="F312" s="197">
        <f t="shared" si="8"/>
        <v>0</v>
      </c>
      <c r="G312" s="198"/>
      <c r="H312">
        <v>0</v>
      </c>
      <c r="I312" s="46">
        <v>0</v>
      </c>
      <c r="L312" s="195" t="s">
        <v>655</v>
      </c>
      <c r="M312" s="196" t="s">
        <v>656</v>
      </c>
      <c r="N312" s="73">
        <v>1</v>
      </c>
      <c r="O312" s="73" t="s">
        <v>33</v>
      </c>
      <c r="P312" s="73" t="s">
        <v>34</v>
      </c>
      <c r="Q312" s="197">
        <f t="shared" si="9"/>
        <v>0</v>
      </c>
    </row>
    <row r="313" spans="1:17">
      <c r="A313" s="195" t="s">
        <v>657</v>
      </c>
      <c r="B313" s="196" t="s">
        <v>658</v>
      </c>
      <c r="C313" s="189">
        <v>1</v>
      </c>
      <c r="D313" s="189" t="s">
        <v>33</v>
      </c>
      <c r="E313" s="73" t="s">
        <v>34</v>
      </c>
      <c r="F313" s="197">
        <f t="shared" si="8"/>
        <v>0</v>
      </c>
      <c r="G313" s="198"/>
      <c r="H313">
        <v>0</v>
      </c>
      <c r="I313" s="46">
        <v>0</v>
      </c>
      <c r="L313" s="195" t="s">
        <v>657</v>
      </c>
      <c r="M313" s="196" t="s">
        <v>658</v>
      </c>
      <c r="N313" s="73">
        <v>1</v>
      </c>
      <c r="O313" s="73" t="s">
        <v>33</v>
      </c>
      <c r="P313" s="73" t="s">
        <v>34</v>
      </c>
      <c r="Q313" s="197">
        <f t="shared" si="9"/>
        <v>0</v>
      </c>
    </row>
    <row r="314" spans="1:17">
      <c r="A314" s="346" t="s">
        <v>659</v>
      </c>
      <c r="B314" s="135" t="s">
        <v>660</v>
      </c>
      <c r="C314" s="189">
        <v>2</v>
      </c>
      <c r="D314" s="189" t="s">
        <v>33</v>
      </c>
      <c r="E314" s="73" t="s">
        <v>34</v>
      </c>
      <c r="F314" s="197">
        <f t="shared" si="8"/>
        <v>0</v>
      </c>
      <c r="G314" s="198"/>
      <c r="H314">
        <v>0</v>
      </c>
      <c r="I314" s="46">
        <v>0</v>
      </c>
      <c r="L314" s="346" t="s">
        <v>659</v>
      </c>
      <c r="M314" s="135" t="s">
        <v>660</v>
      </c>
      <c r="N314" s="73">
        <v>2</v>
      </c>
      <c r="O314" s="73" t="s">
        <v>33</v>
      </c>
      <c r="P314" s="73" t="s">
        <v>34</v>
      </c>
      <c r="Q314" s="197">
        <f t="shared" si="9"/>
        <v>0</v>
      </c>
    </row>
    <row r="315" spans="1:17">
      <c r="A315" s="195" t="s">
        <v>661</v>
      </c>
      <c r="B315" s="196" t="s">
        <v>662</v>
      </c>
      <c r="C315" s="189">
        <v>2</v>
      </c>
      <c r="D315" s="189" t="s">
        <v>39</v>
      </c>
      <c r="E315" s="73" t="s">
        <v>34</v>
      </c>
      <c r="F315" s="197">
        <f t="shared" si="8"/>
        <v>1</v>
      </c>
      <c r="G315" s="198"/>
      <c r="H315">
        <v>0</v>
      </c>
      <c r="I315" s="46">
        <v>0</v>
      </c>
      <c r="L315" s="195" t="s">
        <v>661</v>
      </c>
      <c r="M315" s="196" t="s">
        <v>662</v>
      </c>
      <c r="N315" s="73">
        <v>2</v>
      </c>
      <c r="O315" s="73" t="s">
        <v>39</v>
      </c>
      <c r="P315" s="73" t="s">
        <v>34</v>
      </c>
      <c r="Q315" s="197">
        <f t="shared" si="9"/>
        <v>1</v>
      </c>
    </row>
    <row r="316" spans="1:17">
      <c r="A316" s="195" t="s">
        <v>663</v>
      </c>
      <c r="B316" s="196" t="s">
        <v>664</v>
      </c>
      <c r="C316" s="189">
        <v>1</v>
      </c>
      <c r="D316" s="189" t="s">
        <v>33</v>
      </c>
      <c r="E316" s="73" t="s">
        <v>34</v>
      </c>
      <c r="F316" s="197">
        <f t="shared" si="8"/>
        <v>0</v>
      </c>
      <c r="G316" s="198"/>
      <c r="H316">
        <v>0</v>
      </c>
      <c r="I316" s="46">
        <v>0</v>
      </c>
      <c r="L316" s="195" t="s">
        <v>663</v>
      </c>
      <c r="M316" s="196" t="s">
        <v>664</v>
      </c>
      <c r="N316" s="73">
        <v>1</v>
      </c>
      <c r="O316" s="73" t="s">
        <v>33</v>
      </c>
      <c r="P316" s="73" t="s">
        <v>34</v>
      </c>
      <c r="Q316" s="197">
        <f t="shared" si="9"/>
        <v>0</v>
      </c>
    </row>
    <row r="317" spans="1:17">
      <c r="A317" s="195" t="s">
        <v>665</v>
      </c>
      <c r="B317" s="196" t="s">
        <v>666</v>
      </c>
      <c r="C317" s="189">
        <v>2</v>
      </c>
      <c r="D317" s="189" t="s">
        <v>33</v>
      </c>
      <c r="E317" s="73" t="s">
        <v>34</v>
      </c>
      <c r="F317" s="197">
        <f t="shared" si="8"/>
        <v>0</v>
      </c>
      <c r="G317" s="198"/>
      <c r="H317">
        <v>0</v>
      </c>
      <c r="I317" s="46">
        <v>0</v>
      </c>
      <c r="L317" s="195" t="s">
        <v>665</v>
      </c>
      <c r="M317" s="196" t="s">
        <v>666</v>
      </c>
      <c r="N317" s="73">
        <v>2</v>
      </c>
      <c r="O317" s="73" t="s">
        <v>33</v>
      </c>
      <c r="P317" s="73" t="s">
        <v>34</v>
      </c>
      <c r="Q317" s="197">
        <f t="shared" si="9"/>
        <v>0</v>
      </c>
    </row>
    <row r="318" spans="1:17">
      <c r="A318" s="158" t="s">
        <v>667</v>
      </c>
      <c r="B318" s="135" t="s">
        <v>668</v>
      </c>
      <c r="C318" s="189">
        <v>2</v>
      </c>
      <c r="D318" s="189" t="s">
        <v>33</v>
      </c>
      <c r="E318" s="73" t="s">
        <v>34</v>
      </c>
      <c r="F318" s="197">
        <f t="shared" si="8"/>
        <v>0</v>
      </c>
      <c r="G318" s="198"/>
      <c r="H318">
        <v>0</v>
      </c>
      <c r="I318" s="46">
        <v>0</v>
      </c>
      <c r="L318" s="158" t="s">
        <v>667</v>
      </c>
      <c r="M318" s="135" t="s">
        <v>668</v>
      </c>
      <c r="N318" s="73">
        <v>2</v>
      </c>
      <c r="O318" s="73" t="s">
        <v>33</v>
      </c>
      <c r="P318" s="73" t="s">
        <v>34</v>
      </c>
      <c r="Q318" s="197">
        <f t="shared" si="9"/>
        <v>0</v>
      </c>
    </row>
    <row r="319" spans="1:17">
      <c r="A319" s="195" t="s">
        <v>669</v>
      </c>
      <c r="B319" s="196" t="s">
        <v>670</v>
      </c>
      <c r="C319" s="189">
        <v>2</v>
      </c>
      <c r="D319" s="189" t="s">
        <v>39</v>
      </c>
      <c r="E319" s="73" t="s">
        <v>34</v>
      </c>
      <c r="F319" s="197">
        <f t="shared" si="8"/>
        <v>1</v>
      </c>
      <c r="G319" s="198"/>
      <c r="H319">
        <v>0</v>
      </c>
      <c r="I319" s="46">
        <v>0</v>
      </c>
      <c r="L319" s="195" t="s">
        <v>669</v>
      </c>
      <c r="M319" s="196" t="s">
        <v>670</v>
      </c>
      <c r="N319" s="73">
        <v>2</v>
      </c>
      <c r="O319" s="73" t="s">
        <v>39</v>
      </c>
      <c r="P319" s="73" t="s">
        <v>34</v>
      </c>
      <c r="Q319" s="197">
        <f t="shared" si="9"/>
        <v>1</v>
      </c>
    </row>
    <row r="320" spans="1:17">
      <c r="A320" s="195" t="s">
        <v>671</v>
      </c>
      <c r="B320" s="196" t="s">
        <v>672</v>
      </c>
      <c r="C320" s="189">
        <v>2</v>
      </c>
      <c r="D320" s="189" t="s">
        <v>39</v>
      </c>
      <c r="E320" s="73" t="s">
        <v>34</v>
      </c>
      <c r="F320" s="197">
        <f t="shared" si="8"/>
        <v>1</v>
      </c>
      <c r="G320" s="198"/>
      <c r="H320">
        <v>0</v>
      </c>
      <c r="I320" s="46">
        <v>0</v>
      </c>
      <c r="L320" s="195" t="s">
        <v>671</v>
      </c>
      <c r="M320" s="196" t="s">
        <v>672</v>
      </c>
      <c r="N320" s="73">
        <v>2</v>
      </c>
      <c r="O320" s="73" t="s">
        <v>39</v>
      </c>
      <c r="P320" s="73" t="s">
        <v>34</v>
      </c>
      <c r="Q320" s="197">
        <f t="shared" si="9"/>
        <v>1</v>
      </c>
    </row>
    <row r="321" spans="1:17">
      <c r="A321" s="195" t="s">
        <v>673</v>
      </c>
      <c r="B321" s="196" t="s">
        <v>674</v>
      </c>
      <c r="C321" s="189">
        <v>2</v>
      </c>
      <c r="D321" s="189" t="s">
        <v>39</v>
      </c>
      <c r="E321" s="73" t="s">
        <v>34</v>
      </c>
      <c r="F321" s="197">
        <f t="shared" si="8"/>
        <v>1</v>
      </c>
      <c r="G321" s="198"/>
      <c r="H321">
        <v>0</v>
      </c>
      <c r="I321" s="46">
        <v>0</v>
      </c>
      <c r="L321" s="195" t="s">
        <v>673</v>
      </c>
      <c r="M321" s="196" t="s">
        <v>674</v>
      </c>
      <c r="N321" s="73">
        <v>2</v>
      </c>
      <c r="O321" s="73" t="s">
        <v>39</v>
      </c>
      <c r="P321" s="73" t="s">
        <v>34</v>
      </c>
      <c r="Q321" s="197">
        <f t="shared" si="9"/>
        <v>1</v>
      </c>
    </row>
    <row r="322" spans="1:17">
      <c r="A322" s="195" t="s">
        <v>675</v>
      </c>
      <c r="B322" s="196" t="s">
        <v>676</v>
      </c>
      <c r="C322" s="189">
        <v>2</v>
      </c>
      <c r="D322" s="189" t="s">
        <v>39</v>
      </c>
      <c r="E322" s="73" t="s">
        <v>34</v>
      </c>
      <c r="F322" s="197">
        <f t="shared" ref="F322:F329" si="10">IF(+D322="cash",1,0)</f>
        <v>1</v>
      </c>
      <c r="G322" s="198"/>
      <c r="H322">
        <v>0</v>
      </c>
      <c r="I322" s="46">
        <v>0</v>
      </c>
      <c r="L322" s="195" t="s">
        <v>675</v>
      </c>
      <c r="M322" s="196" t="s">
        <v>676</v>
      </c>
      <c r="N322" s="73">
        <v>2</v>
      </c>
      <c r="O322" s="73" t="s">
        <v>39</v>
      </c>
      <c r="P322" s="73" t="s">
        <v>34</v>
      </c>
      <c r="Q322" s="197">
        <f t="shared" ref="Q322:Q329" si="11">IF(+O322="cash",1,0)</f>
        <v>1</v>
      </c>
    </row>
    <row r="323" spans="1:17">
      <c r="A323" s="195" t="s">
        <v>677</v>
      </c>
      <c r="B323" s="196" t="s">
        <v>678</v>
      </c>
      <c r="C323" s="189">
        <v>2</v>
      </c>
      <c r="D323" s="189" t="s">
        <v>39</v>
      </c>
      <c r="E323" s="73" t="s">
        <v>34</v>
      </c>
      <c r="F323" s="197">
        <f t="shared" si="10"/>
        <v>1</v>
      </c>
      <c r="G323" s="198"/>
      <c r="H323">
        <v>0</v>
      </c>
      <c r="I323" s="46">
        <v>0</v>
      </c>
      <c r="L323" s="195" t="s">
        <v>677</v>
      </c>
      <c r="M323" s="196" t="s">
        <v>678</v>
      </c>
      <c r="N323" s="73">
        <v>2</v>
      </c>
      <c r="O323" s="73" t="s">
        <v>39</v>
      </c>
      <c r="P323" s="73" t="s">
        <v>34</v>
      </c>
      <c r="Q323" s="197">
        <f t="shared" si="11"/>
        <v>1</v>
      </c>
    </row>
    <row r="324" spans="1:17">
      <c r="A324" s="195" t="s">
        <v>679</v>
      </c>
      <c r="B324" s="196" t="s">
        <v>680</v>
      </c>
      <c r="C324" s="189">
        <v>2</v>
      </c>
      <c r="D324" s="189" t="s">
        <v>39</v>
      </c>
      <c r="E324" s="73" t="s">
        <v>34</v>
      </c>
      <c r="F324" s="197">
        <f t="shared" si="10"/>
        <v>1</v>
      </c>
      <c r="G324" s="198"/>
      <c r="H324">
        <v>0</v>
      </c>
      <c r="I324" s="46">
        <v>0</v>
      </c>
      <c r="L324" s="195" t="s">
        <v>679</v>
      </c>
      <c r="M324" s="196" t="s">
        <v>680</v>
      </c>
      <c r="N324" s="73">
        <v>2</v>
      </c>
      <c r="O324" s="73" t="s">
        <v>39</v>
      </c>
      <c r="P324" s="73" t="s">
        <v>34</v>
      </c>
      <c r="Q324" s="197">
        <f t="shared" si="11"/>
        <v>1</v>
      </c>
    </row>
    <row r="325" spans="1:17">
      <c r="A325" s="195" t="s">
        <v>681</v>
      </c>
      <c r="B325" s="196" t="s">
        <v>682</v>
      </c>
      <c r="C325" s="189">
        <v>1</v>
      </c>
      <c r="D325" s="189" t="s">
        <v>33</v>
      </c>
      <c r="E325" s="73" t="s">
        <v>34</v>
      </c>
      <c r="F325" s="197">
        <f t="shared" si="10"/>
        <v>0</v>
      </c>
      <c r="G325" s="198"/>
      <c r="H325">
        <v>0</v>
      </c>
      <c r="I325" s="46">
        <v>0</v>
      </c>
      <c r="L325" s="195" t="s">
        <v>681</v>
      </c>
      <c r="M325" s="196" t="s">
        <v>682</v>
      </c>
      <c r="N325" s="73">
        <v>1</v>
      </c>
      <c r="O325" s="73" t="s">
        <v>33</v>
      </c>
      <c r="P325" s="73" t="s">
        <v>34</v>
      </c>
      <c r="Q325" s="197">
        <f t="shared" si="11"/>
        <v>0</v>
      </c>
    </row>
    <row r="326" spans="1:17">
      <c r="A326" s="203" t="s">
        <v>683</v>
      </c>
      <c r="B326" s="368" t="s">
        <v>684</v>
      </c>
      <c r="C326" s="189">
        <v>2</v>
      </c>
      <c r="D326" s="189" t="s">
        <v>33</v>
      </c>
      <c r="E326" s="73" t="s">
        <v>34</v>
      </c>
      <c r="F326" s="197">
        <f t="shared" si="10"/>
        <v>0</v>
      </c>
      <c r="G326" s="198"/>
      <c r="H326">
        <v>0</v>
      </c>
      <c r="I326" s="46">
        <v>0</v>
      </c>
      <c r="L326" s="203" t="s">
        <v>683</v>
      </c>
      <c r="M326" s="368" t="s">
        <v>684</v>
      </c>
      <c r="N326" s="73">
        <v>2</v>
      </c>
      <c r="O326" s="73" t="s">
        <v>33</v>
      </c>
      <c r="P326" s="73" t="s">
        <v>34</v>
      </c>
      <c r="Q326" s="197">
        <f t="shared" si="11"/>
        <v>0</v>
      </c>
    </row>
    <row r="327" spans="1:17">
      <c r="A327" s="195" t="s">
        <v>685</v>
      </c>
      <c r="B327" s="196" t="s">
        <v>686</v>
      </c>
      <c r="C327" s="189">
        <v>1</v>
      </c>
      <c r="D327" s="189" t="s">
        <v>33</v>
      </c>
      <c r="E327" s="73" t="s">
        <v>34</v>
      </c>
      <c r="F327" s="197">
        <f t="shared" si="10"/>
        <v>0</v>
      </c>
      <c r="G327" s="46"/>
      <c r="H327">
        <v>0</v>
      </c>
      <c r="I327" s="46">
        <v>0</v>
      </c>
      <c r="L327" s="195" t="s">
        <v>685</v>
      </c>
      <c r="M327" s="196" t="s">
        <v>686</v>
      </c>
      <c r="N327" s="73">
        <v>1</v>
      </c>
      <c r="O327" s="73" t="s">
        <v>33</v>
      </c>
      <c r="P327" s="73" t="s">
        <v>34</v>
      </c>
      <c r="Q327" s="197">
        <f t="shared" si="11"/>
        <v>0</v>
      </c>
    </row>
    <row r="328" spans="1:17">
      <c r="A328" s="195" t="s">
        <v>687</v>
      </c>
      <c r="B328" s="196" t="s">
        <v>688</v>
      </c>
      <c r="C328" s="189">
        <v>1</v>
      </c>
      <c r="D328" s="189" t="s">
        <v>33</v>
      </c>
      <c r="E328" s="73" t="s">
        <v>34</v>
      </c>
      <c r="F328" s="197">
        <f t="shared" si="10"/>
        <v>0</v>
      </c>
      <c r="G328" s="46"/>
      <c r="H328">
        <v>0</v>
      </c>
      <c r="I328" s="46">
        <v>0</v>
      </c>
      <c r="L328" s="195" t="s">
        <v>687</v>
      </c>
      <c r="M328" s="196" t="s">
        <v>688</v>
      </c>
      <c r="N328" s="73">
        <v>1</v>
      </c>
      <c r="O328" s="73" t="s">
        <v>33</v>
      </c>
      <c r="P328" s="73" t="s">
        <v>34</v>
      </c>
      <c r="Q328" s="197">
        <f t="shared" si="11"/>
        <v>0</v>
      </c>
    </row>
    <row r="329" spans="1:17">
      <c r="A329" s="195" t="s">
        <v>689</v>
      </c>
      <c r="B329" s="204" t="s">
        <v>690</v>
      </c>
      <c r="C329" s="189">
        <v>2</v>
      </c>
      <c r="D329" s="189" t="s">
        <v>33</v>
      </c>
      <c r="E329" s="73" t="s">
        <v>34</v>
      </c>
      <c r="F329" s="197">
        <f t="shared" si="10"/>
        <v>0</v>
      </c>
      <c r="G329" s="46"/>
      <c r="H329">
        <v>0</v>
      </c>
      <c r="I329" s="46">
        <v>0</v>
      </c>
      <c r="L329" s="195" t="s">
        <v>689</v>
      </c>
      <c r="M329" s="204" t="s">
        <v>690</v>
      </c>
      <c r="N329" s="73">
        <v>2</v>
      </c>
      <c r="O329" s="73" t="s">
        <v>33</v>
      </c>
      <c r="P329" s="73" t="s">
        <v>34</v>
      </c>
      <c r="Q329" s="197">
        <f t="shared" si="11"/>
        <v>0</v>
      </c>
    </row>
    <row r="330" spans="1:17" ht="17.25" customHeight="1">
      <c r="A330" s="207"/>
      <c r="B330" s="46"/>
      <c r="C330" s="73"/>
      <c r="D330" s="135"/>
      <c r="E330" s="135"/>
      <c r="F330" s="46"/>
      <c r="G330" s="46"/>
    </row>
    <row r="331" spans="1:17">
      <c r="A331" s="46"/>
      <c r="B331" s="46"/>
      <c r="C331" s="73"/>
      <c r="D331" s="135"/>
      <c r="E331" s="135"/>
      <c r="F331" s="46"/>
      <c r="G331" s="46"/>
    </row>
    <row r="332" spans="1:17">
      <c r="A332" s="46"/>
      <c r="B332" s="46"/>
      <c r="C332" s="73"/>
      <c r="D332" s="135"/>
      <c r="E332" s="135"/>
      <c r="F332" s="46"/>
      <c r="G332" s="46"/>
    </row>
    <row r="333" spans="1:17">
      <c r="A333" s="46"/>
      <c r="B333" s="46"/>
      <c r="C333" s="73"/>
      <c r="D333" s="135"/>
      <c r="E333" s="135"/>
      <c r="F333" s="46"/>
      <c r="G333" s="46"/>
    </row>
    <row r="334" spans="1:17">
      <c r="C334"/>
      <c r="D334"/>
      <c r="E334"/>
    </row>
    <row r="335" spans="1:17">
      <c r="C335"/>
      <c r="D335"/>
      <c r="E335"/>
    </row>
    <row r="336" spans="1:17">
      <c r="C336"/>
      <c r="D336"/>
      <c r="E336"/>
    </row>
    <row r="337" customFormat="1"/>
    <row r="339" customFormat="1"/>
    <row r="340" customFormat="1"/>
    <row r="341" customFormat="1"/>
    <row r="342" customFormat="1"/>
    <row r="361" spans="7:7">
      <c r="G361" s="130"/>
    </row>
    <row r="362" spans="7:7">
      <c r="G362" s="130"/>
    </row>
    <row r="363" spans="7:7">
      <c r="G363" s="130"/>
    </row>
    <row r="364" spans="7:7">
      <c r="G364" s="130"/>
    </row>
    <row r="365" spans="7:7">
      <c r="G365" s="130"/>
    </row>
    <row r="366" spans="7:7">
      <c r="G366" s="130"/>
    </row>
    <row r="367" spans="7:7">
      <c r="G367" s="130"/>
    </row>
    <row r="368" spans="7:7">
      <c r="G368" s="130"/>
    </row>
    <row r="369" spans="7:7">
      <c r="G369" s="130"/>
    </row>
    <row r="370" spans="7:7">
      <c r="G370" s="130"/>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G24"/>
  <sheetViews>
    <sheetView workbookViewId="0">
      <selection activeCell="A3" sqref="A3"/>
    </sheetView>
  </sheetViews>
  <sheetFormatPr defaultRowHeight="15"/>
  <cols>
    <col min="1" max="1" width="48" bestFit="1" customWidth="1"/>
    <col min="2" max="2" width="12.5703125" bestFit="1" customWidth="1"/>
    <col min="5" max="5" width="15" customWidth="1"/>
  </cols>
  <sheetData>
    <row r="1" spans="1:7">
      <c r="A1" s="437" t="s">
        <v>2764</v>
      </c>
      <c r="B1" s="437"/>
      <c r="C1" s="437"/>
      <c r="D1" s="437"/>
      <c r="E1" s="437"/>
      <c r="F1" s="437"/>
      <c r="G1" s="437"/>
    </row>
    <row r="2" spans="1:7">
      <c r="A2" s="437" t="s">
        <v>2765</v>
      </c>
      <c r="B2" s="437"/>
      <c r="C2" s="437"/>
      <c r="D2" s="437"/>
      <c r="E2" s="437"/>
      <c r="F2" s="437"/>
      <c r="G2" s="437"/>
    </row>
    <row r="3" spans="1:7">
      <c r="A3" s="6" t="s">
        <v>1241</v>
      </c>
    </row>
    <row r="5" spans="1:7">
      <c r="A5" s="10" t="s">
        <v>1232</v>
      </c>
    </row>
    <row r="6" spans="1:7">
      <c r="A6" t="s">
        <v>2766</v>
      </c>
      <c r="B6" s="1">
        <v>0</v>
      </c>
    </row>
    <row r="7" spans="1:7">
      <c r="A7" t="s">
        <v>2767</v>
      </c>
      <c r="B7" s="1">
        <v>0</v>
      </c>
    </row>
    <row r="8" spans="1:7">
      <c r="A8" t="s">
        <v>2768</v>
      </c>
      <c r="B8" s="1">
        <v>0</v>
      </c>
    </row>
    <row r="9" spans="1:7">
      <c r="A9" t="s">
        <v>2769</v>
      </c>
      <c r="B9" s="13">
        <f>SUM(B6:B8)</f>
        <v>0</v>
      </c>
    </row>
    <row r="13" spans="1:7">
      <c r="A13" s="10" t="s">
        <v>2770</v>
      </c>
    </row>
    <row r="14" spans="1:7">
      <c r="A14" t="s">
        <v>2766</v>
      </c>
      <c r="B14" s="1">
        <v>0</v>
      </c>
    </row>
    <row r="15" spans="1:7">
      <c r="A15" t="s">
        <v>2768</v>
      </c>
      <c r="B15" s="1">
        <v>0</v>
      </c>
    </row>
    <row r="16" spans="1:7">
      <c r="A16" t="s">
        <v>2771</v>
      </c>
      <c r="B16" s="13">
        <f>B14+B15</f>
        <v>0</v>
      </c>
    </row>
    <row r="20" spans="1:2">
      <c r="A20" s="10" t="s">
        <v>1233</v>
      </c>
    </row>
    <row r="21" spans="1:2">
      <c r="A21" t="s">
        <v>2766</v>
      </c>
      <c r="B21" s="1">
        <v>0</v>
      </c>
    </row>
    <row r="22" spans="1:2">
      <c r="B22" s="1">
        <v>0</v>
      </c>
    </row>
    <row r="23" spans="1:2">
      <c r="A23" t="s">
        <v>2768</v>
      </c>
      <c r="B23" s="1">
        <v>0</v>
      </c>
    </row>
    <row r="24" spans="1:2">
      <c r="A24" t="s">
        <v>2769</v>
      </c>
      <c r="B24" s="13">
        <f>SUM(B21:B23)</f>
        <v>0</v>
      </c>
    </row>
  </sheetData>
  <mergeCells count="2">
    <mergeCell ref="A1:G1"/>
    <mergeCell ref="A2:G2"/>
  </mergeCells>
  <hyperlinks>
    <hyperlink ref="A3" location="'Fund Balance Summary'!A1" display="(Return to summary sheet)" xr:uid="{00000000-0004-0000-1000-000000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B12"/>
  <sheetViews>
    <sheetView workbookViewId="0">
      <selection activeCell="A3" sqref="A3"/>
    </sheetView>
  </sheetViews>
  <sheetFormatPr defaultRowHeight="15"/>
  <cols>
    <col min="1" max="1" width="25.5703125" bestFit="1" customWidth="1"/>
    <col min="2" max="2" width="12.5703125" bestFit="1" customWidth="1"/>
  </cols>
  <sheetData>
    <row r="1" spans="1:2">
      <c r="A1" s="437" t="s">
        <v>2772</v>
      </c>
      <c r="B1" s="437"/>
    </row>
    <row r="2" spans="1:2">
      <c r="A2" s="437" t="s">
        <v>1232</v>
      </c>
      <c r="B2" s="437"/>
    </row>
    <row r="3" spans="1:2">
      <c r="A3" s="6" t="s">
        <v>1737</v>
      </c>
    </row>
    <row r="5" spans="1:2">
      <c r="A5" s="501"/>
      <c r="B5" s="501"/>
    </row>
    <row r="7" spans="1:2">
      <c r="A7" s="7" t="s">
        <v>694</v>
      </c>
      <c r="B7" s="21">
        <f>SUM(B8:B12)</f>
        <v>0</v>
      </c>
    </row>
    <row r="8" spans="1:2">
      <c r="A8" s="22" t="s">
        <v>2773</v>
      </c>
      <c r="B8" s="1">
        <v>0</v>
      </c>
    </row>
    <row r="9" spans="1:2">
      <c r="A9" s="22" t="s">
        <v>2773</v>
      </c>
      <c r="B9" s="1">
        <v>0</v>
      </c>
    </row>
    <row r="10" spans="1:2">
      <c r="A10" s="22" t="s">
        <v>2773</v>
      </c>
      <c r="B10" s="1">
        <v>0</v>
      </c>
    </row>
    <row r="11" spans="1:2">
      <c r="A11" s="22" t="s">
        <v>2773</v>
      </c>
      <c r="B11" s="1">
        <v>0</v>
      </c>
    </row>
    <row r="12" spans="1:2">
      <c r="A12" s="22" t="s">
        <v>2773</v>
      </c>
      <c r="B12" s="1">
        <v>0</v>
      </c>
    </row>
  </sheetData>
  <mergeCells count="3">
    <mergeCell ref="A1:B1"/>
    <mergeCell ref="A2:B2"/>
    <mergeCell ref="A5:B5"/>
  </mergeCells>
  <hyperlinks>
    <hyperlink ref="A3" location="'Fund Balance Summary'!A1" display="(Return to Summary Sheet)" xr:uid="{00000000-0004-0000-1100-000000000000}"/>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E28"/>
  <sheetViews>
    <sheetView workbookViewId="0">
      <selection sqref="A1:E1"/>
    </sheetView>
  </sheetViews>
  <sheetFormatPr defaultRowHeight="15"/>
  <cols>
    <col min="1" max="1" width="25.5703125" bestFit="1" customWidth="1"/>
    <col min="2" max="2" width="12.85546875" bestFit="1" customWidth="1"/>
    <col min="3" max="5" width="12.5703125" bestFit="1" customWidth="1"/>
  </cols>
  <sheetData>
    <row r="1" spans="1:5">
      <c r="A1" s="437" t="s">
        <v>2774</v>
      </c>
      <c r="B1" s="437"/>
      <c r="C1" s="437"/>
      <c r="D1" s="437"/>
      <c r="E1" s="437"/>
    </row>
    <row r="2" spans="1:5">
      <c r="A2" s="437" t="s">
        <v>2775</v>
      </c>
      <c r="B2" s="437"/>
      <c r="C2" s="437"/>
      <c r="D2" s="437"/>
      <c r="E2" s="437"/>
    </row>
    <row r="3" spans="1:5">
      <c r="A3" s="6" t="s">
        <v>1737</v>
      </c>
    </row>
    <row r="5" spans="1:5">
      <c r="A5" s="502"/>
      <c r="B5" s="502"/>
      <c r="C5" s="502"/>
      <c r="D5" s="502"/>
      <c r="E5" s="502"/>
    </row>
    <row r="7" spans="1:5">
      <c r="B7" t="s">
        <v>1232</v>
      </c>
      <c r="C7" t="s">
        <v>697</v>
      </c>
      <c r="D7" t="s">
        <v>699</v>
      </c>
      <c r="E7" t="s">
        <v>700</v>
      </c>
    </row>
    <row r="8" spans="1:5">
      <c r="A8" t="s">
        <v>694</v>
      </c>
      <c r="B8" s="2">
        <f>SUM(B9:B28)</f>
        <v>0</v>
      </c>
      <c r="C8" s="2">
        <f>SUM(C9:C28)</f>
        <v>0</v>
      </c>
      <c r="D8" s="2">
        <f>SUM(D9:D28)</f>
        <v>0</v>
      </c>
      <c r="E8" s="2">
        <f>SUM(E9:E28)</f>
        <v>0</v>
      </c>
    </row>
    <row r="9" spans="1:5">
      <c r="A9" s="22" t="s">
        <v>2776</v>
      </c>
      <c r="B9" s="1">
        <v>0</v>
      </c>
      <c r="C9" s="1">
        <v>0</v>
      </c>
      <c r="D9" s="1">
        <v>0</v>
      </c>
      <c r="E9" s="1">
        <v>0</v>
      </c>
    </row>
    <row r="10" spans="1:5">
      <c r="A10" s="22" t="s">
        <v>2776</v>
      </c>
      <c r="B10" s="1">
        <v>0</v>
      </c>
      <c r="C10" s="1">
        <v>0</v>
      </c>
      <c r="D10" s="1">
        <v>0</v>
      </c>
      <c r="E10" s="1">
        <v>0</v>
      </c>
    </row>
    <row r="11" spans="1:5">
      <c r="A11" s="22" t="s">
        <v>2776</v>
      </c>
      <c r="B11" s="1">
        <v>0</v>
      </c>
      <c r="C11" s="1">
        <v>0</v>
      </c>
      <c r="D11" s="1">
        <v>0</v>
      </c>
      <c r="E11" s="1">
        <v>0</v>
      </c>
    </row>
    <row r="12" spans="1:5">
      <c r="A12" s="22" t="s">
        <v>2776</v>
      </c>
      <c r="B12" s="1">
        <v>0</v>
      </c>
      <c r="C12" s="1">
        <v>0</v>
      </c>
      <c r="D12" s="1">
        <v>0</v>
      </c>
      <c r="E12" s="1">
        <v>0</v>
      </c>
    </row>
    <row r="13" spans="1:5">
      <c r="A13" s="22" t="s">
        <v>2776</v>
      </c>
      <c r="B13" s="1">
        <v>0</v>
      </c>
      <c r="C13" s="1">
        <v>0</v>
      </c>
      <c r="D13" s="1">
        <v>0</v>
      </c>
      <c r="E13" s="1">
        <v>0</v>
      </c>
    </row>
    <row r="14" spans="1:5">
      <c r="A14" s="22" t="s">
        <v>2776</v>
      </c>
      <c r="B14" s="1">
        <v>0</v>
      </c>
      <c r="C14" s="1">
        <v>0</v>
      </c>
      <c r="D14" s="1">
        <v>0</v>
      </c>
      <c r="E14" s="1">
        <v>0</v>
      </c>
    </row>
    <row r="15" spans="1:5">
      <c r="A15" s="22" t="s">
        <v>2776</v>
      </c>
      <c r="B15" s="1">
        <v>0</v>
      </c>
      <c r="C15" s="1">
        <v>0</v>
      </c>
      <c r="D15" s="1">
        <v>0</v>
      </c>
      <c r="E15" s="1">
        <v>0</v>
      </c>
    </row>
    <row r="16" spans="1:5">
      <c r="A16" s="22" t="s">
        <v>2776</v>
      </c>
      <c r="B16" s="1">
        <v>0</v>
      </c>
      <c r="C16" s="1">
        <v>0</v>
      </c>
      <c r="D16" s="1">
        <v>0</v>
      </c>
      <c r="E16" s="1">
        <v>0</v>
      </c>
    </row>
    <row r="17" spans="1:5">
      <c r="A17" s="22" t="s">
        <v>2776</v>
      </c>
      <c r="B17" s="1">
        <v>0</v>
      </c>
      <c r="C17" s="1">
        <v>0</v>
      </c>
      <c r="D17" s="1">
        <v>0</v>
      </c>
      <c r="E17" s="1">
        <v>0</v>
      </c>
    </row>
    <row r="18" spans="1:5">
      <c r="A18" s="22" t="s">
        <v>2776</v>
      </c>
      <c r="B18" s="1">
        <v>0</v>
      </c>
      <c r="C18" s="1">
        <v>0</v>
      </c>
      <c r="D18" s="1">
        <v>0</v>
      </c>
      <c r="E18" s="1">
        <v>0</v>
      </c>
    </row>
    <row r="19" spans="1:5">
      <c r="A19" s="22" t="s">
        <v>2776</v>
      </c>
      <c r="B19" s="1">
        <v>0</v>
      </c>
      <c r="C19" s="1">
        <v>0</v>
      </c>
      <c r="D19" s="1">
        <v>0</v>
      </c>
      <c r="E19" s="1">
        <v>0</v>
      </c>
    </row>
    <row r="20" spans="1:5">
      <c r="A20" s="22" t="s">
        <v>2776</v>
      </c>
      <c r="B20" s="1">
        <v>0</v>
      </c>
      <c r="C20" s="1">
        <v>0</v>
      </c>
      <c r="D20" s="1">
        <v>0</v>
      </c>
      <c r="E20" s="1">
        <v>0</v>
      </c>
    </row>
    <row r="21" spans="1:5">
      <c r="A21" s="22" t="s">
        <v>2776</v>
      </c>
      <c r="B21" s="1">
        <v>0</v>
      </c>
      <c r="C21" s="1">
        <v>0</v>
      </c>
      <c r="D21" s="1">
        <v>0</v>
      </c>
      <c r="E21" s="1">
        <v>0</v>
      </c>
    </row>
    <row r="22" spans="1:5">
      <c r="A22" s="22" t="s">
        <v>2776</v>
      </c>
      <c r="B22" s="1">
        <v>0</v>
      </c>
      <c r="C22" s="1">
        <v>0</v>
      </c>
      <c r="D22" s="1">
        <v>0</v>
      </c>
      <c r="E22" s="1">
        <v>0</v>
      </c>
    </row>
    <row r="23" spans="1:5">
      <c r="A23" s="22" t="s">
        <v>2776</v>
      </c>
      <c r="B23" s="1">
        <v>0</v>
      </c>
      <c r="C23" s="1">
        <v>0</v>
      </c>
      <c r="D23" s="1">
        <v>0</v>
      </c>
      <c r="E23" s="1">
        <v>0</v>
      </c>
    </row>
    <row r="24" spans="1:5">
      <c r="A24" s="22" t="s">
        <v>2776</v>
      </c>
      <c r="B24" s="1">
        <v>0</v>
      </c>
      <c r="C24" s="1">
        <v>0</v>
      </c>
      <c r="D24" s="1">
        <v>0</v>
      </c>
      <c r="E24" s="1">
        <v>0</v>
      </c>
    </row>
    <row r="25" spans="1:5">
      <c r="A25" s="22" t="s">
        <v>2776</v>
      </c>
      <c r="B25" s="1">
        <v>0</v>
      </c>
      <c r="C25" s="1">
        <v>0</v>
      </c>
      <c r="D25" s="1">
        <v>0</v>
      </c>
      <c r="E25" s="1">
        <v>0</v>
      </c>
    </row>
    <row r="26" spans="1:5">
      <c r="A26" s="22" t="s">
        <v>2776</v>
      </c>
      <c r="B26" s="1">
        <v>0</v>
      </c>
      <c r="C26" s="1">
        <v>0</v>
      </c>
      <c r="D26" s="1">
        <v>0</v>
      </c>
      <c r="E26" s="1">
        <v>0</v>
      </c>
    </row>
    <row r="27" spans="1:5">
      <c r="A27" s="22" t="s">
        <v>2776</v>
      </c>
      <c r="B27" s="1">
        <v>0</v>
      </c>
      <c r="C27" s="1">
        <v>0</v>
      </c>
      <c r="D27" s="1">
        <v>0</v>
      </c>
      <c r="E27" s="1">
        <v>0</v>
      </c>
    </row>
    <row r="28" spans="1:5">
      <c r="A28" s="22" t="s">
        <v>2776</v>
      </c>
      <c r="B28" s="1">
        <v>0</v>
      </c>
      <c r="C28" s="1">
        <v>0</v>
      </c>
      <c r="D28" s="1">
        <v>0</v>
      </c>
      <c r="E28" s="1">
        <v>0</v>
      </c>
    </row>
  </sheetData>
  <mergeCells count="3">
    <mergeCell ref="A1:E1"/>
    <mergeCell ref="A2:E2"/>
    <mergeCell ref="A5:E5"/>
  </mergeCells>
  <hyperlinks>
    <hyperlink ref="A3" location="'Fund Balance Summary'!A1" display="(Return to Summary Sheet)" xr:uid="{00000000-0004-0000-1200-000000000000}"/>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00000"/>
  </sheetPr>
  <dimension ref="A1:B7"/>
  <sheetViews>
    <sheetView workbookViewId="0">
      <selection sqref="A1:B1"/>
    </sheetView>
  </sheetViews>
  <sheetFormatPr defaultRowHeight="15"/>
  <cols>
    <col min="1" max="1" width="27.85546875" bestFit="1" customWidth="1"/>
    <col min="2" max="2" width="21.85546875" customWidth="1"/>
  </cols>
  <sheetData>
    <row r="1" spans="1:2" ht="30.75" customHeight="1">
      <c r="A1" s="503" t="s">
        <v>2777</v>
      </c>
      <c r="B1" s="503"/>
    </row>
    <row r="2" spans="1:2">
      <c r="A2" s="437" t="s">
        <v>1237</v>
      </c>
      <c r="B2" s="437"/>
    </row>
    <row r="3" spans="1:2">
      <c r="A3" s="6" t="s">
        <v>1737</v>
      </c>
    </row>
    <row r="5" spans="1:2">
      <c r="A5" t="s">
        <v>1739</v>
      </c>
      <c r="B5" s="2"/>
    </row>
    <row r="6" spans="1:2">
      <c r="A6" t="s">
        <v>2778</v>
      </c>
      <c r="B6" s="2">
        <v>0</v>
      </c>
    </row>
    <row r="7" spans="1:2">
      <c r="A7" t="s">
        <v>1772</v>
      </c>
      <c r="B7" s="1">
        <f>+B5+B6</f>
        <v>0</v>
      </c>
    </row>
  </sheetData>
  <mergeCells count="2">
    <mergeCell ref="A1:B1"/>
    <mergeCell ref="A2:B2"/>
  </mergeCells>
  <hyperlinks>
    <hyperlink ref="A3" location="'Fund Balance Summary'!A1" display="(Return to Summary Sheet)" xr:uid="{00000000-0004-0000-1300-000000000000}"/>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C11"/>
  <sheetViews>
    <sheetView workbookViewId="0">
      <selection sqref="A1:C1"/>
    </sheetView>
  </sheetViews>
  <sheetFormatPr defaultRowHeight="15"/>
  <cols>
    <col min="1" max="1" width="35.28515625" bestFit="1" customWidth="1"/>
    <col min="2" max="2" width="14.28515625" style="2" bestFit="1" customWidth="1"/>
    <col min="3" max="3" width="15.28515625" style="2" bestFit="1" customWidth="1"/>
  </cols>
  <sheetData>
    <row r="1" spans="1:3">
      <c r="A1" s="437" t="s">
        <v>2779</v>
      </c>
      <c r="B1" s="437"/>
      <c r="C1" s="437"/>
    </row>
    <row r="2" spans="1:3">
      <c r="A2" s="437" t="s">
        <v>1233</v>
      </c>
      <c r="B2" s="437"/>
      <c r="C2" s="437"/>
    </row>
    <row r="3" spans="1:3">
      <c r="A3" s="6" t="s">
        <v>1241</v>
      </c>
    </row>
    <row r="5" spans="1:3">
      <c r="A5" t="s">
        <v>1739</v>
      </c>
      <c r="C5" s="1">
        <v>0</v>
      </c>
    </row>
    <row r="6" spans="1:3">
      <c r="A6" t="s">
        <v>2780</v>
      </c>
    </row>
    <row r="7" spans="1:3">
      <c r="A7" t="s">
        <v>2781</v>
      </c>
      <c r="B7" s="1">
        <v>0</v>
      </c>
    </row>
    <row r="8" spans="1:3">
      <c r="A8" t="s">
        <v>2782</v>
      </c>
      <c r="B8" s="1">
        <v>0</v>
      </c>
    </row>
    <row r="9" spans="1:3">
      <c r="A9" t="s">
        <v>2783</v>
      </c>
      <c r="C9" s="2">
        <f>+B7+B8</f>
        <v>0</v>
      </c>
    </row>
    <row r="10" spans="1:3">
      <c r="A10" t="s">
        <v>2784</v>
      </c>
      <c r="C10" s="1">
        <v>0</v>
      </c>
    </row>
    <row r="11" spans="1:3" ht="17.25">
      <c r="A11" t="s">
        <v>1772</v>
      </c>
      <c r="C11" s="8">
        <f>+C5+C9-C10</f>
        <v>0</v>
      </c>
    </row>
  </sheetData>
  <mergeCells count="2">
    <mergeCell ref="A1:C1"/>
    <mergeCell ref="A2:C2"/>
  </mergeCells>
  <hyperlinks>
    <hyperlink ref="A3" location="'Fund Balance Summary'!A1" display="(Return to summary sheet)" xr:uid="{00000000-0004-0000-1400-00000000000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C11"/>
  <sheetViews>
    <sheetView workbookViewId="0">
      <selection sqref="A1:C1"/>
    </sheetView>
  </sheetViews>
  <sheetFormatPr defaultRowHeight="15"/>
  <cols>
    <col min="1" max="1" width="35.28515625" bestFit="1" customWidth="1"/>
    <col min="2" max="2" width="14.28515625" style="2" bestFit="1" customWidth="1"/>
    <col min="3" max="3" width="15.28515625" style="2" bestFit="1" customWidth="1"/>
  </cols>
  <sheetData>
    <row r="1" spans="1:3">
      <c r="A1" s="437" t="s">
        <v>2785</v>
      </c>
      <c r="B1" s="437"/>
      <c r="C1" s="437"/>
    </row>
    <row r="2" spans="1:3">
      <c r="A2" s="437" t="s">
        <v>1233</v>
      </c>
      <c r="B2" s="437"/>
      <c r="C2" s="437"/>
    </row>
    <row r="3" spans="1:3">
      <c r="A3" s="6" t="s">
        <v>1241</v>
      </c>
    </row>
    <row r="5" spans="1:3">
      <c r="A5" t="s">
        <v>1739</v>
      </c>
      <c r="C5" s="1">
        <v>0</v>
      </c>
    </row>
    <row r="6" spans="1:3">
      <c r="A6" t="s">
        <v>2780</v>
      </c>
    </row>
    <row r="7" spans="1:3">
      <c r="A7" t="s">
        <v>2786</v>
      </c>
      <c r="B7" s="1">
        <v>0</v>
      </c>
    </row>
    <row r="8" spans="1:3">
      <c r="A8" t="s">
        <v>2787</v>
      </c>
      <c r="B8" s="1">
        <v>0</v>
      </c>
    </row>
    <row r="9" spans="1:3">
      <c r="A9" t="s">
        <v>2783</v>
      </c>
      <c r="C9" s="2">
        <f>+B7+B8</f>
        <v>0</v>
      </c>
    </row>
    <row r="10" spans="1:3">
      <c r="A10" t="s">
        <v>2788</v>
      </c>
      <c r="C10" s="1">
        <v>0</v>
      </c>
    </row>
    <row r="11" spans="1:3" ht="17.25">
      <c r="A11" t="s">
        <v>1772</v>
      </c>
      <c r="C11" s="8">
        <f>+C5+C9-C10</f>
        <v>0</v>
      </c>
    </row>
  </sheetData>
  <mergeCells count="2">
    <mergeCell ref="A1:C1"/>
    <mergeCell ref="A2:C2"/>
  </mergeCells>
  <hyperlinks>
    <hyperlink ref="A3" location="'Fund Balance Summary'!A1" display="(Return to summary sheet)" xr:uid="{00000000-0004-0000-1500-000000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C11"/>
  <sheetViews>
    <sheetView workbookViewId="0">
      <selection sqref="A1:C1"/>
    </sheetView>
  </sheetViews>
  <sheetFormatPr defaultRowHeight="15"/>
  <cols>
    <col min="1" max="1" width="35.28515625" bestFit="1" customWidth="1"/>
    <col min="2" max="2" width="14.28515625" style="2" bestFit="1" customWidth="1"/>
    <col min="3" max="3" width="15.28515625" style="2" bestFit="1" customWidth="1"/>
  </cols>
  <sheetData>
    <row r="1" spans="1:3">
      <c r="A1" s="437" t="s">
        <v>2789</v>
      </c>
      <c r="B1" s="437"/>
      <c r="C1" s="437"/>
    </row>
    <row r="2" spans="1:3">
      <c r="A2" s="437" t="s">
        <v>1233</v>
      </c>
      <c r="B2" s="437"/>
      <c r="C2" s="437"/>
    </row>
    <row r="3" spans="1:3">
      <c r="A3" s="6" t="s">
        <v>1241</v>
      </c>
    </row>
    <row r="5" spans="1:3">
      <c r="A5" t="s">
        <v>1739</v>
      </c>
      <c r="C5" s="1">
        <v>0</v>
      </c>
    </row>
    <row r="6" spans="1:3">
      <c r="A6" t="s">
        <v>2780</v>
      </c>
    </row>
    <row r="7" spans="1:3">
      <c r="A7" t="s">
        <v>2790</v>
      </c>
      <c r="B7" s="1">
        <v>0</v>
      </c>
    </row>
    <row r="8" spans="1:3">
      <c r="A8" t="s">
        <v>2791</v>
      </c>
      <c r="B8" s="1">
        <v>0</v>
      </c>
    </row>
    <row r="9" spans="1:3">
      <c r="A9" t="s">
        <v>2783</v>
      </c>
      <c r="C9" s="2">
        <f>+B7+B8</f>
        <v>0</v>
      </c>
    </row>
    <row r="10" spans="1:3">
      <c r="A10" t="s">
        <v>2792</v>
      </c>
      <c r="C10" s="1">
        <v>0</v>
      </c>
    </row>
    <row r="11" spans="1:3" ht="17.25">
      <c r="A11" t="s">
        <v>1772</v>
      </c>
      <c r="C11" s="8">
        <f>+C5+C9-C10</f>
        <v>0</v>
      </c>
    </row>
  </sheetData>
  <mergeCells count="2">
    <mergeCell ref="A1:C1"/>
    <mergeCell ref="A2:C2"/>
  </mergeCells>
  <hyperlinks>
    <hyperlink ref="A3" location="'Fund Balance Summary'!A1" display="(Return to summary sheet)" xr:uid="{00000000-0004-0000-1600-000000000000}"/>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C11"/>
  <sheetViews>
    <sheetView workbookViewId="0">
      <selection sqref="A1:C1"/>
    </sheetView>
  </sheetViews>
  <sheetFormatPr defaultRowHeight="15"/>
  <cols>
    <col min="1" max="1" width="35.28515625" bestFit="1" customWidth="1"/>
    <col min="2" max="2" width="14.28515625" style="2" bestFit="1" customWidth="1"/>
    <col min="3" max="3" width="15.28515625" style="2" bestFit="1" customWidth="1"/>
  </cols>
  <sheetData>
    <row r="1" spans="1:3">
      <c r="A1" s="437" t="s">
        <v>2793</v>
      </c>
      <c r="B1" s="437"/>
      <c r="C1" s="437"/>
    </row>
    <row r="2" spans="1:3">
      <c r="A2" s="437" t="s">
        <v>1233</v>
      </c>
      <c r="B2" s="437"/>
      <c r="C2" s="437"/>
    </row>
    <row r="3" spans="1:3">
      <c r="A3" s="6" t="s">
        <v>1241</v>
      </c>
    </row>
    <row r="5" spans="1:3">
      <c r="A5" t="s">
        <v>1739</v>
      </c>
      <c r="C5" s="1">
        <v>0</v>
      </c>
    </row>
    <row r="6" spans="1:3">
      <c r="A6" t="s">
        <v>2780</v>
      </c>
    </row>
    <row r="7" spans="1:3">
      <c r="A7" t="s">
        <v>2794</v>
      </c>
      <c r="B7" s="1">
        <v>0</v>
      </c>
    </row>
    <row r="8" spans="1:3">
      <c r="A8" t="s">
        <v>2795</v>
      </c>
      <c r="B8" s="1">
        <v>0</v>
      </c>
    </row>
    <row r="9" spans="1:3">
      <c r="A9" t="s">
        <v>2783</v>
      </c>
      <c r="C9" s="2">
        <f>+B7+B8</f>
        <v>0</v>
      </c>
    </row>
    <row r="10" spans="1:3">
      <c r="A10" t="s">
        <v>2796</v>
      </c>
      <c r="C10" s="1">
        <v>0</v>
      </c>
    </row>
    <row r="11" spans="1:3" ht="17.25">
      <c r="A11" t="s">
        <v>1772</v>
      </c>
      <c r="C11" s="8">
        <f>+C5+C9-C10</f>
        <v>0</v>
      </c>
    </row>
  </sheetData>
  <mergeCells count="2">
    <mergeCell ref="A1:C1"/>
    <mergeCell ref="A2:C2"/>
  </mergeCells>
  <hyperlinks>
    <hyperlink ref="A3" location="'Fund Balance Summary'!A1" display="(Return to summary sheet)" xr:uid="{00000000-0004-0000-1700-000000000000}"/>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C11"/>
  <sheetViews>
    <sheetView workbookViewId="0">
      <selection sqref="A1:C1"/>
    </sheetView>
  </sheetViews>
  <sheetFormatPr defaultRowHeight="15"/>
  <cols>
    <col min="1" max="1" width="35.28515625" bestFit="1" customWidth="1"/>
    <col min="2" max="2" width="14.28515625" style="2" bestFit="1" customWidth="1"/>
    <col min="3" max="3" width="15.28515625" style="2" bestFit="1" customWidth="1"/>
  </cols>
  <sheetData>
    <row r="1" spans="1:3">
      <c r="A1" s="437" t="s">
        <v>2797</v>
      </c>
      <c r="B1" s="437"/>
      <c r="C1" s="437"/>
    </row>
    <row r="2" spans="1:3">
      <c r="A2" s="437" t="s">
        <v>1233</v>
      </c>
      <c r="B2" s="437"/>
      <c r="C2" s="437"/>
    </row>
    <row r="3" spans="1:3">
      <c r="A3" s="6" t="s">
        <v>1241</v>
      </c>
    </row>
    <row r="5" spans="1:3">
      <c r="A5" t="s">
        <v>1739</v>
      </c>
      <c r="C5" s="1">
        <v>0</v>
      </c>
    </row>
    <row r="6" spans="1:3">
      <c r="A6" t="s">
        <v>2780</v>
      </c>
    </row>
    <row r="7" spans="1:3">
      <c r="A7" t="s">
        <v>2798</v>
      </c>
      <c r="B7" s="1"/>
    </row>
    <row r="8" spans="1:3">
      <c r="A8" t="s">
        <v>2799</v>
      </c>
      <c r="B8" s="1">
        <v>0</v>
      </c>
    </row>
    <row r="9" spans="1:3">
      <c r="A9" t="s">
        <v>2783</v>
      </c>
      <c r="C9" s="2">
        <f>+B7+B8</f>
        <v>0</v>
      </c>
    </row>
    <row r="10" spans="1:3">
      <c r="A10" t="s">
        <v>2800</v>
      </c>
      <c r="C10" s="1">
        <v>0</v>
      </c>
    </row>
    <row r="11" spans="1:3" ht="17.25">
      <c r="A11" t="s">
        <v>1772</v>
      </c>
      <c r="C11" s="8">
        <f>+C5+C9-C10</f>
        <v>0</v>
      </c>
    </row>
  </sheetData>
  <mergeCells count="2">
    <mergeCell ref="A1:C1"/>
    <mergeCell ref="A2:C2"/>
  </mergeCells>
  <hyperlinks>
    <hyperlink ref="A3" location="'Fund Balance Summary'!A1" display="(Return to summary sheet)" xr:uid="{00000000-0004-0000-1800-000000000000}"/>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C11"/>
  <sheetViews>
    <sheetView workbookViewId="0">
      <selection sqref="A1:C1"/>
    </sheetView>
  </sheetViews>
  <sheetFormatPr defaultRowHeight="15"/>
  <cols>
    <col min="1" max="1" width="35.28515625" bestFit="1" customWidth="1"/>
    <col min="2" max="2" width="14.28515625" style="2" bestFit="1" customWidth="1"/>
    <col min="3" max="3" width="15.28515625" style="2" bestFit="1" customWidth="1"/>
  </cols>
  <sheetData>
    <row r="1" spans="1:3">
      <c r="A1" s="437" t="s">
        <v>2801</v>
      </c>
      <c r="B1" s="437"/>
      <c r="C1" s="437"/>
    </row>
    <row r="2" spans="1:3">
      <c r="A2" s="437" t="s">
        <v>1233</v>
      </c>
      <c r="B2" s="437"/>
      <c r="C2" s="437"/>
    </row>
    <row r="3" spans="1:3">
      <c r="A3" s="6" t="s">
        <v>1241</v>
      </c>
    </row>
    <row r="5" spans="1:3">
      <c r="A5" t="s">
        <v>1739</v>
      </c>
      <c r="C5" s="1">
        <v>0</v>
      </c>
    </row>
    <row r="6" spans="1:3">
      <c r="A6" t="s">
        <v>2780</v>
      </c>
    </row>
    <row r="7" spans="1:3">
      <c r="A7" t="s">
        <v>2802</v>
      </c>
      <c r="B7" s="1">
        <v>0</v>
      </c>
    </row>
    <row r="8" spans="1:3">
      <c r="A8" t="s">
        <v>2803</v>
      </c>
      <c r="B8" s="1">
        <v>0</v>
      </c>
    </row>
    <row r="9" spans="1:3">
      <c r="A9" t="s">
        <v>2783</v>
      </c>
      <c r="C9" s="2">
        <f>+B7+B8</f>
        <v>0</v>
      </c>
    </row>
    <row r="10" spans="1:3">
      <c r="A10" t="s">
        <v>2804</v>
      </c>
      <c r="C10" s="1">
        <v>0</v>
      </c>
    </row>
    <row r="11" spans="1:3" ht="17.25">
      <c r="A11" t="s">
        <v>1772</v>
      </c>
      <c r="C11" s="8">
        <f>+C5+C9-C10</f>
        <v>0</v>
      </c>
    </row>
  </sheetData>
  <mergeCells count="2">
    <mergeCell ref="A1:C1"/>
    <mergeCell ref="A2:C2"/>
  </mergeCells>
  <hyperlinks>
    <hyperlink ref="A3" location="'Fund Balance Summary'!A1" display="(Return to summary sheet)" xr:uid="{00000000-0004-0000-19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S59"/>
  <sheetViews>
    <sheetView tabSelected="1" zoomScale="84" zoomScaleNormal="84" workbookViewId="0">
      <pane ySplit="4" topLeftCell="A5" activePane="bottomLeft" state="frozen"/>
      <selection pane="bottomLeft" activeCell="A3" sqref="A3"/>
    </sheetView>
  </sheetViews>
  <sheetFormatPr defaultRowHeight="15"/>
  <cols>
    <col min="1" max="1" width="47.5703125" bestFit="1" customWidth="1"/>
    <col min="2" max="2" width="18.140625" bestFit="1" customWidth="1"/>
    <col min="3" max="3" width="15.85546875" customWidth="1"/>
    <col min="4" max="4" width="15.42578125" bestFit="1" customWidth="1"/>
    <col min="5" max="5" width="16.42578125" bestFit="1" customWidth="1"/>
    <col min="6" max="6" width="15.42578125" bestFit="1" customWidth="1"/>
    <col min="7" max="7" width="11.7109375" bestFit="1" customWidth="1"/>
    <col min="8" max="11" width="2.28515625" customWidth="1"/>
    <col min="12" max="15" width="15.28515625" customWidth="1"/>
    <col min="16" max="16" width="2" customWidth="1"/>
    <col min="17" max="17" width="0.42578125" customWidth="1"/>
    <col min="18" max="18" width="24.42578125" customWidth="1"/>
    <col min="19" max="19" width="46.85546875" customWidth="1"/>
    <col min="20" max="20" width="5.42578125" customWidth="1"/>
    <col min="21" max="21" width="7" customWidth="1"/>
    <col min="22" max="22" width="4.5703125" customWidth="1"/>
    <col min="23" max="25" width="3.85546875" customWidth="1"/>
  </cols>
  <sheetData>
    <row r="1" spans="1:19" ht="18.75">
      <c r="A1" s="183" t="s">
        <v>25</v>
      </c>
      <c r="B1" s="182" t="str">
        <f>INDEX(CCDDD!$A$2:$B$332,MATCH(A2,CCDDD!$B$2:$B$332,0),1)</f>
        <v>14005</v>
      </c>
      <c r="C1" s="92"/>
      <c r="D1" s="92"/>
      <c r="E1" s="92"/>
      <c r="F1" s="92"/>
      <c r="G1" s="92"/>
      <c r="L1" s="429" t="s">
        <v>691</v>
      </c>
      <c r="M1" s="430"/>
      <c r="N1" s="430"/>
      <c r="O1" s="431"/>
    </row>
    <row r="2" spans="1:19" ht="26.25" customHeight="1" thickBot="1">
      <c r="A2" s="426" t="s">
        <v>32</v>
      </c>
      <c r="B2" s="426"/>
      <c r="L2" s="432" t="s">
        <v>692</v>
      </c>
      <c r="M2" s="433"/>
      <c r="N2" s="433"/>
      <c r="O2" s="434"/>
    </row>
    <row r="3" spans="1:19" ht="19.5" thickBot="1">
      <c r="A3" s="92"/>
      <c r="B3" s="92"/>
      <c r="C3" s="92"/>
      <c r="D3" s="92"/>
      <c r="E3" s="92"/>
      <c r="F3" s="92"/>
      <c r="G3" s="92"/>
      <c r="L3" s="427" t="s">
        <v>693</v>
      </c>
      <c r="M3" s="428"/>
      <c r="N3" s="136" t="s">
        <v>694</v>
      </c>
      <c r="O3" s="435" t="s">
        <v>695</v>
      </c>
    </row>
    <row r="4" spans="1:19" ht="30.75" customHeight="1" thickBot="1">
      <c r="A4" s="188" t="s">
        <v>692</v>
      </c>
      <c r="B4" s="187" t="s">
        <v>696</v>
      </c>
      <c r="C4" s="187" t="s">
        <v>697</v>
      </c>
      <c r="D4" s="187" t="s">
        <v>698</v>
      </c>
      <c r="E4" s="187" t="s">
        <v>699</v>
      </c>
      <c r="F4" s="187" t="s">
        <v>700</v>
      </c>
      <c r="G4" s="187" t="s">
        <v>701</v>
      </c>
      <c r="L4" s="185">
        <v>10</v>
      </c>
      <c r="M4" s="186">
        <v>11</v>
      </c>
      <c r="N4" s="137" t="s">
        <v>696</v>
      </c>
      <c r="O4" s="436"/>
    </row>
    <row r="5" spans="1:19" ht="15.75">
      <c r="A5" s="404" t="s">
        <v>702</v>
      </c>
      <c r="B5" s="93">
        <v>0</v>
      </c>
      <c r="C5" s="93">
        <v>0</v>
      </c>
      <c r="D5" s="93">
        <v>0</v>
      </c>
      <c r="E5" s="93">
        <v>0</v>
      </c>
      <c r="F5" s="93">
        <v>0</v>
      </c>
      <c r="G5" s="93">
        <v>0</v>
      </c>
      <c r="L5" s="138"/>
      <c r="M5" s="139"/>
      <c r="N5" s="139"/>
      <c r="O5" s="140"/>
    </row>
    <row r="6" spans="1:19" ht="15.75" customHeight="1">
      <c r="A6" s="404" t="s">
        <v>703</v>
      </c>
      <c r="B6" s="93">
        <v>0</v>
      </c>
      <c r="C6" s="93">
        <v>0</v>
      </c>
      <c r="D6" s="93">
        <v>0</v>
      </c>
      <c r="E6" s="93">
        <v>0</v>
      </c>
      <c r="F6" s="93">
        <v>0</v>
      </c>
      <c r="G6" s="93">
        <v>0</v>
      </c>
      <c r="L6" s="141"/>
      <c r="M6" s="142"/>
      <c r="N6" s="142"/>
      <c r="O6" s="143"/>
      <c r="R6" s="420" t="s">
        <v>704</v>
      </c>
      <c r="S6" s="421"/>
    </row>
    <row r="7" spans="1:19" ht="15.75" customHeight="1">
      <c r="A7" s="404" t="s">
        <v>705</v>
      </c>
      <c r="B7" s="94">
        <f>B5-B6</f>
        <v>0</v>
      </c>
      <c r="C7" s="94">
        <f>C5-C6</f>
        <v>0</v>
      </c>
      <c r="D7" s="94">
        <f>D5-D6</f>
        <v>0</v>
      </c>
      <c r="E7" s="94">
        <f t="shared" ref="E7:G7" si="0">E5-E6</f>
        <v>0</v>
      </c>
      <c r="F7" s="94">
        <f t="shared" si="0"/>
        <v>0</v>
      </c>
      <c r="G7" s="94">
        <f t="shared" si="0"/>
        <v>0</v>
      </c>
      <c r="L7" s="144"/>
      <c r="M7" s="145"/>
      <c r="N7" s="142"/>
      <c r="O7" s="143"/>
      <c r="R7" s="422"/>
      <c r="S7" s="423"/>
    </row>
    <row r="8" spans="1:19" ht="15.75" customHeight="1">
      <c r="A8" s="92"/>
      <c r="B8" s="95"/>
      <c r="C8" s="92"/>
      <c r="D8" s="92"/>
      <c r="E8" s="92"/>
      <c r="F8" s="92"/>
      <c r="G8" s="92"/>
      <c r="L8" s="141"/>
      <c r="M8" s="142"/>
      <c r="N8" s="142"/>
      <c r="O8" s="143"/>
      <c r="R8" s="422"/>
      <c r="S8" s="423"/>
    </row>
    <row r="9" spans="1:19" ht="15.75" customHeight="1">
      <c r="A9" s="92" t="s">
        <v>706</v>
      </c>
      <c r="B9" s="96">
        <f>B10+B11</f>
        <v>0</v>
      </c>
      <c r="C9" s="96">
        <f>C10+C11</f>
        <v>0</v>
      </c>
      <c r="D9" s="96">
        <f>D10+D11</f>
        <v>0</v>
      </c>
      <c r="E9" s="96">
        <f t="shared" ref="E9:G9" si="1">E10+E11</f>
        <v>0</v>
      </c>
      <c r="F9" s="96">
        <f t="shared" si="1"/>
        <v>0</v>
      </c>
      <c r="G9" s="96">
        <f t="shared" si="1"/>
        <v>0</v>
      </c>
      <c r="L9" s="146">
        <f t="shared" ref="L9:N9" si="2">L10+L11</f>
        <v>0</v>
      </c>
      <c r="M9" s="147">
        <f t="shared" si="2"/>
        <v>0</v>
      </c>
      <c r="N9" s="148">
        <f t="shared" si="2"/>
        <v>0</v>
      </c>
      <c r="O9" s="169">
        <f>+B9-N9</f>
        <v>0</v>
      </c>
      <c r="R9" s="422"/>
      <c r="S9" s="423"/>
    </row>
    <row r="10" spans="1:19" ht="15.75" customHeight="1">
      <c r="A10" s="97" t="s">
        <v>707</v>
      </c>
      <c r="B10" s="96">
        <f>'GL 840 Nonspendable'!B9</f>
        <v>0</v>
      </c>
      <c r="C10" s="96">
        <f>'GL 840 Nonspendable'!B16</f>
        <v>0</v>
      </c>
      <c r="D10" s="95"/>
      <c r="E10" s="96">
        <f>'GL 840 Nonspendable'!B24</f>
        <v>0</v>
      </c>
      <c r="F10" s="95"/>
      <c r="G10" s="95"/>
      <c r="L10" s="149">
        <v>0</v>
      </c>
      <c r="M10" s="150">
        <v>0</v>
      </c>
      <c r="N10" s="148">
        <f>+L10+M10</f>
        <v>0</v>
      </c>
      <c r="O10" s="169">
        <f>+B10-N10</f>
        <v>0</v>
      </c>
      <c r="R10" s="422"/>
      <c r="S10" s="423"/>
    </row>
    <row r="11" spans="1:19" ht="15.75" customHeight="1">
      <c r="A11" s="97" t="s">
        <v>708</v>
      </c>
      <c r="B11" s="98"/>
      <c r="C11" s="98"/>
      <c r="D11" s="98"/>
      <c r="E11" s="98"/>
      <c r="F11" s="98"/>
      <c r="G11" s="99">
        <f>'GL 855 Nonspendable'!B7</f>
        <v>0</v>
      </c>
      <c r="L11" s="141"/>
      <c r="M11" s="142"/>
      <c r="N11" s="142"/>
      <c r="O11" s="143"/>
      <c r="R11" s="422"/>
      <c r="S11" s="423"/>
    </row>
    <row r="12" spans="1:19" ht="15.75" customHeight="1">
      <c r="A12" s="92"/>
      <c r="B12" s="95"/>
      <c r="C12" s="95"/>
      <c r="D12" s="95"/>
      <c r="E12" s="95"/>
      <c r="F12" s="95"/>
      <c r="G12" s="95"/>
      <c r="L12" s="141"/>
      <c r="M12" s="142"/>
      <c r="N12" s="142"/>
      <c r="O12" s="143"/>
      <c r="R12" s="422"/>
      <c r="S12" s="423"/>
    </row>
    <row r="13" spans="1:19" ht="15.75" customHeight="1">
      <c r="A13" s="92" t="s">
        <v>709</v>
      </c>
      <c r="B13" s="96">
        <f>SUM(B14:B31)</f>
        <v>1520161.4750000001</v>
      </c>
      <c r="C13" s="96">
        <f>SUM(C14:C31)</f>
        <v>0</v>
      </c>
      <c r="D13" s="96">
        <f>SUM(D15:D31)</f>
        <v>0</v>
      </c>
      <c r="E13" s="96">
        <f>SUM(E14:E31)</f>
        <v>0</v>
      </c>
      <c r="F13" s="96">
        <f>SUM(F16,F21:F22,F24)</f>
        <v>0</v>
      </c>
      <c r="G13" s="96">
        <f>SUM(G14:G31)</f>
        <v>0</v>
      </c>
      <c r="L13" s="146">
        <f t="shared" ref="L13:N13" si="3">SUM(L14:L31)</f>
        <v>0</v>
      </c>
      <c r="M13" s="147">
        <f t="shared" si="3"/>
        <v>0</v>
      </c>
      <c r="N13" s="148">
        <f t="shared" si="3"/>
        <v>0</v>
      </c>
      <c r="O13" s="169">
        <f>+B13-N13</f>
        <v>1520161.4750000001</v>
      </c>
      <c r="R13" s="422"/>
      <c r="S13" s="423"/>
    </row>
    <row r="14" spans="1:19" ht="15.75" customHeight="1">
      <c r="A14" s="97" t="s">
        <v>710</v>
      </c>
      <c r="B14" s="96">
        <f>'GL 810 Restricted'!B5</f>
        <v>0</v>
      </c>
      <c r="C14" s="96">
        <f>'GL 810 Restricted'!E5</f>
        <v>0</v>
      </c>
      <c r="D14" s="92"/>
      <c r="E14" s="96">
        <f>'GL 810 Restricted'!C5</f>
        <v>0</v>
      </c>
      <c r="F14" s="92"/>
      <c r="G14" s="96">
        <f>'GL 810 Restricted'!G5</f>
        <v>0</v>
      </c>
      <c r="L14" s="149">
        <v>0</v>
      </c>
      <c r="M14" s="150">
        <v>0</v>
      </c>
      <c r="N14" s="148">
        <f t="shared" ref="N14:N15" si="4">+L14+M14</f>
        <v>0</v>
      </c>
      <c r="O14" s="169">
        <f t="shared" ref="O14:O15" si="5">+B14-N14</f>
        <v>0</v>
      </c>
      <c r="R14" s="422"/>
      <c r="S14" s="423"/>
    </row>
    <row r="15" spans="1:19" ht="15.75" customHeight="1">
      <c r="A15" s="97" t="s">
        <v>711</v>
      </c>
      <c r="B15" s="96">
        <f>IF(VLOOKUP(B1,CCDDD!$A$2:$D$332,4,FALSE)="Cash",'GL 815 Restricted'!$C$14,0)</f>
        <v>0</v>
      </c>
      <c r="C15" s="95"/>
      <c r="D15" s="95"/>
      <c r="E15" s="95"/>
      <c r="F15" s="95"/>
      <c r="G15" s="95"/>
      <c r="L15" s="149">
        <v>0</v>
      </c>
      <c r="M15" s="150">
        <v>0</v>
      </c>
      <c r="N15" s="148">
        <f t="shared" si="4"/>
        <v>0</v>
      </c>
      <c r="O15" s="169">
        <f t="shared" si="5"/>
        <v>0</v>
      </c>
      <c r="R15" s="422"/>
      <c r="S15" s="423"/>
    </row>
    <row r="16" spans="1:19" ht="15.75" customHeight="1">
      <c r="A16" s="100" t="s">
        <v>712</v>
      </c>
      <c r="B16" s="101"/>
      <c r="C16" s="102">
        <f>C7-C9-C14-C24</f>
        <v>0</v>
      </c>
      <c r="D16" s="95"/>
      <c r="E16" s="95"/>
      <c r="F16" s="103">
        <f>IF(F7-F9-F33-SUM(F21:F24)&gt;=0,F7-F9-F33-SUM(F21:F24),0)</f>
        <v>0</v>
      </c>
      <c r="G16" s="95"/>
      <c r="L16" s="141"/>
      <c r="M16" s="142"/>
      <c r="N16" s="142"/>
      <c r="O16" s="143"/>
      <c r="R16" s="422"/>
      <c r="S16" s="423"/>
    </row>
    <row r="17" spans="1:19" ht="15" customHeight="1">
      <c r="A17" s="97" t="s">
        <v>713</v>
      </c>
      <c r="B17" s="96">
        <f>'GL 821 Restricted'!C171</f>
        <v>1413007.7550000001</v>
      </c>
      <c r="C17" s="95"/>
      <c r="D17" s="95"/>
      <c r="E17" s="95"/>
      <c r="F17" s="95"/>
      <c r="G17" s="95"/>
      <c r="L17" s="149">
        <v>0</v>
      </c>
      <c r="M17" s="150">
        <v>0</v>
      </c>
      <c r="N17" s="148">
        <f t="shared" ref="N17:N24" si="6">+L17+M17</f>
        <v>0</v>
      </c>
      <c r="O17" s="169">
        <f t="shared" ref="O17:O24" si="7">+B17-N17</f>
        <v>1413007.7550000001</v>
      </c>
      <c r="R17" s="422"/>
      <c r="S17" s="423"/>
    </row>
    <row r="18" spans="1:19" ht="15" hidden="1" customHeight="1">
      <c r="A18" s="97" t="s">
        <v>714</v>
      </c>
      <c r="B18" s="96">
        <f>'GL 823 Restricted'!C13</f>
        <v>0</v>
      </c>
      <c r="C18" s="95"/>
      <c r="D18" s="95"/>
      <c r="E18" s="95"/>
      <c r="F18" s="95"/>
      <c r="G18" s="95"/>
      <c r="L18" s="149"/>
      <c r="M18" s="150"/>
      <c r="N18" s="148"/>
      <c r="O18" s="169"/>
      <c r="R18" s="422"/>
      <c r="S18" s="423"/>
    </row>
    <row r="19" spans="1:19" ht="15.6" customHeight="1">
      <c r="A19" s="97" t="s">
        <v>715</v>
      </c>
      <c r="B19" s="96">
        <f>'GL 825 Restricted'!C39</f>
        <v>0</v>
      </c>
      <c r="C19" s="95"/>
      <c r="D19" s="95"/>
      <c r="E19" s="96">
        <f>'GL 825 Restricted'!C45</f>
        <v>0</v>
      </c>
      <c r="F19" s="95"/>
      <c r="G19" s="95"/>
      <c r="L19" s="149">
        <v>0</v>
      </c>
      <c r="M19" s="150">
        <v>0</v>
      </c>
      <c r="N19" s="148">
        <f t="shared" si="6"/>
        <v>0</v>
      </c>
      <c r="O19" s="169">
        <f t="shared" si="7"/>
        <v>0</v>
      </c>
      <c r="R19" s="422"/>
      <c r="S19" s="423"/>
    </row>
    <row r="20" spans="1:19" ht="15.6" customHeight="1">
      <c r="A20" s="97" t="s">
        <v>716</v>
      </c>
      <c r="B20" s="96">
        <f>IF('GL 828 Restricted'!B39&gt;0,'GL 828 Restricted'!B39,0)+IF('GL 828 Restricted'!F44&gt;0,'GL 828 Restricted'!F44,0)</f>
        <v>107153.72</v>
      </c>
      <c r="C20" s="95"/>
      <c r="D20" s="95"/>
      <c r="E20" s="95"/>
      <c r="F20" s="95"/>
      <c r="G20" s="95"/>
      <c r="L20" s="149">
        <v>0</v>
      </c>
      <c r="M20" s="150">
        <v>0</v>
      </c>
      <c r="N20" s="148">
        <f t="shared" si="6"/>
        <v>0</v>
      </c>
      <c r="O20" s="169">
        <f t="shared" si="7"/>
        <v>107153.72</v>
      </c>
      <c r="R20" s="422"/>
      <c r="S20" s="423"/>
    </row>
    <row r="21" spans="1:19" ht="15.6" customHeight="1">
      <c r="A21" s="97" t="s">
        <v>717</v>
      </c>
      <c r="B21" s="96">
        <f>'GL 830 Restricted'!B6</f>
        <v>0</v>
      </c>
      <c r="C21" s="95"/>
      <c r="D21" s="102">
        <f>D7-D22-D44</f>
        <v>0</v>
      </c>
      <c r="E21" s="96">
        <f>'GL 830 Restricted'!C6</f>
        <v>0</v>
      </c>
      <c r="F21" s="96">
        <f>'GL 830 Restricted'!D6</f>
        <v>0</v>
      </c>
      <c r="G21" s="95"/>
      <c r="L21" s="149">
        <v>0</v>
      </c>
      <c r="M21" s="150">
        <v>0</v>
      </c>
      <c r="N21" s="148">
        <f t="shared" si="6"/>
        <v>0</v>
      </c>
      <c r="O21" s="169">
        <f t="shared" si="7"/>
        <v>0</v>
      </c>
      <c r="R21" s="422"/>
      <c r="S21" s="423"/>
    </row>
    <row r="22" spans="1:19" ht="15.6" customHeight="1">
      <c r="A22" s="97" t="s">
        <v>718</v>
      </c>
      <c r="B22" s="96">
        <f>'GL 835 Restricted'!B6</f>
        <v>0</v>
      </c>
      <c r="C22" s="95"/>
      <c r="D22" s="96">
        <f>'GL 835 Restricted'!C6</f>
        <v>0</v>
      </c>
      <c r="E22" s="96">
        <f>'GL 835 Restricted'!D6</f>
        <v>0</v>
      </c>
      <c r="F22" s="96">
        <f>'GL 835 Restricted'!E6</f>
        <v>0</v>
      </c>
      <c r="G22" s="95"/>
      <c r="L22" s="149">
        <v>0</v>
      </c>
      <c r="M22" s="150">
        <v>0</v>
      </c>
      <c r="N22" s="148">
        <f t="shared" si="6"/>
        <v>0</v>
      </c>
      <c r="O22" s="169">
        <f t="shared" si="7"/>
        <v>0</v>
      </c>
      <c r="R22" s="422"/>
      <c r="S22" s="423"/>
    </row>
    <row r="23" spans="1:19" ht="15.6" customHeight="1">
      <c r="A23" s="104" t="s">
        <v>719</v>
      </c>
      <c r="B23" s="96">
        <f>'GL 845 Restricted'!B7</f>
        <v>0</v>
      </c>
      <c r="C23" s="95"/>
      <c r="D23" s="95"/>
      <c r="E23" s="95"/>
      <c r="F23" s="95"/>
      <c r="G23" s="95"/>
      <c r="L23" s="149">
        <v>0</v>
      </c>
      <c r="M23" s="150">
        <v>0</v>
      </c>
      <c r="N23" s="148">
        <f t="shared" si="6"/>
        <v>0</v>
      </c>
      <c r="O23" s="169">
        <f t="shared" si="7"/>
        <v>0</v>
      </c>
      <c r="R23" s="424"/>
      <c r="S23" s="425"/>
    </row>
    <row r="24" spans="1:19" ht="15.75">
      <c r="A24" s="97" t="s">
        <v>720</v>
      </c>
      <c r="B24" s="96">
        <f>'GL 850 Restricted'!B8</f>
        <v>0</v>
      </c>
      <c r="C24" s="96">
        <f>'GL 850 Restricted'!C8</f>
        <v>0</v>
      </c>
      <c r="D24" s="95"/>
      <c r="E24" s="96">
        <f>'GL 850 Restricted'!D8</f>
        <v>0</v>
      </c>
      <c r="F24" s="96">
        <f>'GL 850 Restricted'!E8</f>
        <v>0</v>
      </c>
      <c r="G24" s="95"/>
      <c r="L24" s="149">
        <v>0</v>
      </c>
      <c r="M24" s="150">
        <v>0</v>
      </c>
      <c r="N24" s="148">
        <f t="shared" si="6"/>
        <v>0</v>
      </c>
      <c r="O24" s="169">
        <f t="shared" si="7"/>
        <v>0</v>
      </c>
    </row>
    <row r="25" spans="1:19" ht="15.75">
      <c r="A25" s="104" t="s">
        <v>721</v>
      </c>
      <c r="B25" s="98"/>
      <c r="C25" s="98"/>
      <c r="D25" s="98"/>
      <c r="E25" s="99">
        <f>'GL 861 CPF Restricted'!C11</f>
        <v>0</v>
      </c>
      <c r="F25" s="98"/>
      <c r="G25" s="98"/>
      <c r="L25" s="141"/>
      <c r="M25" s="142"/>
      <c r="N25" s="142"/>
      <c r="O25" s="143"/>
    </row>
    <row r="26" spans="1:19" ht="15.75">
      <c r="A26" s="97" t="s">
        <v>722</v>
      </c>
      <c r="B26" s="98"/>
      <c r="C26" s="98"/>
      <c r="D26" s="98"/>
      <c r="E26" s="99">
        <f>'GL 863 CPF Restricted'!C11</f>
        <v>0</v>
      </c>
      <c r="F26" s="98"/>
      <c r="G26" s="98"/>
      <c r="L26" s="141"/>
      <c r="M26" s="142"/>
      <c r="N26" s="142"/>
      <c r="O26" s="143"/>
    </row>
    <row r="27" spans="1:19" ht="15.75">
      <c r="A27" s="97" t="s">
        <v>723</v>
      </c>
      <c r="B27" s="98"/>
      <c r="C27" s="98"/>
      <c r="D27" s="98"/>
      <c r="E27" s="99">
        <f>'GL 864 CPF Restricted'!C11</f>
        <v>0</v>
      </c>
      <c r="F27" s="98"/>
      <c r="G27" s="98"/>
      <c r="L27" s="141"/>
      <c r="M27" s="142"/>
      <c r="N27" s="142"/>
      <c r="O27" s="143"/>
    </row>
    <row r="28" spans="1:19" ht="15.75">
      <c r="A28" s="104" t="s">
        <v>724</v>
      </c>
      <c r="B28" s="98"/>
      <c r="C28" s="98"/>
      <c r="D28" s="98"/>
      <c r="E28" s="99">
        <f>'GL 865 CPF Restricted'!C11</f>
        <v>0</v>
      </c>
      <c r="F28" s="98"/>
      <c r="G28" s="98"/>
      <c r="L28" s="141"/>
      <c r="M28" s="142"/>
      <c r="N28" s="142"/>
      <c r="O28" s="143"/>
    </row>
    <row r="29" spans="1:19" ht="15.75">
      <c r="A29" s="104" t="s">
        <v>725</v>
      </c>
      <c r="B29" s="98"/>
      <c r="C29" s="98"/>
      <c r="D29" s="98"/>
      <c r="E29" s="99">
        <f>'GL 866 CPF Restricted'!C11</f>
        <v>0</v>
      </c>
      <c r="F29" s="98"/>
      <c r="G29" s="98"/>
      <c r="L29" s="141"/>
      <c r="M29" s="142"/>
      <c r="N29" s="142"/>
      <c r="O29" s="143"/>
    </row>
    <row r="30" spans="1:19" ht="15.75">
      <c r="A30" s="97" t="s">
        <v>726</v>
      </c>
      <c r="B30" s="98"/>
      <c r="C30" s="98"/>
      <c r="D30" s="98"/>
      <c r="E30" s="99">
        <f>'GL 867 CPF Restricted'!C11</f>
        <v>0</v>
      </c>
      <c r="F30" s="98"/>
      <c r="G30" s="98"/>
      <c r="L30" s="141"/>
      <c r="M30" s="142"/>
      <c r="N30" s="142"/>
      <c r="O30" s="143"/>
    </row>
    <row r="31" spans="1:19" ht="15.75">
      <c r="A31" s="97" t="s">
        <v>727</v>
      </c>
      <c r="B31" s="98"/>
      <c r="C31" s="98"/>
      <c r="D31" s="98"/>
      <c r="E31" s="99">
        <f>'GL 869 CPF Restricted'!C11</f>
        <v>0</v>
      </c>
      <c r="F31" s="98"/>
      <c r="G31" s="98"/>
      <c r="L31" s="141"/>
      <c r="M31" s="142"/>
      <c r="N31" s="142"/>
      <c r="O31" s="143"/>
    </row>
    <row r="32" spans="1:19" ht="15.75">
      <c r="A32" s="92"/>
      <c r="B32" s="95"/>
      <c r="C32" s="95"/>
      <c r="D32" s="95"/>
      <c r="E32" s="95"/>
      <c r="F32" s="95"/>
      <c r="G32" s="95"/>
      <c r="L32" s="141"/>
      <c r="M32" s="142"/>
      <c r="N32" s="142"/>
      <c r="O32" s="143"/>
    </row>
    <row r="33" spans="1:15" ht="15.75">
      <c r="A33" s="105" t="s">
        <v>728</v>
      </c>
      <c r="B33" s="96">
        <f>SUM(B34:B37)</f>
        <v>0</v>
      </c>
      <c r="C33" s="101"/>
      <c r="D33" s="101"/>
      <c r="E33" s="96">
        <f>SUM(E34:E37)</f>
        <v>0</v>
      </c>
      <c r="F33" s="96">
        <f>SUM(F34:F37)</f>
        <v>0</v>
      </c>
      <c r="G33" s="96">
        <f>SUM(G34:G37)</f>
        <v>0</v>
      </c>
      <c r="L33" s="146">
        <f t="shared" ref="L33:N33" si="8">SUM(L34:L37)</f>
        <v>0</v>
      </c>
      <c r="M33" s="147">
        <f t="shared" si="8"/>
        <v>0</v>
      </c>
      <c r="N33" s="148">
        <f t="shared" si="8"/>
        <v>0</v>
      </c>
      <c r="O33" s="169">
        <f>+B33-N33</f>
        <v>0</v>
      </c>
    </row>
    <row r="34" spans="1:15" ht="15.75">
      <c r="A34" s="97" t="s">
        <v>729</v>
      </c>
      <c r="B34" s="98"/>
      <c r="C34" s="98"/>
      <c r="D34" s="98"/>
      <c r="E34" s="99">
        <f>'GL 862 CPF Restricted'!C11</f>
        <v>0</v>
      </c>
      <c r="F34" s="98"/>
      <c r="G34" s="98"/>
      <c r="L34" s="141"/>
      <c r="M34" s="142"/>
      <c r="N34" s="142"/>
      <c r="O34" s="143"/>
    </row>
    <row r="35" spans="1:15" ht="15.75">
      <c r="A35" s="104" t="s">
        <v>730</v>
      </c>
      <c r="B35" s="96">
        <f>'GL 870 Committed'!B6</f>
        <v>0</v>
      </c>
      <c r="C35" s="101"/>
      <c r="D35" s="101"/>
      <c r="E35" s="96">
        <f>'GL 870 Committed'!C6</f>
        <v>0</v>
      </c>
      <c r="F35" s="96">
        <f>'GL 870 Committed'!G6</f>
        <v>0</v>
      </c>
      <c r="G35" s="96">
        <f>'GL 870 Committed'!F6</f>
        <v>0</v>
      </c>
      <c r="L35" s="149">
        <v>0</v>
      </c>
      <c r="M35" s="150">
        <v>0</v>
      </c>
      <c r="N35" s="148">
        <f>+L35+M35</f>
        <v>0</v>
      </c>
      <c r="O35" s="169">
        <f>+B35-N35</f>
        <v>0</v>
      </c>
    </row>
    <row r="36" spans="1:15" ht="15.75">
      <c r="A36" s="106" t="s">
        <v>731</v>
      </c>
      <c r="B36" s="96">
        <f>'GL 872 Committed'!B5</f>
        <v>0</v>
      </c>
      <c r="C36" s="101"/>
      <c r="D36" s="101"/>
      <c r="E36" s="101"/>
      <c r="F36" s="101"/>
      <c r="G36" s="101"/>
      <c r="L36" s="149">
        <v>0</v>
      </c>
      <c r="M36" s="150">
        <v>0</v>
      </c>
      <c r="N36" s="148">
        <f>+L36+M36</f>
        <v>0</v>
      </c>
      <c r="O36" s="169">
        <f>+B36-N36</f>
        <v>0</v>
      </c>
    </row>
    <row r="37" spans="1:15" ht="15.75" hidden="1">
      <c r="A37" s="329" t="s">
        <v>732</v>
      </c>
      <c r="B37" s="96">
        <f>'GL 873 Committed'!B5</f>
        <v>0</v>
      </c>
      <c r="C37" s="95"/>
      <c r="D37" s="101"/>
      <c r="E37" s="95"/>
      <c r="F37" s="95"/>
      <c r="G37" s="95"/>
      <c r="L37" s="149">
        <v>0</v>
      </c>
      <c r="M37" s="150">
        <v>0</v>
      </c>
      <c r="N37" s="148">
        <f>+L37+M37</f>
        <v>0</v>
      </c>
      <c r="O37" s="169">
        <f>+B37-N37</f>
        <v>0</v>
      </c>
    </row>
    <row r="38" spans="1:15" ht="15.75">
      <c r="A38" s="107"/>
      <c r="B38" s="98"/>
      <c r="C38" s="98"/>
      <c r="D38" s="98"/>
      <c r="E38" s="92"/>
      <c r="F38" s="98"/>
      <c r="G38" s="98"/>
      <c r="L38" s="141"/>
      <c r="M38" s="142"/>
      <c r="N38" s="142"/>
      <c r="O38" s="143"/>
    </row>
    <row r="39" spans="1:15" ht="15.75">
      <c r="A39" s="92"/>
      <c r="B39" s="95"/>
      <c r="C39" s="95"/>
      <c r="D39" s="101"/>
      <c r="E39" s="95"/>
      <c r="F39" s="95"/>
      <c r="G39" s="95"/>
      <c r="L39" s="141"/>
      <c r="M39" s="142"/>
      <c r="N39" s="142"/>
      <c r="O39" s="143"/>
    </row>
    <row r="40" spans="1:15" ht="15.75">
      <c r="A40" s="92" t="s">
        <v>733</v>
      </c>
      <c r="B40" s="96">
        <f>MAX(MIN(SUM(B41:B44),B7-B9-B13-B33),0)</f>
        <v>0</v>
      </c>
      <c r="C40" s="101"/>
      <c r="D40" s="101"/>
      <c r="E40" s="96">
        <f>E44</f>
        <v>0</v>
      </c>
      <c r="F40" s="101"/>
      <c r="G40" s="96">
        <f>G44</f>
        <v>0</v>
      </c>
      <c r="L40" s="146">
        <f>SUM(L41:L44)</f>
        <v>0</v>
      </c>
      <c r="M40" s="147">
        <f>SUM(M41:M44)</f>
        <v>0</v>
      </c>
      <c r="N40" s="148">
        <f>SUM(N41:N44)</f>
        <v>0</v>
      </c>
      <c r="O40" s="169">
        <f t="shared" ref="O40:O44" si="9">+B40-N40</f>
        <v>0</v>
      </c>
    </row>
    <row r="41" spans="1:15" ht="15.75">
      <c r="A41" s="104" t="s">
        <v>734</v>
      </c>
      <c r="B41" s="96">
        <f>'GL 875 Assigned'!B6</f>
        <v>0</v>
      </c>
      <c r="C41" s="95"/>
      <c r="D41" s="101"/>
      <c r="E41" s="95"/>
      <c r="F41" s="95"/>
      <c r="G41" s="95"/>
      <c r="L41" s="149">
        <v>0</v>
      </c>
      <c r="M41" s="150">
        <v>0</v>
      </c>
      <c r="N41" s="148">
        <f t="shared" ref="N41:N44" si="10">+L41+M41</f>
        <v>0</v>
      </c>
      <c r="O41" s="169">
        <f t="shared" si="9"/>
        <v>0</v>
      </c>
    </row>
    <row r="42" spans="1:15" ht="15.75">
      <c r="A42" s="97" t="s">
        <v>735</v>
      </c>
      <c r="B42" s="96">
        <f>'GL 884 Assigned'!B5</f>
        <v>0</v>
      </c>
      <c r="C42" s="95"/>
      <c r="D42" s="101"/>
      <c r="E42" s="95"/>
      <c r="F42" s="95"/>
      <c r="G42" s="95"/>
      <c r="L42" s="149">
        <v>0</v>
      </c>
      <c r="M42" s="150">
        <v>0</v>
      </c>
      <c r="N42" s="148">
        <f t="shared" si="10"/>
        <v>0</v>
      </c>
      <c r="O42" s="169">
        <f t="shared" si="9"/>
        <v>0</v>
      </c>
    </row>
    <row r="43" spans="1:15" ht="15.75">
      <c r="A43" s="97" t="s">
        <v>736</v>
      </c>
      <c r="B43" s="96">
        <f>'GL 888 Assigned'!B5</f>
        <v>0</v>
      </c>
      <c r="C43" s="95"/>
      <c r="D43" s="101"/>
      <c r="E43" s="95"/>
      <c r="F43" s="95"/>
      <c r="G43" s="95"/>
      <c r="L43" s="149">
        <v>0</v>
      </c>
      <c r="M43" s="150">
        <v>0</v>
      </c>
      <c r="N43" s="148">
        <f t="shared" si="10"/>
        <v>0</v>
      </c>
      <c r="O43" s="169">
        <f t="shared" si="9"/>
        <v>0</v>
      </c>
    </row>
    <row r="44" spans="1:15" ht="15.75">
      <c r="A44" s="108" t="s">
        <v>737</v>
      </c>
      <c r="B44" s="98"/>
      <c r="C44" s="109"/>
      <c r="D44" s="110">
        <v>0</v>
      </c>
      <c r="E44" s="103">
        <f>IF(E7-E9-E13-E33&gt;=0,E7-E9-E13-E33,0)</f>
        <v>0</v>
      </c>
      <c r="F44" s="92"/>
      <c r="G44" s="99">
        <f>IF(G7-G9-G13-G33&gt;=0,G7-G9-G13-G33,0)</f>
        <v>0</v>
      </c>
      <c r="L44" s="149">
        <v>0</v>
      </c>
      <c r="M44" s="150">
        <v>0</v>
      </c>
      <c r="N44" s="148">
        <f t="shared" si="10"/>
        <v>0</v>
      </c>
      <c r="O44" s="169">
        <f t="shared" si="9"/>
        <v>0</v>
      </c>
    </row>
    <row r="45" spans="1:15" ht="15.75">
      <c r="A45" s="92"/>
      <c r="B45" s="95"/>
      <c r="C45" s="95"/>
      <c r="D45" s="95"/>
      <c r="E45" s="95"/>
      <c r="F45" s="95"/>
      <c r="G45" s="95"/>
      <c r="L45" s="141"/>
      <c r="M45" s="142"/>
      <c r="N45" s="142"/>
      <c r="O45" s="143"/>
    </row>
    <row r="46" spans="1:15" ht="15.75">
      <c r="A46" s="92" t="s">
        <v>738</v>
      </c>
      <c r="B46" s="111">
        <f>+B47+B48</f>
        <v>-1520161.4750000001</v>
      </c>
      <c r="L46" s="146">
        <f t="shared" ref="L46:N46" si="11">+L47+L48</f>
        <v>0</v>
      </c>
      <c r="M46" s="147">
        <f t="shared" si="11"/>
        <v>0</v>
      </c>
      <c r="N46" s="148">
        <f t="shared" si="11"/>
        <v>0</v>
      </c>
      <c r="O46" s="169">
        <f t="shared" ref="O46:O48" si="12">+B46-N46</f>
        <v>-1520161.4750000001</v>
      </c>
    </row>
    <row r="47" spans="1:15" ht="15.75">
      <c r="A47" s="100" t="s">
        <v>739</v>
      </c>
      <c r="B47" s="112">
        <f>B7-B9-B13-B33-B40-B48</f>
        <v>-1520161.4750000001</v>
      </c>
      <c r="C47" s="111">
        <f>IF(C7-C9-C13-C33&gt;=0,0,C7-C9-C13-C33)</f>
        <v>0</v>
      </c>
      <c r="D47" s="111">
        <f>IF(D7-D9-D13-D33&gt;=0,0,D7-D9-D13-D33)</f>
        <v>0</v>
      </c>
      <c r="E47" s="111">
        <f>IF(E7-E9-E13-E33&gt;=0,0,E7-E9-E13-E33)</f>
        <v>0</v>
      </c>
      <c r="F47" s="111">
        <f>IF(F7-F9-F13-F33&gt;=0,0,F7-F9-F13-F33)</f>
        <v>0</v>
      </c>
      <c r="G47" s="111">
        <f>IF(G7-G9-G13-G33&gt;=0,0,G7-G9-G13-G33)</f>
        <v>0</v>
      </c>
      <c r="L47" s="149">
        <v>0</v>
      </c>
      <c r="M47" s="150">
        <v>0</v>
      </c>
      <c r="N47" s="148">
        <f t="shared" ref="N47:N48" si="13">+L47+M47</f>
        <v>0</v>
      </c>
      <c r="O47" s="169">
        <f t="shared" si="12"/>
        <v>-1520161.4750000001</v>
      </c>
    </row>
    <row r="48" spans="1:15" ht="15.75">
      <c r="A48" s="104" t="s">
        <v>740</v>
      </c>
      <c r="B48" s="113">
        <f>'GL 891 Unassigned MFBP'!B28</f>
        <v>0</v>
      </c>
      <c r="C48" s="92"/>
      <c r="D48" s="92"/>
      <c r="E48" s="92"/>
      <c r="F48" s="92"/>
      <c r="G48" s="92"/>
      <c r="L48" s="149">
        <v>0</v>
      </c>
      <c r="M48" s="150">
        <v>0</v>
      </c>
      <c r="N48" s="148">
        <f t="shared" si="13"/>
        <v>0</v>
      </c>
      <c r="O48" s="169">
        <f t="shared" si="12"/>
        <v>0</v>
      </c>
    </row>
    <row r="49" spans="1:15" ht="15.75">
      <c r="A49" s="92"/>
      <c r="B49" s="92"/>
      <c r="C49" s="92"/>
      <c r="D49" s="92"/>
      <c r="E49" s="92"/>
      <c r="F49" s="92"/>
      <c r="G49" s="92"/>
      <c r="L49" s="141"/>
      <c r="M49" s="142"/>
      <c r="N49" s="142"/>
      <c r="O49" s="143"/>
    </row>
    <row r="50" spans="1:15" ht="15.75">
      <c r="A50" s="92" t="s">
        <v>741</v>
      </c>
      <c r="B50" s="92"/>
      <c r="C50" s="92"/>
      <c r="D50" s="92"/>
      <c r="E50" s="92"/>
      <c r="F50" s="92"/>
      <c r="G50" s="92"/>
      <c r="L50" s="141"/>
      <c r="M50" s="142"/>
      <c r="N50" s="142"/>
      <c r="O50" s="143"/>
    </row>
    <row r="51" spans="1:15" ht="15.75">
      <c r="A51" s="92" t="s">
        <v>706</v>
      </c>
      <c r="B51" s="114">
        <f t="shared" ref="B51:G51" si="14">B9</f>
        <v>0</v>
      </c>
      <c r="C51" s="114">
        <f t="shared" si="14"/>
        <v>0</v>
      </c>
      <c r="D51" s="114">
        <f t="shared" si="14"/>
        <v>0</v>
      </c>
      <c r="E51" s="114">
        <f t="shared" si="14"/>
        <v>0</v>
      </c>
      <c r="F51" s="114">
        <f t="shared" si="14"/>
        <v>0</v>
      </c>
      <c r="G51" s="114">
        <f t="shared" si="14"/>
        <v>0</v>
      </c>
      <c r="L51" s="146">
        <f t="shared" ref="L51:N51" si="15">L9</f>
        <v>0</v>
      </c>
      <c r="M51" s="147">
        <f t="shared" si="15"/>
        <v>0</v>
      </c>
      <c r="N51" s="148">
        <f t="shared" si="15"/>
        <v>0</v>
      </c>
      <c r="O51" s="169">
        <f t="shared" ref="O51:O56" si="16">+B51-N51</f>
        <v>0</v>
      </c>
    </row>
    <row r="52" spans="1:15" ht="15.75">
      <c r="A52" s="92" t="s">
        <v>709</v>
      </c>
      <c r="B52" s="114">
        <f t="shared" ref="B52:G52" si="17">B13</f>
        <v>1520161.4750000001</v>
      </c>
      <c r="C52" s="114">
        <f t="shared" si="17"/>
        <v>0</v>
      </c>
      <c r="D52" s="114">
        <f t="shared" si="17"/>
        <v>0</v>
      </c>
      <c r="E52" s="114">
        <f t="shared" si="17"/>
        <v>0</v>
      </c>
      <c r="F52" s="114">
        <f t="shared" si="17"/>
        <v>0</v>
      </c>
      <c r="G52" s="114">
        <f t="shared" si="17"/>
        <v>0</v>
      </c>
      <c r="L52" s="146">
        <f t="shared" ref="L52:N52" si="18">L13</f>
        <v>0</v>
      </c>
      <c r="M52" s="147">
        <f t="shared" si="18"/>
        <v>0</v>
      </c>
      <c r="N52" s="148">
        <f t="shared" si="18"/>
        <v>0</v>
      </c>
      <c r="O52" s="169">
        <f t="shared" si="16"/>
        <v>1520161.4750000001</v>
      </c>
    </row>
    <row r="53" spans="1:15" ht="15.75">
      <c r="A53" s="92" t="s">
        <v>728</v>
      </c>
      <c r="B53" s="114">
        <f>B33</f>
        <v>0</v>
      </c>
      <c r="C53" s="114">
        <f>C33</f>
        <v>0</v>
      </c>
      <c r="D53" s="114">
        <f>D33</f>
        <v>0</v>
      </c>
      <c r="E53" s="114">
        <f t="shared" ref="E53:G53" si="19">E33</f>
        <v>0</v>
      </c>
      <c r="F53" s="114">
        <f t="shared" si="19"/>
        <v>0</v>
      </c>
      <c r="G53" s="114">
        <f t="shared" si="19"/>
        <v>0</v>
      </c>
      <c r="L53" s="146">
        <f t="shared" ref="L53:N53" si="20">L33</f>
        <v>0</v>
      </c>
      <c r="M53" s="147">
        <f t="shared" si="20"/>
        <v>0</v>
      </c>
      <c r="N53" s="148">
        <f t="shared" si="20"/>
        <v>0</v>
      </c>
      <c r="O53" s="169">
        <f t="shared" si="16"/>
        <v>0</v>
      </c>
    </row>
    <row r="54" spans="1:15" ht="15.75">
      <c r="A54" s="92" t="s">
        <v>733</v>
      </c>
      <c r="B54" s="111">
        <f>IF(SUM(B51:B53)&gt;B7,0,MIN(B7-SUM(B51:B53),B40))</f>
        <v>0</v>
      </c>
      <c r="C54" s="111">
        <f>IF(SUM(C51:C53)&gt;C7,0,C7-SUM(C51:C53))</f>
        <v>0</v>
      </c>
      <c r="D54" s="111">
        <f>IF(SUM(D51:D53)&gt;D7,0,D7-SUM(D51:D53))</f>
        <v>0</v>
      </c>
      <c r="E54" s="111">
        <f>IF(SUM(E51:E53)&gt;E7,0,E7-SUM(E51:E53))</f>
        <v>0</v>
      </c>
      <c r="F54" s="111">
        <f>IF(SUM(F51:F53)&gt;F7,0,F7-SUM(F51:F53))</f>
        <v>0</v>
      </c>
      <c r="G54" s="111">
        <f>IF(SUM(G51:G53)&gt;G7,0,G7-SUM(G51:G53))</f>
        <v>0</v>
      </c>
      <c r="L54" s="146">
        <f>L40</f>
        <v>0</v>
      </c>
      <c r="M54" s="147">
        <f>M40</f>
        <v>0</v>
      </c>
      <c r="N54" s="148">
        <f>N40</f>
        <v>0</v>
      </c>
      <c r="O54" s="169">
        <f t="shared" si="16"/>
        <v>0</v>
      </c>
    </row>
    <row r="55" spans="1:15" ht="15.75">
      <c r="A55" s="92" t="s">
        <v>738</v>
      </c>
      <c r="B55" s="111">
        <f>B7-SUM(B51:B54)</f>
        <v>-1520161.4750000001</v>
      </c>
      <c r="C55" s="111">
        <f>IF(SUM(C51:C53)&gt;C7,C7-SUM(C51:C53),0)</f>
        <v>0</v>
      </c>
      <c r="D55" s="111">
        <f>IF(SUM(D51:D53)&gt;D7,D7-SUM(D51:D53),0)</f>
        <v>0</v>
      </c>
      <c r="E55" s="111">
        <f>IF(SUM(E51:E53)&gt;E7,E7-SUM(E51:E53),0)</f>
        <v>0</v>
      </c>
      <c r="F55" s="111">
        <f>IF(SUM(F51:F53)&gt;F7,F7-SUM(F51:F53),0)</f>
        <v>0</v>
      </c>
      <c r="G55" s="111">
        <f>IF(SUM(G51:G53)&gt;G7,G7-SUM(G51:G53),0)</f>
        <v>0</v>
      </c>
      <c r="L55" s="146">
        <f>L46</f>
        <v>0</v>
      </c>
      <c r="M55" s="147">
        <f>M46</f>
        <v>0</v>
      </c>
      <c r="N55" s="148">
        <f>N46</f>
        <v>0</v>
      </c>
      <c r="O55" s="169">
        <f t="shared" si="16"/>
        <v>-1520161.4750000001</v>
      </c>
    </row>
    <row r="56" spans="1:15" ht="16.5" thickBot="1">
      <c r="A56" s="92" t="s">
        <v>705</v>
      </c>
      <c r="B56" s="113">
        <f>SUM(B51:B55)</f>
        <v>0</v>
      </c>
      <c r="C56" s="113">
        <f>SUM(C51:C55)</f>
        <v>0</v>
      </c>
      <c r="D56" s="113">
        <f>SUM(D51:D55)</f>
        <v>0</v>
      </c>
      <c r="E56" s="113">
        <f t="shared" ref="E56:G56" si="21">SUM(E51:E55)</f>
        <v>0</v>
      </c>
      <c r="F56" s="113">
        <f t="shared" si="21"/>
        <v>0</v>
      </c>
      <c r="G56" s="113">
        <f t="shared" si="21"/>
        <v>0</v>
      </c>
      <c r="L56" s="151">
        <f t="shared" ref="L56:N56" si="22">SUM(L51:L55)</f>
        <v>0</v>
      </c>
      <c r="M56" s="152">
        <f t="shared" si="22"/>
        <v>0</v>
      </c>
      <c r="N56" s="153">
        <f t="shared" si="22"/>
        <v>0</v>
      </c>
      <c r="O56" s="170">
        <f t="shared" si="16"/>
        <v>0</v>
      </c>
    </row>
    <row r="57" spans="1:15" ht="15.75">
      <c r="A57" s="92"/>
      <c r="B57" s="92"/>
      <c r="C57" s="92"/>
      <c r="D57" s="92"/>
      <c r="E57" s="92"/>
      <c r="F57" s="92"/>
      <c r="G57" s="92"/>
    </row>
    <row r="58" spans="1:15" ht="15.75">
      <c r="A58" s="92"/>
      <c r="B58" s="92"/>
      <c r="C58" s="92"/>
      <c r="D58" s="92"/>
      <c r="E58" s="92"/>
      <c r="F58" s="92"/>
      <c r="G58" s="92"/>
    </row>
    <row r="59" spans="1:15">
      <c r="A59" s="132" t="s">
        <v>742</v>
      </c>
    </row>
  </sheetData>
  <mergeCells count="6">
    <mergeCell ref="R6:S23"/>
    <mergeCell ref="A2:B2"/>
    <mergeCell ref="L3:M3"/>
    <mergeCell ref="L1:O1"/>
    <mergeCell ref="L2:O2"/>
    <mergeCell ref="O3:O4"/>
  </mergeCells>
  <hyperlinks>
    <hyperlink ref="A14" location="'GL 810 Restricted'!A1" display="GL 810 Other Items" xr:uid="{00000000-0004-0000-0200-000000000000}"/>
    <hyperlink ref="A15" location="'GL 815 Restricted'!A1" display="GL 815 Unequalized Deductible Revenues" xr:uid="{00000000-0004-0000-0200-000001000000}"/>
    <hyperlink ref="A17" location="'GL 821 Restricted'!A1" display="GL 821 Carryover of Restricted Revenues" xr:uid="{00000000-0004-0000-0200-000002000000}"/>
    <hyperlink ref="A10" location="'GL 840 Nonspendable'!A1" display="GL 840 Inventory &amp; Prepaid Items" xr:uid="{00000000-0004-0000-0200-000004000000}"/>
    <hyperlink ref="A21" location="'GL 830 Restricted'!A1" display="GL 830 Debt Service" xr:uid="{00000000-0004-0000-0200-000005000000}"/>
    <hyperlink ref="A22" location="'GL 835 Restricted'!A1" display="GL 835 Arbitrage Rebate" xr:uid="{00000000-0004-0000-0200-000006000000}"/>
    <hyperlink ref="A25" location="'GL 861 CPF Restricted'!A1" display="GL 861 Bond Proceeds" xr:uid="{00000000-0004-0000-0200-000007000000}"/>
    <hyperlink ref="A34" location="'GL 862 CPF Restricted'!A1" display="GL 862 Levy Proceeds" xr:uid="{00000000-0004-0000-0200-000008000000}"/>
    <hyperlink ref="A26" location="'GL 863 CPF Restricted'!A1" display="GL 863 State Proceeds" xr:uid="{00000000-0004-0000-0200-000009000000}"/>
    <hyperlink ref="A27" location="'GL 864 CPF Restricted'!A1" display="GL 864 Federal Proceeds" xr:uid="{00000000-0004-0000-0200-00000A000000}"/>
    <hyperlink ref="A28" location="'GL 865 CPF Restricted'!A1" display="GL 865 Other Proceeds" xr:uid="{00000000-0004-0000-0200-00000B000000}"/>
    <hyperlink ref="A29" location="'GL 866 CPF Restricted'!A1" display="GL 866 Impact Fee Proceeds" xr:uid="{00000000-0004-0000-0200-00000C000000}"/>
    <hyperlink ref="A30" location="'GL 867 CPF Restricted'!A1" display="GL 867 Mitigation Fee Proceeds" xr:uid="{00000000-0004-0000-0200-00000D000000}"/>
    <hyperlink ref="A31" location="'GL 869 CPF Restricted'!A1" display="GL 869 Undistributed Proceeds" xr:uid="{00000000-0004-0000-0200-00000E000000}"/>
    <hyperlink ref="A35" location="'GL 870 Committed'!A1" display="GL 870 Other Purposes" xr:uid="{00000000-0004-0000-0200-00000F000000}"/>
    <hyperlink ref="A11" location="'GL 855 Nonspendable'!A1" display="GL 855 Trust Principal" xr:uid="{00000000-0004-0000-0200-000010000000}"/>
    <hyperlink ref="A41" location="'GL 875 Assigned'!A1" display="GL 875 Contingencies" xr:uid="{00000000-0004-0000-0200-000011000000}"/>
    <hyperlink ref="A42" location="'GL 884 Assigned'!A1" display="GL 884 Other Capital Projects" xr:uid="{00000000-0004-0000-0200-000012000000}"/>
    <hyperlink ref="A43" location="'GL 888 Assigned'!A1" display="GL 888 Other Purposes" xr:uid="{00000000-0004-0000-0200-000013000000}"/>
    <hyperlink ref="A23" location="'GL 845 Restricted'!A1" display="GL 845 Self-Insurance" xr:uid="{00000000-0004-0000-0200-000014000000}"/>
    <hyperlink ref="A24" location="'GL 850 Restricted'!A1" display="GL 850 Uninsured Risks" xr:uid="{00000000-0004-0000-0200-000015000000}"/>
    <hyperlink ref="A20" location="'GL 828 Restricted'!A1" display="GL 828 Food Service Program Revenue Carryover" xr:uid="{00000000-0004-0000-0200-000016000000}"/>
    <hyperlink ref="A19" location="'GL 825 Restricted'!A1" display="GL 825 Restricted for Skills Centers" xr:uid="{00000000-0004-0000-0200-000017000000}"/>
    <hyperlink ref="A48" location="'GL 891 Unassigned MFBP'!A1" display="GL 891 Unassigned MFBP" xr:uid="{00000000-0004-0000-0200-000018000000}"/>
    <hyperlink ref="A37" location="'GL 873 Committed'!A1" display="GL 873 Depreciation Sub-Fund Facility Maintenance " xr:uid="{00000000-0004-0000-0200-000003000000}"/>
    <hyperlink ref="A36" location="'GL 872 Committed'!A1" display="GL 872 Minimum Fund Balance Policy" xr:uid="{DE56D57F-5AEC-45BA-AA5C-990E0DF11629}"/>
    <hyperlink ref="A18" location="'GL 825 Restricted'!A1" display="GL 825 Restricted for Skills Centers" xr:uid="{07844FC3-2247-44FF-9333-88C2FCB4EB60}"/>
  </hyperlinks>
  <pageMargins left="0.45" right="0.2" top="0.75" bottom="0.75" header="0.3" footer="0.3"/>
  <pageSetup scale="6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CCDDD!$B$2:$B$332</xm:f>
          </x14:formula1>
          <xm:sqref>A2:B2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C11"/>
  <sheetViews>
    <sheetView workbookViewId="0">
      <selection activeCell="A3" sqref="A3"/>
    </sheetView>
  </sheetViews>
  <sheetFormatPr defaultRowHeight="15"/>
  <cols>
    <col min="1" max="1" width="35.28515625" bestFit="1" customWidth="1"/>
    <col min="2" max="2" width="14.28515625" style="2" bestFit="1" customWidth="1"/>
    <col min="3" max="3" width="15.28515625" style="2" bestFit="1" customWidth="1"/>
  </cols>
  <sheetData>
    <row r="1" spans="1:3">
      <c r="A1" s="437" t="s">
        <v>2805</v>
      </c>
      <c r="B1" s="437"/>
      <c r="C1" s="437"/>
    </row>
    <row r="2" spans="1:3">
      <c r="A2" s="437" t="s">
        <v>1233</v>
      </c>
      <c r="B2" s="437"/>
      <c r="C2" s="437"/>
    </row>
    <row r="3" spans="1:3">
      <c r="A3" s="6" t="s">
        <v>1241</v>
      </c>
    </row>
    <row r="5" spans="1:3">
      <c r="A5" t="s">
        <v>1739</v>
      </c>
      <c r="C5" s="1">
        <v>0</v>
      </c>
    </row>
    <row r="6" spans="1:3">
      <c r="A6" t="s">
        <v>2780</v>
      </c>
    </row>
    <row r="7" spans="1:3">
      <c r="A7" t="s">
        <v>2806</v>
      </c>
      <c r="B7" s="1">
        <v>0</v>
      </c>
    </row>
    <row r="8" spans="1:3">
      <c r="A8" t="s">
        <v>2807</v>
      </c>
      <c r="B8" s="1">
        <v>0</v>
      </c>
    </row>
    <row r="9" spans="1:3">
      <c r="A9" t="s">
        <v>2783</v>
      </c>
      <c r="C9" s="2">
        <f>+B7+B8</f>
        <v>0</v>
      </c>
    </row>
    <row r="10" spans="1:3">
      <c r="A10" t="s">
        <v>2808</v>
      </c>
      <c r="C10" s="1">
        <v>0</v>
      </c>
    </row>
    <row r="11" spans="1:3" ht="17.25">
      <c r="A11" t="s">
        <v>1772</v>
      </c>
      <c r="C11" s="8">
        <f>+C5+C9-C10</f>
        <v>0</v>
      </c>
    </row>
  </sheetData>
  <mergeCells count="2">
    <mergeCell ref="A1:C1"/>
    <mergeCell ref="A2:C2"/>
  </mergeCells>
  <hyperlinks>
    <hyperlink ref="A3" location="'Fund Balance Summary'!A1" display="(Return to summary sheet)" xr:uid="{00000000-0004-0000-1A00-000000000000}"/>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C11"/>
  <sheetViews>
    <sheetView workbookViewId="0">
      <selection sqref="A1:C1"/>
    </sheetView>
  </sheetViews>
  <sheetFormatPr defaultRowHeight="15"/>
  <cols>
    <col min="1" max="1" width="35.28515625" bestFit="1" customWidth="1"/>
    <col min="2" max="2" width="14.28515625" style="2" bestFit="1" customWidth="1"/>
    <col min="3" max="3" width="15.28515625" style="2" bestFit="1" customWidth="1"/>
  </cols>
  <sheetData>
    <row r="1" spans="1:3">
      <c r="A1" s="437" t="s">
        <v>2809</v>
      </c>
      <c r="B1" s="437"/>
      <c r="C1" s="437"/>
    </row>
    <row r="2" spans="1:3">
      <c r="A2" s="437" t="s">
        <v>1233</v>
      </c>
      <c r="B2" s="437"/>
      <c r="C2" s="437"/>
    </row>
    <row r="3" spans="1:3">
      <c r="A3" s="6" t="s">
        <v>1241</v>
      </c>
    </row>
    <row r="5" spans="1:3">
      <c r="A5" t="s">
        <v>1739</v>
      </c>
      <c r="C5" s="1">
        <v>0</v>
      </c>
    </row>
    <row r="6" spans="1:3">
      <c r="A6" t="s">
        <v>2780</v>
      </c>
    </row>
    <row r="7" spans="1:3">
      <c r="A7" t="s">
        <v>2810</v>
      </c>
      <c r="B7" s="1">
        <v>0</v>
      </c>
    </row>
    <row r="8" spans="1:3">
      <c r="A8" t="s">
        <v>2811</v>
      </c>
      <c r="B8" s="1">
        <v>0</v>
      </c>
    </row>
    <row r="9" spans="1:3">
      <c r="A9" t="s">
        <v>2783</v>
      </c>
      <c r="C9" s="2">
        <f>+B7+B8</f>
        <v>0</v>
      </c>
    </row>
    <row r="10" spans="1:3">
      <c r="A10" t="s">
        <v>2812</v>
      </c>
      <c r="C10" s="1">
        <v>0</v>
      </c>
    </row>
    <row r="11" spans="1:3" ht="17.25">
      <c r="A11" t="s">
        <v>1772</v>
      </c>
      <c r="C11" s="8">
        <f>+C5+C9-C10</f>
        <v>0</v>
      </c>
    </row>
  </sheetData>
  <mergeCells count="2">
    <mergeCell ref="A1:C1"/>
    <mergeCell ref="A2:C2"/>
  </mergeCells>
  <hyperlinks>
    <hyperlink ref="A3" location="'Fund Balance Summary'!A1" display="(Return to summary sheet)" xr:uid="{00000000-0004-0000-1B00-000000000000}"/>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G26"/>
  <sheetViews>
    <sheetView workbookViewId="0">
      <selection sqref="A1:G1"/>
    </sheetView>
  </sheetViews>
  <sheetFormatPr defaultRowHeight="15"/>
  <cols>
    <col min="1" max="1" width="31.42578125" bestFit="1" customWidth="1"/>
    <col min="2" max="2" width="18" customWidth="1"/>
    <col min="3" max="3" width="14.85546875" bestFit="1" customWidth="1"/>
    <col min="4" max="4" width="13.140625" bestFit="1" customWidth="1"/>
    <col min="5" max="5" width="15.42578125" customWidth="1"/>
    <col min="6" max="6" width="10.85546875" bestFit="1" customWidth="1"/>
    <col min="7" max="7" width="14.140625" bestFit="1" customWidth="1"/>
  </cols>
  <sheetData>
    <row r="1" spans="1:7">
      <c r="A1" s="437" t="s">
        <v>2813</v>
      </c>
      <c r="B1" s="437"/>
      <c r="C1" s="437"/>
      <c r="D1" s="437"/>
      <c r="E1" s="437"/>
      <c r="F1" s="437"/>
      <c r="G1" s="437"/>
    </row>
    <row r="2" spans="1:7">
      <c r="A2" s="437" t="s">
        <v>2814</v>
      </c>
      <c r="B2" s="437"/>
      <c r="C2" s="437"/>
      <c r="D2" s="437"/>
      <c r="E2" s="437"/>
      <c r="F2" s="437"/>
      <c r="G2" s="437"/>
    </row>
    <row r="3" spans="1:7">
      <c r="A3" s="6" t="s">
        <v>1241</v>
      </c>
    </row>
    <row r="5" spans="1:7" ht="31.5" customHeight="1">
      <c r="B5" s="168" t="s">
        <v>1232</v>
      </c>
      <c r="C5" s="168" t="s">
        <v>2815</v>
      </c>
      <c r="D5" s="168" t="s">
        <v>2816</v>
      </c>
      <c r="E5" s="168" t="s">
        <v>2770</v>
      </c>
      <c r="F5" s="168" t="s">
        <v>1237</v>
      </c>
      <c r="G5" s="168" t="s">
        <v>2817</v>
      </c>
    </row>
    <row r="6" spans="1:7">
      <c r="A6" s="22" t="s">
        <v>694</v>
      </c>
      <c r="B6" s="19">
        <f t="shared" ref="B6:G6" si="0">SUM(B7:B100)</f>
        <v>0</v>
      </c>
      <c r="C6" s="19">
        <f t="shared" si="0"/>
        <v>0</v>
      </c>
      <c r="D6" s="19">
        <f t="shared" si="0"/>
        <v>0</v>
      </c>
      <c r="E6" s="19">
        <f t="shared" si="0"/>
        <v>0</v>
      </c>
      <c r="F6" s="19">
        <f t="shared" si="0"/>
        <v>0</v>
      </c>
      <c r="G6" s="19">
        <f t="shared" si="0"/>
        <v>0</v>
      </c>
    </row>
    <row r="7" spans="1:7">
      <c r="A7" s="179" t="s">
        <v>2818</v>
      </c>
      <c r="B7" s="173">
        <v>0</v>
      </c>
      <c r="C7" s="173">
        <v>0</v>
      </c>
      <c r="D7" s="173">
        <v>0</v>
      </c>
      <c r="E7" s="173">
        <v>0</v>
      </c>
      <c r="F7" s="173">
        <v>0</v>
      </c>
      <c r="G7" s="173">
        <v>0</v>
      </c>
    </row>
    <row r="8" spans="1:7">
      <c r="A8" s="179" t="s">
        <v>2818</v>
      </c>
      <c r="B8" s="173">
        <v>0</v>
      </c>
      <c r="C8" s="173">
        <v>0</v>
      </c>
      <c r="D8" s="173">
        <v>0</v>
      </c>
      <c r="E8" s="173">
        <v>0</v>
      </c>
      <c r="F8" s="173">
        <v>0</v>
      </c>
      <c r="G8" s="173">
        <v>0</v>
      </c>
    </row>
    <row r="9" spans="1:7">
      <c r="A9" s="179" t="s">
        <v>2818</v>
      </c>
      <c r="B9" s="173">
        <v>0</v>
      </c>
      <c r="C9" s="173">
        <v>0</v>
      </c>
      <c r="D9" s="173">
        <v>0</v>
      </c>
      <c r="E9" s="173">
        <v>0</v>
      </c>
      <c r="F9" s="173">
        <v>0</v>
      </c>
      <c r="G9" s="173">
        <v>0</v>
      </c>
    </row>
    <row r="10" spans="1:7">
      <c r="A10" s="179" t="s">
        <v>2818</v>
      </c>
      <c r="B10" s="173">
        <v>0</v>
      </c>
      <c r="C10" s="173">
        <v>0</v>
      </c>
      <c r="D10" s="173">
        <v>0</v>
      </c>
      <c r="E10" s="173">
        <v>0</v>
      </c>
      <c r="F10" s="173">
        <v>0</v>
      </c>
      <c r="G10" s="173">
        <v>0</v>
      </c>
    </row>
    <row r="11" spans="1:7">
      <c r="A11" s="179" t="s">
        <v>2818</v>
      </c>
      <c r="B11" s="173">
        <v>0</v>
      </c>
      <c r="C11" s="173">
        <v>0</v>
      </c>
      <c r="D11" s="173">
        <v>0</v>
      </c>
      <c r="E11" s="173">
        <v>0</v>
      </c>
      <c r="F11" s="173">
        <v>0</v>
      </c>
      <c r="G11" s="173">
        <v>0</v>
      </c>
    </row>
    <row r="12" spans="1:7">
      <c r="A12" s="179" t="s">
        <v>2818</v>
      </c>
      <c r="B12" s="173">
        <v>0</v>
      </c>
      <c r="C12" s="173">
        <v>0</v>
      </c>
      <c r="D12" s="173">
        <v>0</v>
      </c>
      <c r="E12" s="173">
        <v>0</v>
      </c>
      <c r="F12" s="173">
        <v>0</v>
      </c>
      <c r="G12" s="173">
        <v>0</v>
      </c>
    </row>
    <row r="13" spans="1:7">
      <c r="A13" s="179" t="s">
        <v>2818</v>
      </c>
      <c r="B13" s="173">
        <v>0</v>
      </c>
      <c r="C13" s="173">
        <v>0</v>
      </c>
      <c r="D13" s="173">
        <v>0</v>
      </c>
      <c r="E13" s="173">
        <v>0</v>
      </c>
      <c r="F13" s="173">
        <v>0</v>
      </c>
      <c r="G13" s="173">
        <v>0</v>
      </c>
    </row>
    <row r="14" spans="1:7">
      <c r="A14" s="179" t="s">
        <v>2818</v>
      </c>
      <c r="B14" s="173">
        <v>0</v>
      </c>
      <c r="C14" s="173">
        <v>0</v>
      </c>
      <c r="D14" s="173">
        <v>0</v>
      </c>
      <c r="E14" s="173">
        <v>0</v>
      </c>
      <c r="F14" s="173">
        <v>0</v>
      </c>
      <c r="G14" s="173">
        <v>0</v>
      </c>
    </row>
    <row r="15" spans="1:7">
      <c r="A15" s="179" t="s">
        <v>2818</v>
      </c>
      <c r="B15" s="173">
        <v>0</v>
      </c>
      <c r="C15" s="173">
        <v>0</v>
      </c>
      <c r="D15" s="173">
        <v>0</v>
      </c>
      <c r="E15" s="173">
        <v>0</v>
      </c>
      <c r="F15" s="173">
        <v>0</v>
      </c>
      <c r="G15" s="173">
        <v>0</v>
      </c>
    </row>
    <row r="16" spans="1:7">
      <c r="A16" s="179" t="s">
        <v>2818</v>
      </c>
      <c r="B16" s="173">
        <v>0</v>
      </c>
      <c r="C16" s="173">
        <v>0</v>
      </c>
      <c r="D16" s="173">
        <v>0</v>
      </c>
      <c r="E16" s="173">
        <v>0</v>
      </c>
      <c r="F16" s="173">
        <v>0</v>
      </c>
      <c r="G16" s="173">
        <v>0</v>
      </c>
    </row>
    <row r="17" spans="1:7">
      <c r="A17" s="179" t="s">
        <v>2818</v>
      </c>
      <c r="B17" s="173">
        <v>0</v>
      </c>
      <c r="C17" s="173">
        <v>0</v>
      </c>
      <c r="D17" s="173">
        <v>0</v>
      </c>
      <c r="E17" s="173">
        <v>0</v>
      </c>
      <c r="F17" s="173">
        <v>0</v>
      </c>
      <c r="G17" s="173">
        <v>0</v>
      </c>
    </row>
    <row r="18" spans="1:7">
      <c r="A18" s="179" t="s">
        <v>2818</v>
      </c>
      <c r="B18" s="173">
        <v>0</v>
      </c>
      <c r="C18" s="173">
        <v>0</v>
      </c>
      <c r="D18" s="173">
        <v>0</v>
      </c>
      <c r="E18" s="173">
        <v>0</v>
      </c>
      <c r="F18" s="173">
        <v>0</v>
      </c>
      <c r="G18" s="173">
        <v>0</v>
      </c>
    </row>
    <row r="19" spans="1:7">
      <c r="A19" s="179" t="s">
        <v>2818</v>
      </c>
      <c r="B19" s="173">
        <v>0</v>
      </c>
      <c r="C19" s="173">
        <v>0</v>
      </c>
      <c r="D19" s="173">
        <v>0</v>
      </c>
      <c r="E19" s="173">
        <v>0</v>
      </c>
      <c r="F19" s="173">
        <v>0</v>
      </c>
      <c r="G19" s="173">
        <v>0</v>
      </c>
    </row>
    <row r="20" spans="1:7">
      <c r="A20" s="179" t="s">
        <v>2818</v>
      </c>
      <c r="B20" s="173">
        <v>0</v>
      </c>
      <c r="C20" s="173">
        <v>0</v>
      </c>
      <c r="D20" s="173">
        <v>0</v>
      </c>
      <c r="E20" s="173">
        <v>0</v>
      </c>
      <c r="F20" s="173">
        <v>0</v>
      </c>
      <c r="G20" s="173">
        <v>0</v>
      </c>
    </row>
    <row r="21" spans="1:7">
      <c r="A21" s="179" t="s">
        <v>2818</v>
      </c>
      <c r="B21" s="173">
        <v>0</v>
      </c>
      <c r="C21" s="173">
        <v>0</v>
      </c>
      <c r="D21" s="173">
        <v>0</v>
      </c>
      <c r="E21" s="173">
        <v>0</v>
      </c>
      <c r="F21" s="173">
        <v>0</v>
      </c>
      <c r="G21" s="173">
        <v>0</v>
      </c>
    </row>
    <row r="22" spans="1:7">
      <c r="A22" s="179" t="s">
        <v>2818</v>
      </c>
      <c r="B22" s="173">
        <v>0</v>
      </c>
      <c r="C22" s="173">
        <v>0</v>
      </c>
      <c r="D22" s="173">
        <v>0</v>
      </c>
      <c r="E22" s="173">
        <v>0</v>
      </c>
      <c r="F22" s="173">
        <v>0</v>
      </c>
      <c r="G22" s="173">
        <v>0</v>
      </c>
    </row>
    <row r="23" spans="1:7">
      <c r="A23" s="179" t="s">
        <v>2818</v>
      </c>
      <c r="B23" s="173">
        <v>0</v>
      </c>
      <c r="C23" s="173">
        <v>0</v>
      </c>
      <c r="D23" s="173">
        <v>0</v>
      </c>
      <c r="E23" s="173">
        <v>0</v>
      </c>
      <c r="F23" s="173">
        <v>0</v>
      </c>
      <c r="G23" s="173">
        <v>0</v>
      </c>
    </row>
    <row r="24" spans="1:7">
      <c r="A24" s="179" t="s">
        <v>2818</v>
      </c>
      <c r="B24" s="173">
        <v>0</v>
      </c>
      <c r="C24" s="173">
        <v>0</v>
      </c>
      <c r="D24" s="173">
        <v>0</v>
      </c>
      <c r="E24" s="173">
        <v>0</v>
      </c>
      <c r="F24" s="173">
        <v>0</v>
      </c>
      <c r="G24" s="173">
        <v>0</v>
      </c>
    </row>
    <row r="25" spans="1:7">
      <c r="A25" s="179" t="s">
        <v>2818</v>
      </c>
      <c r="B25" s="173">
        <v>0</v>
      </c>
      <c r="C25" s="173">
        <v>0</v>
      </c>
      <c r="D25" s="173">
        <v>0</v>
      </c>
      <c r="E25" s="173">
        <v>0</v>
      </c>
      <c r="F25" s="173">
        <v>0</v>
      </c>
      <c r="G25" s="173">
        <v>0</v>
      </c>
    </row>
    <row r="26" spans="1:7">
      <c r="A26" s="179" t="s">
        <v>2818</v>
      </c>
      <c r="B26" s="173">
        <v>0</v>
      </c>
      <c r="C26" s="173">
        <v>0</v>
      </c>
      <c r="D26" s="173">
        <v>0</v>
      </c>
      <c r="E26" s="173">
        <v>0</v>
      </c>
      <c r="F26" s="173">
        <v>0</v>
      </c>
      <c r="G26" s="173">
        <v>0</v>
      </c>
    </row>
  </sheetData>
  <mergeCells count="2">
    <mergeCell ref="A1:G1"/>
    <mergeCell ref="A2:G2"/>
  </mergeCells>
  <hyperlinks>
    <hyperlink ref="A3" location="'Fund Balance Summary'!A1" display="(Return to summary sheet)" xr:uid="{00000000-0004-0000-1C00-000000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E9F54D"/>
  </sheetPr>
  <dimension ref="A1:B25"/>
  <sheetViews>
    <sheetView workbookViewId="0">
      <selection sqref="A1:B1"/>
    </sheetView>
  </sheetViews>
  <sheetFormatPr defaultRowHeight="15"/>
  <cols>
    <col min="1" max="1" width="41.28515625" customWidth="1"/>
    <col min="2" max="2" width="33.7109375" customWidth="1"/>
  </cols>
  <sheetData>
    <row r="1" spans="1:2">
      <c r="A1" s="504" t="s">
        <v>2819</v>
      </c>
      <c r="B1" s="504"/>
    </row>
    <row r="2" spans="1:2">
      <c r="A2" s="437" t="s">
        <v>1232</v>
      </c>
      <c r="B2" s="437"/>
    </row>
    <row r="3" spans="1:2">
      <c r="A3" s="6" t="s">
        <v>1241</v>
      </c>
    </row>
    <row r="4" spans="1:2">
      <c r="B4" s="7" t="s">
        <v>1232</v>
      </c>
    </row>
    <row r="5" spans="1:2">
      <c r="A5" s="22" t="s">
        <v>2820</v>
      </c>
      <c r="B5" s="19">
        <f t="shared" ref="B5" si="0">SUM(B6:B99)</f>
        <v>0</v>
      </c>
    </row>
    <row r="6" spans="1:2">
      <c r="A6" s="179" t="s">
        <v>2818</v>
      </c>
      <c r="B6" s="173">
        <v>0</v>
      </c>
    </row>
    <row r="7" spans="1:2">
      <c r="A7" s="179" t="s">
        <v>2818</v>
      </c>
      <c r="B7" s="173">
        <v>0</v>
      </c>
    </row>
    <row r="8" spans="1:2">
      <c r="A8" s="179" t="s">
        <v>2818</v>
      </c>
      <c r="B8" s="173">
        <v>0</v>
      </c>
    </row>
    <row r="9" spans="1:2">
      <c r="A9" s="179" t="s">
        <v>2818</v>
      </c>
      <c r="B9" s="173">
        <v>0</v>
      </c>
    </row>
    <row r="10" spans="1:2">
      <c r="A10" s="179" t="s">
        <v>2818</v>
      </c>
      <c r="B10" s="173">
        <v>0</v>
      </c>
    </row>
    <row r="11" spans="1:2">
      <c r="A11" s="179" t="s">
        <v>2818</v>
      </c>
      <c r="B11" s="173">
        <v>0</v>
      </c>
    </row>
    <row r="12" spans="1:2">
      <c r="A12" s="179" t="s">
        <v>2818</v>
      </c>
      <c r="B12" s="173">
        <v>0</v>
      </c>
    </row>
    <row r="13" spans="1:2">
      <c r="A13" s="179" t="s">
        <v>2818</v>
      </c>
      <c r="B13" s="173">
        <v>0</v>
      </c>
    </row>
    <row r="14" spans="1:2">
      <c r="A14" s="179" t="s">
        <v>2818</v>
      </c>
      <c r="B14" s="173">
        <v>0</v>
      </c>
    </row>
    <row r="15" spans="1:2">
      <c r="A15" s="179" t="s">
        <v>2818</v>
      </c>
      <c r="B15" s="173">
        <v>0</v>
      </c>
    </row>
    <row r="16" spans="1:2">
      <c r="A16" s="179" t="s">
        <v>2818</v>
      </c>
      <c r="B16" s="173">
        <v>0</v>
      </c>
    </row>
    <row r="17" spans="1:2">
      <c r="A17" s="179" t="s">
        <v>2818</v>
      </c>
      <c r="B17" s="173">
        <v>0</v>
      </c>
    </row>
    <row r="18" spans="1:2">
      <c r="A18" s="179" t="s">
        <v>2818</v>
      </c>
      <c r="B18" s="173">
        <v>0</v>
      </c>
    </row>
    <row r="19" spans="1:2">
      <c r="A19" s="179" t="s">
        <v>2818</v>
      </c>
      <c r="B19" s="173">
        <v>0</v>
      </c>
    </row>
    <row r="20" spans="1:2">
      <c r="A20" s="179" t="s">
        <v>2818</v>
      </c>
      <c r="B20" s="173">
        <v>0</v>
      </c>
    </row>
    <row r="21" spans="1:2">
      <c r="A21" s="179" t="s">
        <v>2818</v>
      </c>
      <c r="B21" s="173">
        <v>0</v>
      </c>
    </row>
    <row r="22" spans="1:2">
      <c r="A22" s="179" t="s">
        <v>2818</v>
      </c>
      <c r="B22" s="173">
        <v>0</v>
      </c>
    </row>
    <row r="23" spans="1:2">
      <c r="A23" s="179" t="s">
        <v>2818</v>
      </c>
      <c r="B23" s="173">
        <v>0</v>
      </c>
    </row>
    <row r="24" spans="1:2">
      <c r="A24" s="179" t="s">
        <v>2818</v>
      </c>
      <c r="B24" s="173">
        <v>0</v>
      </c>
    </row>
    <row r="25" spans="1:2">
      <c r="A25" s="179" t="s">
        <v>2818</v>
      </c>
      <c r="B25" s="173">
        <v>0</v>
      </c>
    </row>
  </sheetData>
  <mergeCells count="2">
    <mergeCell ref="A1:B1"/>
    <mergeCell ref="A2:B2"/>
  </mergeCells>
  <hyperlinks>
    <hyperlink ref="A3" location="'Fund Balance Summary'!A1" display="(Return to summary sheet)" xr:uid="{00000000-0004-0000-1D00-000000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27389-E6E3-49BA-8B6E-F688CB82484E}">
  <sheetPr>
    <tabColor rgb="FFE9F54D"/>
  </sheetPr>
  <dimension ref="A1:F25"/>
  <sheetViews>
    <sheetView workbookViewId="0">
      <selection sqref="A1:B1"/>
    </sheetView>
  </sheetViews>
  <sheetFormatPr defaultRowHeight="15"/>
  <cols>
    <col min="1" max="1" width="41.28515625" customWidth="1"/>
    <col min="2" max="2" width="33.7109375" customWidth="1"/>
  </cols>
  <sheetData>
    <row r="1" spans="1:6">
      <c r="A1" s="504" t="s">
        <v>2821</v>
      </c>
      <c r="B1" s="504"/>
      <c r="C1" s="457" t="s">
        <v>2822</v>
      </c>
      <c r="D1" s="457"/>
      <c r="E1" s="457"/>
      <c r="F1" s="457"/>
    </row>
    <row r="2" spans="1:6">
      <c r="A2" s="437" t="s">
        <v>1232</v>
      </c>
      <c r="B2" s="437"/>
      <c r="C2" s="457"/>
      <c r="D2" s="457"/>
      <c r="E2" s="457"/>
      <c r="F2" s="457"/>
    </row>
    <row r="3" spans="1:6">
      <c r="A3" s="6" t="s">
        <v>1241</v>
      </c>
      <c r="C3" s="457"/>
      <c r="D3" s="457"/>
      <c r="E3" s="457"/>
      <c r="F3" s="457"/>
    </row>
    <row r="4" spans="1:6">
      <c r="B4" s="7" t="s">
        <v>1232</v>
      </c>
    </row>
    <row r="5" spans="1:6">
      <c r="A5" s="22" t="s">
        <v>2823</v>
      </c>
      <c r="B5" s="19">
        <f t="shared" ref="B5" si="0">SUM(B6:B99)</f>
        <v>0</v>
      </c>
    </row>
    <row r="6" spans="1:6">
      <c r="A6" s="179" t="s">
        <v>2818</v>
      </c>
      <c r="B6" s="173">
        <v>0</v>
      </c>
    </row>
    <row r="7" spans="1:6">
      <c r="A7" s="179" t="s">
        <v>2818</v>
      </c>
      <c r="B7" s="173">
        <v>0</v>
      </c>
    </row>
    <row r="8" spans="1:6">
      <c r="A8" s="179" t="s">
        <v>2818</v>
      </c>
      <c r="B8" s="173">
        <v>0</v>
      </c>
    </row>
    <row r="9" spans="1:6">
      <c r="A9" s="179" t="s">
        <v>2818</v>
      </c>
      <c r="B9" s="173">
        <v>0</v>
      </c>
    </row>
    <row r="10" spans="1:6">
      <c r="A10" s="179" t="s">
        <v>2818</v>
      </c>
      <c r="B10" s="173">
        <v>0</v>
      </c>
    </row>
    <row r="11" spans="1:6">
      <c r="A11" s="179" t="s">
        <v>2818</v>
      </c>
      <c r="B11" s="173">
        <v>0</v>
      </c>
    </row>
    <row r="12" spans="1:6">
      <c r="A12" s="179" t="s">
        <v>2818</v>
      </c>
      <c r="B12" s="173">
        <v>0</v>
      </c>
    </row>
    <row r="13" spans="1:6">
      <c r="A13" s="179" t="s">
        <v>2818</v>
      </c>
      <c r="B13" s="173">
        <v>0</v>
      </c>
    </row>
    <row r="14" spans="1:6">
      <c r="A14" s="179" t="s">
        <v>2818</v>
      </c>
      <c r="B14" s="173">
        <v>0</v>
      </c>
    </row>
    <row r="15" spans="1:6">
      <c r="A15" s="179" t="s">
        <v>2818</v>
      </c>
      <c r="B15" s="173">
        <v>0</v>
      </c>
    </row>
    <row r="16" spans="1:6">
      <c r="A16" s="179" t="s">
        <v>2818</v>
      </c>
      <c r="B16" s="173">
        <v>0</v>
      </c>
    </row>
    <row r="17" spans="1:2">
      <c r="A17" s="179" t="s">
        <v>2818</v>
      </c>
      <c r="B17" s="173">
        <v>0</v>
      </c>
    </row>
    <row r="18" spans="1:2">
      <c r="A18" s="179" t="s">
        <v>2818</v>
      </c>
      <c r="B18" s="173">
        <v>0</v>
      </c>
    </row>
    <row r="19" spans="1:2">
      <c r="A19" s="179" t="s">
        <v>2818</v>
      </c>
      <c r="B19" s="173">
        <v>0</v>
      </c>
    </row>
    <row r="20" spans="1:2">
      <c r="A20" s="179" t="s">
        <v>2818</v>
      </c>
      <c r="B20" s="173">
        <v>0</v>
      </c>
    </row>
    <row r="21" spans="1:2">
      <c r="A21" s="179" t="s">
        <v>2818</v>
      </c>
      <c r="B21" s="173">
        <v>0</v>
      </c>
    </row>
    <row r="22" spans="1:2">
      <c r="A22" s="179" t="s">
        <v>2818</v>
      </c>
      <c r="B22" s="173">
        <v>0</v>
      </c>
    </row>
    <row r="23" spans="1:2">
      <c r="A23" s="179" t="s">
        <v>2818</v>
      </c>
      <c r="B23" s="173">
        <v>0</v>
      </c>
    </row>
    <row r="24" spans="1:2">
      <c r="A24" s="179" t="s">
        <v>2818</v>
      </c>
      <c r="B24" s="173">
        <v>0</v>
      </c>
    </row>
    <row r="25" spans="1:2">
      <c r="A25" s="179" t="s">
        <v>2818</v>
      </c>
      <c r="B25" s="173">
        <v>0</v>
      </c>
    </row>
  </sheetData>
  <mergeCells count="3">
    <mergeCell ref="A1:B1"/>
    <mergeCell ref="A2:B2"/>
    <mergeCell ref="C1:F3"/>
  </mergeCells>
  <hyperlinks>
    <hyperlink ref="A3" location="'Fund Balance Summary'!A1" display="(Return to summary sheet)" xr:uid="{EE0AA40C-6963-4846-9109-E5A82DC04A88}"/>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B11"/>
  <sheetViews>
    <sheetView workbookViewId="0">
      <selection activeCell="G29" sqref="G29"/>
    </sheetView>
  </sheetViews>
  <sheetFormatPr defaultRowHeight="15"/>
  <cols>
    <col min="1" max="1" width="31.5703125" bestFit="1" customWidth="1"/>
    <col min="2" max="2" width="20.42578125" customWidth="1"/>
  </cols>
  <sheetData>
    <row r="1" spans="1:2">
      <c r="A1" s="437" t="s">
        <v>2824</v>
      </c>
      <c r="B1" s="437"/>
    </row>
    <row r="2" spans="1:2">
      <c r="A2" s="505" t="s">
        <v>1232</v>
      </c>
      <c r="B2" s="505"/>
    </row>
    <row r="3" spans="1:2">
      <c r="A3" s="6" t="s">
        <v>1737</v>
      </c>
    </row>
    <row r="5" spans="1:2">
      <c r="B5" s="178" t="s">
        <v>1232</v>
      </c>
    </row>
    <row r="6" spans="1:2">
      <c r="A6" s="176" t="s">
        <v>694</v>
      </c>
      <c r="B6" s="177">
        <f>SUM(B7:B11)</f>
        <v>0</v>
      </c>
    </row>
    <row r="7" spans="1:2">
      <c r="A7" s="175" t="s">
        <v>2825</v>
      </c>
      <c r="B7" s="173">
        <v>0</v>
      </c>
    </row>
    <row r="8" spans="1:2">
      <c r="A8" s="175" t="s">
        <v>2825</v>
      </c>
      <c r="B8" s="173">
        <v>0</v>
      </c>
    </row>
    <row r="9" spans="1:2">
      <c r="A9" s="175" t="s">
        <v>2825</v>
      </c>
      <c r="B9" s="173">
        <v>0</v>
      </c>
    </row>
    <row r="10" spans="1:2">
      <c r="A10" s="175" t="s">
        <v>2825</v>
      </c>
      <c r="B10" s="173">
        <v>0</v>
      </c>
    </row>
    <row r="11" spans="1:2">
      <c r="A11" s="175" t="s">
        <v>2825</v>
      </c>
      <c r="B11" s="173">
        <v>0</v>
      </c>
    </row>
  </sheetData>
  <mergeCells count="2">
    <mergeCell ref="A1:B1"/>
    <mergeCell ref="A2:B2"/>
  </mergeCells>
  <hyperlinks>
    <hyperlink ref="A3" location="'Fund Balance Summary'!A1" display="(Return to Summary Sheet)" xr:uid="{00000000-0004-0000-1E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B15"/>
  <sheetViews>
    <sheetView workbookViewId="0">
      <selection sqref="A1:B1"/>
    </sheetView>
  </sheetViews>
  <sheetFormatPr defaultRowHeight="15"/>
  <cols>
    <col min="1" max="1" width="33.42578125" bestFit="1" customWidth="1"/>
    <col min="2" max="2" width="27.7109375" customWidth="1"/>
  </cols>
  <sheetData>
    <row r="1" spans="1:2">
      <c r="A1" s="437" t="s">
        <v>2826</v>
      </c>
      <c r="B1" s="437"/>
    </row>
    <row r="2" spans="1:2">
      <c r="A2" s="505" t="s">
        <v>1232</v>
      </c>
      <c r="B2" s="505"/>
    </row>
    <row r="3" spans="1:2">
      <c r="A3" s="6" t="s">
        <v>1737</v>
      </c>
    </row>
    <row r="5" spans="1:2">
      <c r="A5" s="22" t="s">
        <v>694</v>
      </c>
      <c r="B5" s="19">
        <f>SUM(B6:B15)</f>
        <v>0</v>
      </c>
    </row>
    <row r="6" spans="1:2">
      <c r="A6" s="175" t="s">
        <v>2827</v>
      </c>
      <c r="B6" s="173">
        <v>0</v>
      </c>
    </row>
    <row r="7" spans="1:2">
      <c r="A7" s="175" t="s">
        <v>2827</v>
      </c>
      <c r="B7" s="173">
        <v>0</v>
      </c>
    </row>
    <row r="8" spans="1:2">
      <c r="A8" s="175" t="s">
        <v>2827</v>
      </c>
      <c r="B8" s="173">
        <v>0</v>
      </c>
    </row>
    <row r="9" spans="1:2">
      <c r="A9" s="175" t="s">
        <v>2827</v>
      </c>
      <c r="B9" s="173">
        <v>0</v>
      </c>
    </row>
    <row r="10" spans="1:2">
      <c r="A10" s="175" t="s">
        <v>2827</v>
      </c>
      <c r="B10" s="173">
        <v>0</v>
      </c>
    </row>
    <row r="11" spans="1:2">
      <c r="A11" s="175" t="s">
        <v>2827</v>
      </c>
      <c r="B11" s="173">
        <v>0</v>
      </c>
    </row>
    <row r="12" spans="1:2">
      <c r="A12" s="175" t="s">
        <v>2827</v>
      </c>
      <c r="B12" s="173">
        <v>0</v>
      </c>
    </row>
    <row r="13" spans="1:2">
      <c r="A13" s="175" t="s">
        <v>2827</v>
      </c>
      <c r="B13" s="173">
        <v>0</v>
      </c>
    </row>
    <row r="14" spans="1:2">
      <c r="A14" s="175" t="s">
        <v>2827</v>
      </c>
      <c r="B14" s="173">
        <v>0</v>
      </c>
    </row>
    <row r="15" spans="1:2">
      <c r="A15" s="175" t="s">
        <v>2827</v>
      </c>
      <c r="B15" s="173">
        <v>0</v>
      </c>
    </row>
  </sheetData>
  <mergeCells count="2">
    <mergeCell ref="A1:B1"/>
    <mergeCell ref="A2:B2"/>
  </mergeCells>
  <hyperlinks>
    <hyperlink ref="A3" location="'Fund Balance Summary'!A1" display="(Return to Summary Sheet)" xr:uid="{00000000-0004-0000-1F00-000000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B25"/>
  <sheetViews>
    <sheetView workbookViewId="0">
      <selection sqref="A1:B1"/>
    </sheetView>
  </sheetViews>
  <sheetFormatPr defaultRowHeight="15"/>
  <cols>
    <col min="1" max="1" width="46.28515625" bestFit="1" customWidth="1"/>
    <col min="2" max="2" width="31.28515625" customWidth="1"/>
  </cols>
  <sheetData>
    <row r="1" spans="1:2">
      <c r="A1" s="437" t="s">
        <v>2828</v>
      </c>
      <c r="B1" s="437"/>
    </row>
    <row r="2" spans="1:2">
      <c r="A2" s="505" t="s">
        <v>1232</v>
      </c>
      <c r="B2" s="505"/>
    </row>
    <row r="3" spans="1:2">
      <c r="A3" s="6" t="s">
        <v>1737</v>
      </c>
    </row>
    <row r="5" spans="1:2">
      <c r="A5" s="22" t="s">
        <v>694</v>
      </c>
      <c r="B5" s="19">
        <f>SUM(B6:B25)</f>
        <v>0</v>
      </c>
    </row>
    <row r="6" spans="1:2">
      <c r="A6" s="175" t="s">
        <v>2829</v>
      </c>
      <c r="B6" s="173">
        <v>0</v>
      </c>
    </row>
    <row r="7" spans="1:2">
      <c r="A7" s="175" t="s">
        <v>2829</v>
      </c>
      <c r="B7" s="173">
        <v>0</v>
      </c>
    </row>
    <row r="8" spans="1:2">
      <c r="A8" s="175" t="s">
        <v>2829</v>
      </c>
      <c r="B8" s="173">
        <v>0</v>
      </c>
    </row>
    <row r="9" spans="1:2">
      <c r="A9" s="175" t="s">
        <v>2829</v>
      </c>
      <c r="B9" s="173">
        <v>0</v>
      </c>
    </row>
    <row r="10" spans="1:2">
      <c r="A10" s="175" t="s">
        <v>2829</v>
      </c>
      <c r="B10" s="173">
        <v>0</v>
      </c>
    </row>
    <row r="11" spans="1:2">
      <c r="A11" s="175" t="s">
        <v>2829</v>
      </c>
      <c r="B11" s="173">
        <v>0</v>
      </c>
    </row>
    <row r="12" spans="1:2">
      <c r="A12" s="175" t="s">
        <v>2829</v>
      </c>
      <c r="B12" s="173">
        <v>0</v>
      </c>
    </row>
    <row r="13" spans="1:2">
      <c r="A13" s="175" t="s">
        <v>2829</v>
      </c>
      <c r="B13" s="173">
        <v>0</v>
      </c>
    </row>
    <row r="14" spans="1:2">
      <c r="A14" s="175" t="s">
        <v>2829</v>
      </c>
      <c r="B14" s="173">
        <v>0</v>
      </c>
    </row>
    <row r="15" spans="1:2">
      <c r="A15" s="175" t="s">
        <v>2829</v>
      </c>
      <c r="B15" s="173">
        <v>0</v>
      </c>
    </row>
    <row r="16" spans="1:2">
      <c r="A16" s="175" t="s">
        <v>2829</v>
      </c>
      <c r="B16" s="173">
        <v>0</v>
      </c>
    </row>
    <row r="17" spans="1:2">
      <c r="A17" s="175" t="s">
        <v>2829</v>
      </c>
      <c r="B17" s="173">
        <v>0</v>
      </c>
    </row>
    <row r="18" spans="1:2">
      <c r="A18" s="175" t="s">
        <v>2829</v>
      </c>
      <c r="B18" s="173">
        <v>0</v>
      </c>
    </row>
    <row r="19" spans="1:2">
      <c r="A19" s="175" t="s">
        <v>2829</v>
      </c>
      <c r="B19" s="173">
        <v>0</v>
      </c>
    </row>
    <row r="20" spans="1:2">
      <c r="A20" s="175" t="s">
        <v>2829</v>
      </c>
      <c r="B20" s="173">
        <v>0</v>
      </c>
    </row>
    <row r="21" spans="1:2">
      <c r="A21" s="175" t="s">
        <v>2829</v>
      </c>
      <c r="B21" s="173">
        <v>0</v>
      </c>
    </row>
    <row r="22" spans="1:2">
      <c r="A22" s="175" t="s">
        <v>2829</v>
      </c>
      <c r="B22" s="173">
        <v>0</v>
      </c>
    </row>
    <row r="23" spans="1:2">
      <c r="A23" s="175" t="s">
        <v>2829</v>
      </c>
      <c r="B23" s="173">
        <v>0</v>
      </c>
    </row>
    <row r="24" spans="1:2">
      <c r="A24" s="175" t="s">
        <v>2829</v>
      </c>
      <c r="B24" s="173">
        <v>0</v>
      </c>
    </row>
    <row r="25" spans="1:2">
      <c r="A25" s="175" t="s">
        <v>2829</v>
      </c>
      <c r="B25" s="173">
        <v>0</v>
      </c>
    </row>
  </sheetData>
  <mergeCells count="2">
    <mergeCell ref="A1:B1"/>
    <mergeCell ref="A2:B2"/>
  </mergeCells>
  <hyperlinks>
    <hyperlink ref="A3" location="'Fund Balance Summary'!A1" display="(Return to Summary Sheet)" xr:uid="{00000000-0004-0000-2000-000000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
  <sheetViews>
    <sheetView workbookViewId="0"/>
  </sheetViews>
  <sheetFormatPr defaultRowHeight="15"/>
  <sheetData/>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270C0"/>
  </sheetPr>
  <dimension ref="A1"/>
  <sheetViews>
    <sheetView workbookViewId="0"/>
  </sheetViews>
  <sheetFormatPr defaultRowHeight="1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U337"/>
  <sheetViews>
    <sheetView workbookViewId="0">
      <pane xSplit="3" ySplit="6" topLeftCell="AG309" activePane="bottomRight" state="frozen"/>
      <selection pane="bottomRight" activeCell="AU5" sqref="AU5:AW334"/>
      <selection pane="bottomLeft" activeCell="A8" sqref="A8"/>
      <selection pane="topRight" activeCell="C1" sqref="C1"/>
    </sheetView>
  </sheetViews>
  <sheetFormatPr defaultColWidth="9.140625" defaultRowHeight="15"/>
  <cols>
    <col min="1" max="1" width="16.85546875" customWidth="1"/>
    <col min="2" max="2" width="6" bestFit="1" customWidth="1"/>
    <col min="3" max="3" width="17.28515625" customWidth="1"/>
    <col min="4" max="4" width="13.28515625" bestFit="1" customWidth="1"/>
    <col min="5" max="5" width="14.28515625" bestFit="1" customWidth="1"/>
    <col min="6" max="6" width="11.85546875" bestFit="1" customWidth="1"/>
    <col min="7" max="7" width="13.5703125" bestFit="1" customWidth="1"/>
    <col min="8" max="11" width="12" bestFit="1" customWidth="1"/>
    <col min="12" max="12" width="11" bestFit="1" customWidth="1"/>
    <col min="13" max="13" width="12" bestFit="1" customWidth="1"/>
    <col min="14" max="14" width="10" bestFit="1" customWidth="1"/>
    <col min="15" max="15" width="7.5703125" bestFit="1" customWidth="1"/>
    <col min="16" max="16" width="9" bestFit="1" customWidth="1"/>
    <col min="17" max="17" width="10.28515625" customWidth="1"/>
    <col min="18" max="18" width="8.5703125" customWidth="1"/>
    <col min="19" max="19" width="11.5703125" bestFit="1" customWidth="1"/>
    <col min="20" max="20" width="11" customWidth="1"/>
    <col min="21" max="21" width="15.5703125" bestFit="1" customWidth="1"/>
    <col min="22" max="22" width="13.85546875" bestFit="1" customWidth="1"/>
    <col min="23" max="24" width="13.5703125" customWidth="1"/>
    <col min="25" max="25" width="13.5703125" bestFit="1" customWidth="1"/>
    <col min="26" max="26" width="13.28515625" customWidth="1"/>
    <col min="27" max="27" width="14.5703125" bestFit="1" customWidth="1"/>
    <col min="28" max="28" width="15.5703125" bestFit="1" customWidth="1"/>
    <col min="29" max="29" width="12.5703125" bestFit="1" customWidth="1"/>
    <col min="30" max="30" width="10.5703125" bestFit="1" customWidth="1"/>
    <col min="31" max="31" width="15.28515625" bestFit="1" customWidth="1"/>
    <col min="32" max="33" width="13.28515625" bestFit="1" customWidth="1"/>
    <col min="34" max="34" width="11.5703125" bestFit="1" customWidth="1"/>
    <col min="35" max="35" width="10.5703125" bestFit="1" customWidth="1"/>
    <col min="36" max="36" width="15.28515625" bestFit="1" customWidth="1"/>
    <col min="37" max="37" width="12.42578125" bestFit="1" customWidth="1"/>
    <col min="38" max="38" width="13.28515625" bestFit="1" customWidth="1"/>
    <col min="39" max="39" width="11" bestFit="1" customWidth="1"/>
    <col min="40" max="40" width="11.5703125" bestFit="1" customWidth="1"/>
    <col min="41" max="41" width="11" bestFit="1" customWidth="1"/>
    <col min="42" max="42" width="12.28515625" bestFit="1" customWidth="1"/>
    <col min="43" max="43" width="11.28515625" bestFit="1" customWidth="1"/>
    <col min="44" max="44" width="12.28515625" bestFit="1" customWidth="1"/>
    <col min="45" max="45" width="11.5703125" bestFit="1" customWidth="1"/>
    <col min="46" max="46" width="9.42578125" bestFit="1" customWidth="1"/>
    <col min="47" max="47" width="11.5703125" bestFit="1" customWidth="1"/>
    <col min="49" max="49" width="7.140625" bestFit="1" customWidth="1"/>
    <col min="50" max="50" width="12.85546875" bestFit="1" customWidth="1"/>
    <col min="51" max="51" width="12.5703125" bestFit="1" customWidth="1"/>
  </cols>
  <sheetData>
    <row r="1" spans="1:99">
      <c r="A1" s="370"/>
      <c r="B1" s="370">
        <v>1</v>
      </c>
      <c r="C1" s="370">
        <f>1+B1</f>
        <v>2</v>
      </c>
      <c r="D1" s="370">
        <f t="shared" ref="D1" si="0">1+C1</f>
        <v>3</v>
      </c>
      <c r="E1" s="370">
        <f t="shared" ref="E1" si="1">1+D1</f>
        <v>4</v>
      </c>
      <c r="F1" s="370">
        <f t="shared" ref="F1" si="2">1+E1</f>
        <v>5</v>
      </c>
      <c r="G1" s="370">
        <f t="shared" ref="G1" si="3">1+F1</f>
        <v>6</v>
      </c>
      <c r="H1" s="370">
        <f t="shared" ref="H1" si="4">1+G1</f>
        <v>7</v>
      </c>
      <c r="I1" s="370">
        <f t="shared" ref="I1" si="5">1+H1</f>
        <v>8</v>
      </c>
      <c r="J1" s="370">
        <f t="shared" ref="J1" si="6">1+I1</f>
        <v>9</v>
      </c>
      <c r="K1" s="370">
        <f t="shared" ref="K1" si="7">1+J1</f>
        <v>10</v>
      </c>
      <c r="L1" s="370">
        <f t="shared" ref="L1" si="8">1+K1</f>
        <v>11</v>
      </c>
      <c r="M1" s="370">
        <f t="shared" ref="M1" si="9">1+L1</f>
        <v>12</v>
      </c>
      <c r="N1" s="370">
        <f t="shared" ref="N1" si="10">1+M1</f>
        <v>13</v>
      </c>
      <c r="O1" s="370">
        <f t="shared" ref="O1" si="11">1+N1</f>
        <v>14</v>
      </c>
      <c r="P1" s="370">
        <f t="shared" ref="P1" si="12">1+O1</f>
        <v>15</v>
      </c>
      <c r="Q1" s="370">
        <f t="shared" ref="Q1" si="13">1+P1</f>
        <v>16</v>
      </c>
      <c r="R1" s="370">
        <f t="shared" ref="R1" si="14">1+Q1</f>
        <v>17</v>
      </c>
      <c r="S1" s="370">
        <f t="shared" ref="S1" si="15">1+R1</f>
        <v>18</v>
      </c>
      <c r="T1" s="370">
        <f t="shared" ref="T1" si="16">1+S1</f>
        <v>19</v>
      </c>
      <c r="U1" s="370">
        <f t="shared" ref="U1" si="17">1+T1</f>
        <v>20</v>
      </c>
      <c r="V1" s="370">
        <f t="shared" ref="V1" si="18">1+U1</f>
        <v>21</v>
      </c>
      <c r="W1" s="370">
        <f t="shared" ref="W1" si="19">1+V1</f>
        <v>22</v>
      </c>
      <c r="X1" s="370">
        <f t="shared" ref="X1" si="20">1+W1</f>
        <v>23</v>
      </c>
      <c r="Y1" s="370">
        <f t="shared" ref="Y1" si="21">1+X1</f>
        <v>24</v>
      </c>
      <c r="Z1" s="370">
        <f t="shared" ref="Z1" si="22">1+Y1</f>
        <v>25</v>
      </c>
      <c r="AA1" s="370">
        <f t="shared" ref="AA1" si="23">1+Z1</f>
        <v>26</v>
      </c>
      <c r="AB1" s="370">
        <f t="shared" ref="AB1" si="24">1+AA1</f>
        <v>27</v>
      </c>
      <c r="AC1" s="370">
        <f t="shared" ref="AC1" si="25">1+AB1</f>
        <v>28</v>
      </c>
      <c r="AD1" s="370">
        <f t="shared" ref="AD1" si="26">1+AC1</f>
        <v>29</v>
      </c>
      <c r="AE1" s="370">
        <f t="shared" ref="AE1" si="27">1+AD1</f>
        <v>30</v>
      </c>
      <c r="AF1" s="370">
        <f t="shared" ref="AF1" si="28">1+AE1</f>
        <v>31</v>
      </c>
      <c r="AG1" s="370">
        <f t="shared" ref="AG1" si="29">1+AF1</f>
        <v>32</v>
      </c>
      <c r="AH1" s="370">
        <f t="shared" ref="AH1" si="30">1+AG1</f>
        <v>33</v>
      </c>
      <c r="AI1" s="370">
        <f t="shared" ref="AI1" si="31">1+AH1</f>
        <v>34</v>
      </c>
      <c r="AJ1" s="370">
        <f t="shared" ref="AJ1" si="32">1+AI1</f>
        <v>35</v>
      </c>
      <c r="AK1" s="370">
        <f t="shared" ref="AK1" si="33">1+AJ1</f>
        <v>36</v>
      </c>
      <c r="AL1" s="370">
        <f t="shared" ref="AL1" si="34">1+AK1</f>
        <v>37</v>
      </c>
      <c r="AM1" s="370">
        <f t="shared" ref="AM1" si="35">1+AL1</f>
        <v>38</v>
      </c>
      <c r="AN1" s="370">
        <f t="shared" ref="AN1" si="36">1+AM1</f>
        <v>39</v>
      </c>
      <c r="AO1" s="370">
        <f t="shared" ref="AO1" si="37">1+AN1</f>
        <v>40</v>
      </c>
      <c r="AP1" s="210">
        <v>41</v>
      </c>
      <c r="AQ1" s="243">
        <v>42</v>
      </c>
      <c r="AR1" s="243">
        <v>43</v>
      </c>
      <c r="AS1" s="243">
        <v>44</v>
      </c>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row>
    <row r="2" spans="1:99">
      <c r="A2" s="135"/>
      <c r="B2" s="371"/>
      <c r="C2" s="371"/>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208"/>
      <c r="AQ2" s="244" t="s">
        <v>743</v>
      </c>
      <c r="AR2" s="244" t="s">
        <v>743</v>
      </c>
      <c r="AS2" s="244" t="s">
        <v>743</v>
      </c>
      <c r="BA2" s="135"/>
      <c r="BB2" s="371"/>
      <c r="BC2" s="371"/>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135"/>
      <c r="CQ2" s="135"/>
      <c r="CR2" s="135"/>
      <c r="CS2" s="135"/>
      <c r="CT2" s="135"/>
      <c r="CU2" s="135"/>
    </row>
    <row r="3" spans="1:99">
      <c r="A3" s="135"/>
      <c r="B3" s="135"/>
      <c r="C3" s="135"/>
      <c r="D3" s="191" t="s">
        <v>744</v>
      </c>
      <c r="E3" s="154" t="s">
        <v>745</v>
      </c>
      <c r="F3" s="154" t="s">
        <v>746</v>
      </c>
      <c r="G3" s="73" t="s">
        <v>747</v>
      </c>
      <c r="H3" s="135"/>
      <c r="I3" s="73" t="s">
        <v>748</v>
      </c>
      <c r="J3" s="73" t="s">
        <v>749</v>
      </c>
      <c r="K3" s="73" t="s">
        <v>750</v>
      </c>
      <c r="L3" s="73" t="s">
        <v>751</v>
      </c>
      <c r="M3" s="73" t="s">
        <v>752</v>
      </c>
      <c r="N3" s="154" t="s">
        <v>753</v>
      </c>
      <c r="O3" s="154" t="s">
        <v>754</v>
      </c>
      <c r="P3" s="154">
        <v>4159</v>
      </c>
      <c r="Q3" s="135"/>
      <c r="R3" s="135"/>
      <c r="S3" s="155" t="s">
        <v>755</v>
      </c>
      <c r="T3" s="135"/>
      <c r="U3" s="135"/>
      <c r="V3" s="154">
        <v>4126</v>
      </c>
      <c r="W3" s="135"/>
      <c r="X3" s="135"/>
      <c r="Y3" s="154" t="s">
        <v>756</v>
      </c>
      <c r="Z3" s="154" t="s">
        <v>757</v>
      </c>
      <c r="AA3" s="154" t="s">
        <v>758</v>
      </c>
      <c r="AB3" s="154" t="s">
        <v>759</v>
      </c>
      <c r="AC3" s="154" t="s">
        <v>760</v>
      </c>
      <c r="AD3" s="154" t="s">
        <v>761</v>
      </c>
      <c r="AE3" s="154" t="s">
        <v>762</v>
      </c>
      <c r="AF3" s="192"/>
      <c r="AG3" s="192"/>
      <c r="AH3" s="73"/>
      <c r="AI3" s="154" t="s">
        <v>763</v>
      </c>
      <c r="AJ3" s="154" t="s">
        <v>764</v>
      </c>
      <c r="AK3" s="192"/>
      <c r="AL3" s="192"/>
      <c r="AM3" s="73"/>
      <c r="AN3" s="154" t="s">
        <v>765</v>
      </c>
      <c r="AO3" s="154" t="s">
        <v>766</v>
      </c>
      <c r="AP3" s="73"/>
      <c r="AQ3" s="223" t="s">
        <v>767</v>
      </c>
      <c r="AR3" s="223" t="s">
        <v>767</v>
      </c>
      <c r="AS3" s="223" t="s">
        <v>767</v>
      </c>
      <c r="BA3" s="135"/>
      <c r="BB3" s="135"/>
      <c r="BC3" s="135"/>
      <c r="BD3" s="375"/>
      <c r="BE3" s="73"/>
      <c r="BF3" s="73"/>
      <c r="BG3" s="73"/>
      <c r="BH3" s="135"/>
      <c r="BI3" s="73"/>
      <c r="BJ3" s="73"/>
      <c r="BK3" s="73"/>
      <c r="BL3" s="73"/>
      <c r="BM3" s="73"/>
      <c r="BN3" s="73"/>
      <c r="BO3" s="73"/>
      <c r="BP3" s="73"/>
      <c r="BQ3" s="135"/>
      <c r="BR3" s="135"/>
      <c r="BS3" s="135"/>
      <c r="BT3" s="135"/>
      <c r="BU3" s="135"/>
      <c r="BV3" s="73"/>
      <c r="BW3" s="135"/>
      <c r="BX3" s="135"/>
      <c r="BY3" s="73"/>
      <c r="BZ3" s="73"/>
      <c r="CA3" s="73"/>
      <c r="CB3" s="73"/>
      <c r="CC3" s="73"/>
      <c r="CD3" s="73"/>
      <c r="CE3" s="73"/>
      <c r="CF3" s="135"/>
      <c r="CG3" s="135"/>
      <c r="CH3" s="73"/>
      <c r="CI3" s="73"/>
      <c r="CJ3" s="73"/>
      <c r="CK3" s="135"/>
      <c r="CL3" s="135"/>
      <c r="CM3" s="73"/>
      <c r="CN3" s="73"/>
      <c r="CO3" s="73"/>
      <c r="CP3" s="135"/>
      <c r="CQ3" s="135"/>
      <c r="CR3" s="135"/>
      <c r="CS3" s="135"/>
      <c r="CT3" s="135"/>
      <c r="CU3" s="135"/>
    </row>
    <row r="4" spans="1:99" ht="30" customHeight="1">
      <c r="A4" s="135"/>
      <c r="B4" s="135"/>
      <c r="C4" s="135"/>
      <c r="D4" s="73" t="s">
        <v>768</v>
      </c>
      <c r="E4" s="73" t="s">
        <v>769</v>
      </c>
      <c r="F4" s="73" t="s">
        <v>769</v>
      </c>
      <c r="G4" s="155" t="s">
        <v>770</v>
      </c>
      <c r="H4" s="154" t="s">
        <v>771</v>
      </c>
      <c r="I4" s="155" t="s">
        <v>772</v>
      </c>
      <c r="J4" s="155" t="s">
        <v>773</v>
      </c>
      <c r="K4" s="155" t="s">
        <v>774</v>
      </c>
      <c r="L4" s="155" t="s">
        <v>775</v>
      </c>
      <c r="M4" s="155" t="s">
        <v>776</v>
      </c>
      <c r="N4" s="135" t="s">
        <v>777</v>
      </c>
      <c r="O4" s="73" t="s">
        <v>778</v>
      </c>
      <c r="P4" s="73" t="s">
        <v>779</v>
      </c>
      <c r="Q4" s="73" t="s">
        <v>780</v>
      </c>
      <c r="R4" s="73" t="s">
        <v>781</v>
      </c>
      <c r="S4" s="73" t="s">
        <v>782</v>
      </c>
      <c r="T4" s="73" t="s">
        <v>780</v>
      </c>
      <c r="U4" s="73" t="s">
        <v>781</v>
      </c>
      <c r="V4" s="73" t="s">
        <v>783</v>
      </c>
      <c r="W4" s="73" t="s">
        <v>780</v>
      </c>
      <c r="X4" s="73" t="s">
        <v>781</v>
      </c>
      <c r="Y4" s="73" t="s">
        <v>784</v>
      </c>
      <c r="Z4" s="73" t="s">
        <v>785</v>
      </c>
      <c r="AA4" s="73" t="s">
        <v>786</v>
      </c>
      <c r="AB4" s="73" t="s">
        <v>787</v>
      </c>
      <c r="AC4" s="73" t="s">
        <v>788</v>
      </c>
      <c r="AD4" s="73" t="s">
        <v>789</v>
      </c>
      <c r="AE4" s="73" t="s">
        <v>790</v>
      </c>
      <c r="AF4" s="73" t="s">
        <v>791</v>
      </c>
      <c r="AG4" s="73" t="s">
        <v>792</v>
      </c>
      <c r="AH4" s="373" t="s">
        <v>793</v>
      </c>
      <c r="AI4" s="73" t="s">
        <v>785</v>
      </c>
      <c r="AJ4" s="73" t="s">
        <v>794</v>
      </c>
      <c r="AK4" s="73" t="s">
        <v>791</v>
      </c>
      <c r="AL4" s="73" t="s">
        <v>792</v>
      </c>
      <c r="AM4" s="373" t="s">
        <v>785</v>
      </c>
      <c r="AN4" s="135">
        <v>1400</v>
      </c>
      <c r="AO4" s="135">
        <v>5400</v>
      </c>
      <c r="AP4" s="245" t="s">
        <v>795</v>
      </c>
      <c r="AQ4" s="223" t="s">
        <v>796</v>
      </c>
      <c r="AR4" s="223" t="s">
        <v>796</v>
      </c>
      <c r="AS4" s="223" t="s">
        <v>797</v>
      </c>
      <c r="BA4" s="135"/>
      <c r="BB4" s="135"/>
      <c r="BC4" s="135"/>
      <c r="BD4" s="73"/>
      <c r="BE4" s="73"/>
      <c r="BF4" s="73"/>
      <c r="BG4" s="135"/>
      <c r="BH4" s="73"/>
      <c r="BI4" s="135"/>
      <c r="BJ4" s="135"/>
      <c r="BK4" s="135"/>
      <c r="BL4" s="135"/>
      <c r="BM4" s="135"/>
      <c r="BN4" s="135"/>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135"/>
      <c r="CO4" s="135"/>
      <c r="CP4" s="135"/>
      <c r="CQ4" s="135"/>
      <c r="CR4" s="135"/>
      <c r="CS4" s="135"/>
      <c r="CT4" s="135"/>
      <c r="CU4" s="135"/>
    </row>
    <row r="5" spans="1:99">
      <c r="A5" s="135"/>
      <c r="B5" s="135"/>
      <c r="C5" s="135"/>
      <c r="D5" s="374" t="s">
        <v>798</v>
      </c>
      <c r="E5" s="374" t="s">
        <v>799</v>
      </c>
      <c r="F5" s="374" t="s">
        <v>800</v>
      </c>
      <c r="G5" s="375" t="s">
        <v>801</v>
      </c>
      <c r="H5" s="73">
        <v>3121</v>
      </c>
      <c r="I5" s="375" t="s">
        <v>802</v>
      </c>
      <c r="J5" s="375" t="s">
        <v>802</v>
      </c>
      <c r="K5" s="375" t="s">
        <v>803</v>
      </c>
      <c r="L5" s="375" t="s">
        <v>804</v>
      </c>
      <c r="M5" s="375" t="s">
        <v>805</v>
      </c>
      <c r="N5" s="73" t="s">
        <v>806</v>
      </c>
      <c r="O5" s="73" t="s">
        <v>806</v>
      </c>
      <c r="P5" s="135"/>
      <c r="Q5" s="73" t="s">
        <v>807</v>
      </c>
      <c r="R5" s="73" t="s">
        <v>807</v>
      </c>
      <c r="S5" s="73" t="s">
        <v>808</v>
      </c>
      <c r="T5" s="73" t="s">
        <v>809</v>
      </c>
      <c r="U5" s="73" t="s">
        <v>809</v>
      </c>
      <c r="V5" s="135"/>
      <c r="W5" s="73" t="s">
        <v>810</v>
      </c>
      <c r="X5" s="73" t="s">
        <v>810</v>
      </c>
      <c r="Y5" s="73" t="s">
        <v>811</v>
      </c>
      <c r="Z5" s="73" t="s">
        <v>812</v>
      </c>
      <c r="AA5" s="73" t="s">
        <v>812</v>
      </c>
      <c r="AB5" s="73" t="s">
        <v>813</v>
      </c>
      <c r="AC5" s="73" t="s">
        <v>813</v>
      </c>
      <c r="AD5" s="375"/>
      <c r="AE5" s="375" t="s">
        <v>814</v>
      </c>
      <c r="AF5" s="375" t="s">
        <v>815</v>
      </c>
      <c r="AG5" s="375" t="s">
        <v>816</v>
      </c>
      <c r="AH5" s="375"/>
      <c r="AI5" s="73" t="s">
        <v>817</v>
      </c>
      <c r="AJ5" s="375" t="s">
        <v>814</v>
      </c>
      <c r="AK5" s="375" t="s">
        <v>815</v>
      </c>
      <c r="AL5" s="375" t="s">
        <v>816</v>
      </c>
      <c r="AM5" s="135" t="s">
        <v>818</v>
      </c>
      <c r="AN5" s="135"/>
      <c r="AO5" s="135"/>
      <c r="AP5" s="246" t="s">
        <v>819</v>
      </c>
      <c r="AQ5" s="237" t="s">
        <v>820</v>
      </c>
      <c r="AR5" s="189" t="s">
        <v>821</v>
      </c>
      <c r="AS5" s="189" t="s">
        <v>821</v>
      </c>
      <c r="BA5" s="135"/>
      <c r="BB5" s="135"/>
      <c r="BC5" s="135"/>
      <c r="BD5" s="374"/>
      <c r="BE5" s="374"/>
      <c r="BF5" s="374"/>
      <c r="BG5" s="375"/>
      <c r="BH5" s="73"/>
      <c r="BI5" s="375"/>
      <c r="BJ5" s="375"/>
      <c r="BK5" s="375"/>
      <c r="BL5" s="375"/>
      <c r="BM5" s="375"/>
      <c r="BN5" s="73"/>
      <c r="BO5" s="73"/>
      <c r="BP5" s="135"/>
      <c r="BQ5" s="73"/>
      <c r="BR5" s="73"/>
      <c r="BS5" s="73"/>
      <c r="BT5" s="73"/>
      <c r="BU5" s="73"/>
      <c r="BV5" s="135"/>
      <c r="BW5" s="73"/>
      <c r="BX5" s="73"/>
      <c r="BY5" s="73"/>
      <c r="BZ5" s="73"/>
      <c r="CA5" s="73"/>
      <c r="CB5" s="73"/>
      <c r="CC5" s="73"/>
      <c r="CD5" s="375"/>
      <c r="CE5" s="375"/>
      <c r="CF5" s="375"/>
      <c r="CG5" s="375"/>
      <c r="CH5" s="375"/>
      <c r="CI5" s="73"/>
      <c r="CJ5" s="375"/>
      <c r="CK5" s="375"/>
      <c r="CL5" s="375"/>
      <c r="CM5" s="135"/>
      <c r="CN5" s="135"/>
      <c r="CO5" s="135"/>
      <c r="CP5" s="135"/>
      <c r="CQ5" s="135"/>
      <c r="CR5" s="135"/>
      <c r="CS5" s="135"/>
      <c r="CT5" s="135"/>
      <c r="CU5" s="135"/>
    </row>
    <row r="6" spans="1:99">
      <c r="A6" s="376" t="s">
        <v>822</v>
      </c>
      <c r="B6" s="376" t="s">
        <v>823</v>
      </c>
      <c r="C6" s="376" t="s">
        <v>824</v>
      </c>
      <c r="D6" s="377">
        <f t="shared" ref="D6:M6" si="38">SUM(D7:D334)</f>
        <v>1923648.42</v>
      </c>
      <c r="E6" s="377">
        <f t="shared" si="38"/>
        <v>19647167.959999997</v>
      </c>
      <c r="F6" s="377">
        <f t="shared" si="38"/>
        <v>8646582.1499999966</v>
      </c>
      <c r="G6" s="377">
        <f t="shared" si="38"/>
        <v>1633166912.750001</v>
      </c>
      <c r="H6" s="377">
        <f t="shared" si="38"/>
        <v>318875196.09999996</v>
      </c>
      <c r="I6" s="377">
        <f t="shared" si="38"/>
        <v>136733006.47999996</v>
      </c>
      <c r="J6" s="377">
        <f t="shared" si="38"/>
        <v>340037915.87</v>
      </c>
      <c r="K6" s="377">
        <f t="shared" si="38"/>
        <v>243868339.20999992</v>
      </c>
      <c r="L6" s="377">
        <f t="shared" si="38"/>
        <v>34030179.559999995</v>
      </c>
      <c r="M6" s="377">
        <f t="shared" si="38"/>
        <v>665009185.06000006</v>
      </c>
      <c r="N6" s="378">
        <v>4.19E-2</v>
      </c>
      <c r="O6" s="379">
        <v>0.1452</v>
      </c>
      <c r="P6" s="377">
        <f t="shared" ref="P6:R6" si="39">SUM(P7:P334)</f>
        <v>502826.48</v>
      </c>
      <c r="Q6" s="377">
        <f t="shared" si="39"/>
        <v>32367.800000000003</v>
      </c>
      <c r="R6" s="380">
        <f t="shared" si="39"/>
        <v>20939.699999999997</v>
      </c>
      <c r="S6" s="377">
        <f>SUM(S7:S334)</f>
        <v>11399502.120000001</v>
      </c>
      <c r="T6" s="377">
        <f>SUM(T7:T334)</f>
        <v>591348.38100000005</v>
      </c>
      <c r="U6" s="377">
        <f t="shared" ref="U6:AE6" si="40">SUM(U7:U334)</f>
        <v>371603.01</v>
      </c>
      <c r="V6" s="377">
        <f t="shared" si="40"/>
        <v>3055325.07</v>
      </c>
      <c r="W6" s="377">
        <f t="shared" si="40"/>
        <v>225172.87599999979</v>
      </c>
      <c r="X6" s="377">
        <f t="shared" si="40"/>
        <v>115476.31</v>
      </c>
      <c r="Y6" s="377">
        <f t="shared" si="40"/>
        <v>650000.00000000035</v>
      </c>
      <c r="Z6" s="377">
        <f t="shared" si="40"/>
        <v>6140213.6499999985</v>
      </c>
      <c r="AA6" s="377">
        <f t="shared" si="40"/>
        <v>27753179.609999999</v>
      </c>
      <c r="AB6" s="377">
        <f t="shared" si="40"/>
        <v>113723671.49999999</v>
      </c>
      <c r="AC6" s="377">
        <f t="shared" si="40"/>
        <v>588158571.1900003</v>
      </c>
      <c r="AD6" s="381">
        <f t="shared" si="40"/>
        <v>59898.42</v>
      </c>
      <c r="AE6" s="381">
        <f t="shared" si="40"/>
        <v>545906555.06000018</v>
      </c>
      <c r="AF6" s="382">
        <v>2185636</v>
      </c>
      <c r="AG6" s="382">
        <f>SUM(AG7:AG334)</f>
        <v>2431222.9011763562</v>
      </c>
      <c r="AH6" s="381">
        <f>SUM(AH7:AH334)</f>
        <v>245587.24000000008</v>
      </c>
      <c r="AI6" s="381">
        <f>SUM(AI7:AI334)</f>
        <v>11966.379999999996</v>
      </c>
      <c r="AJ6" s="381">
        <f>SUM(AJ7:AJ334)</f>
        <v>105616159.36000004</v>
      </c>
      <c r="AK6" s="382">
        <f t="shared" ref="AK6:AO6" si="41">SUM(AK7:AK334)</f>
        <v>1707802.7894531232</v>
      </c>
      <c r="AL6" s="382">
        <f t="shared" si="41"/>
        <v>1839843.4751223365</v>
      </c>
      <c r="AM6" s="381">
        <f t="shared" si="41"/>
        <v>132040.70000000004</v>
      </c>
      <c r="AN6" s="381">
        <f t="shared" si="41"/>
        <v>581538.35000000009</v>
      </c>
      <c r="AO6" s="381">
        <f t="shared" si="41"/>
        <v>768149.27</v>
      </c>
      <c r="AP6" s="156">
        <f>SUM(AP7:AP334)</f>
        <v>0</v>
      </c>
      <c r="AQ6" s="403">
        <f>SUM(AQ7:AQ334)</f>
        <v>21144053.22000001</v>
      </c>
      <c r="AR6" s="403">
        <f>SUM(AR7:AR334)</f>
        <v>116411601.61999999</v>
      </c>
      <c r="AS6" s="403">
        <f>SUM(AS7:AS334)</f>
        <v>35026442.890000008</v>
      </c>
      <c r="AX6" s="21"/>
      <c r="AY6" s="7"/>
      <c r="AZ6" s="7"/>
      <c r="BA6" s="342"/>
      <c r="BB6" s="376"/>
      <c r="BC6" s="376"/>
      <c r="BD6" s="377"/>
      <c r="BE6" s="377"/>
      <c r="BF6" s="377"/>
      <c r="BG6" s="377"/>
      <c r="BH6" s="377"/>
      <c r="BI6" s="377"/>
      <c r="BJ6" s="377"/>
      <c r="BK6" s="377"/>
      <c r="BL6" s="377"/>
      <c r="BM6" s="377"/>
      <c r="BN6" s="383"/>
      <c r="BO6" s="384"/>
      <c r="BP6" s="377"/>
      <c r="BQ6" s="377"/>
      <c r="BR6" s="385"/>
      <c r="BS6" s="377"/>
      <c r="BT6" s="377"/>
      <c r="BU6" s="377"/>
      <c r="BV6" s="377"/>
      <c r="BW6" s="377"/>
      <c r="BX6" s="377"/>
      <c r="BY6" s="377"/>
      <c r="BZ6" s="377"/>
      <c r="CA6" s="377"/>
      <c r="CB6" s="377"/>
      <c r="CC6" s="377"/>
      <c r="CD6" s="381"/>
      <c r="CE6" s="381"/>
      <c r="CF6" s="381"/>
      <c r="CG6" s="381"/>
      <c r="CH6" s="381"/>
      <c r="CI6" s="381"/>
      <c r="CJ6" s="381"/>
      <c r="CK6" s="381"/>
      <c r="CL6" s="381"/>
      <c r="CM6" s="381"/>
      <c r="CN6" s="381"/>
      <c r="CO6" s="381"/>
      <c r="CP6" s="376"/>
      <c r="CQ6" s="376"/>
      <c r="CR6" s="376"/>
      <c r="CS6" s="376"/>
      <c r="CT6" s="376"/>
      <c r="CU6" s="376"/>
    </row>
    <row r="7" spans="1:99">
      <c r="A7" s="342" t="s">
        <v>32</v>
      </c>
      <c r="B7" s="342" t="s">
        <v>31</v>
      </c>
      <c r="C7" s="342" t="s">
        <v>825</v>
      </c>
      <c r="D7" s="157">
        <v>0</v>
      </c>
      <c r="E7" s="157">
        <v>138097.73000000001</v>
      </c>
      <c r="F7" s="157">
        <v>0</v>
      </c>
      <c r="G7" s="157">
        <v>4638280.2699999996</v>
      </c>
      <c r="H7" s="157">
        <v>1089521.2</v>
      </c>
      <c r="I7" s="157">
        <v>895973.04</v>
      </c>
      <c r="J7" s="157">
        <v>1493702.17</v>
      </c>
      <c r="K7" s="157">
        <v>702206.74</v>
      </c>
      <c r="L7" s="157">
        <v>94138.72</v>
      </c>
      <c r="M7" s="157">
        <v>1268856.96</v>
      </c>
      <c r="N7" s="264">
        <v>3.1199999999999999E-2</v>
      </c>
      <c r="O7" s="265">
        <v>0.1799</v>
      </c>
      <c r="P7" s="157">
        <v>0</v>
      </c>
      <c r="Q7" s="396">
        <v>0</v>
      </c>
      <c r="R7" s="396">
        <v>0</v>
      </c>
      <c r="S7" s="397">
        <v>179673.55</v>
      </c>
      <c r="T7" s="397">
        <v>0</v>
      </c>
      <c r="U7" s="397">
        <v>5946.46</v>
      </c>
      <c r="V7" s="157">
        <v>0</v>
      </c>
      <c r="W7" s="397">
        <v>0</v>
      </c>
      <c r="X7" s="397">
        <v>0</v>
      </c>
      <c r="Y7" s="157">
        <v>157.88999999999999</v>
      </c>
      <c r="Z7" s="157">
        <v>51582.89</v>
      </c>
      <c r="AA7" s="157">
        <v>121443.94</v>
      </c>
      <c r="AB7" s="157">
        <v>714701.78</v>
      </c>
      <c r="AC7" s="157">
        <v>2354191.44</v>
      </c>
      <c r="AD7" s="157">
        <v>257.76</v>
      </c>
      <c r="AE7" s="157">
        <v>2214242.2799999998</v>
      </c>
      <c r="AF7" s="398">
        <f t="shared" ref="AF7:AF70" si="42">IFERROR(AE7/AD7,0)</f>
        <v>8590.3254189944128</v>
      </c>
      <c r="AG7" s="398">
        <f t="shared" ref="AG7:AG70" si="43">IFERROR(AC7/AD7,0)</f>
        <v>9133.2690875232784</v>
      </c>
      <c r="AH7" s="399">
        <f t="shared" ref="AH7:AH70" si="44">ROUND(AG7-AF7,2)</f>
        <v>542.94000000000005</v>
      </c>
      <c r="AI7" s="157">
        <v>79.61</v>
      </c>
      <c r="AJ7" s="157">
        <v>663474.32999999996</v>
      </c>
      <c r="AK7" s="398">
        <f t="shared" ref="AK7:AK70" si="45">IFERROR(AJ7/AI7,0)</f>
        <v>8334.0576560733571</v>
      </c>
      <c r="AL7" s="398">
        <f t="shared" ref="AL7:AL70" si="46">IFERROR(AB7/AI7,0)</f>
        <v>8977.5377465142574</v>
      </c>
      <c r="AM7" s="399">
        <f t="shared" ref="AM7:AM70" si="47">ROUND(AL7-AK7,2)</f>
        <v>643.48</v>
      </c>
      <c r="AN7" s="397">
        <v>2871.42</v>
      </c>
      <c r="AO7" s="397">
        <v>0</v>
      </c>
      <c r="AP7" s="46"/>
      <c r="AQ7" s="402">
        <v>50142.690000000061</v>
      </c>
      <c r="AR7" s="274">
        <v>335212.83999999997</v>
      </c>
      <c r="AS7" s="413">
        <v>107153.72</v>
      </c>
      <c r="AX7" s="2"/>
      <c r="BA7" s="342"/>
      <c r="BB7" s="342"/>
      <c r="BC7" s="342"/>
      <c r="BD7" s="386"/>
      <c r="BE7" s="386"/>
      <c r="BF7" s="386"/>
      <c r="BG7" s="386"/>
      <c r="BH7" s="386"/>
      <c r="BI7" s="386"/>
      <c r="BJ7" s="386"/>
      <c r="BK7" s="386"/>
      <c r="BL7" s="386"/>
      <c r="BM7" s="386"/>
      <c r="BN7" s="387"/>
      <c r="BO7" s="265"/>
      <c r="BP7" s="386"/>
      <c r="BQ7" s="388"/>
      <c r="BR7" s="388"/>
      <c r="BS7" s="389"/>
      <c r="BT7" s="389"/>
      <c r="BU7" s="389"/>
      <c r="BV7" s="386"/>
      <c r="BW7" s="389"/>
      <c r="BX7" s="389"/>
      <c r="BY7" s="386"/>
      <c r="BZ7" s="386"/>
      <c r="CA7" s="386"/>
      <c r="CB7" s="386"/>
      <c r="CC7" s="386"/>
      <c r="CD7" s="386"/>
      <c r="CE7" s="386"/>
      <c r="CF7" s="390"/>
      <c r="CG7" s="390"/>
      <c r="CH7" s="391"/>
      <c r="CI7" s="386"/>
      <c r="CJ7" s="386"/>
      <c r="CK7" s="390"/>
      <c r="CL7" s="390"/>
      <c r="CM7" s="391"/>
      <c r="CN7" s="389"/>
      <c r="CO7" s="389"/>
      <c r="CP7" s="135"/>
      <c r="CQ7" s="135"/>
      <c r="CR7" s="135"/>
      <c r="CS7" s="135"/>
      <c r="CT7" s="135"/>
      <c r="CU7" s="135"/>
    </row>
    <row r="8" spans="1:99">
      <c r="A8" s="342" t="s">
        <v>36</v>
      </c>
      <c r="B8" s="342" t="s">
        <v>35</v>
      </c>
      <c r="C8" s="342" t="s">
        <v>826</v>
      </c>
      <c r="D8" s="157">
        <v>0</v>
      </c>
      <c r="E8" s="157">
        <v>0</v>
      </c>
      <c r="F8" s="157">
        <v>0</v>
      </c>
      <c r="G8" s="157">
        <v>795895.76</v>
      </c>
      <c r="H8" s="157">
        <v>126620.7</v>
      </c>
      <c r="I8" s="157">
        <v>0</v>
      </c>
      <c r="J8" s="157">
        <v>108352.3</v>
      </c>
      <c r="K8" s="157">
        <v>0</v>
      </c>
      <c r="L8" s="157">
        <v>19700.419999999998</v>
      </c>
      <c r="M8" s="157">
        <v>380122.81</v>
      </c>
      <c r="N8" s="264">
        <v>4.48E-2</v>
      </c>
      <c r="O8" s="265">
        <v>0.19789999999999999</v>
      </c>
      <c r="P8" s="157">
        <v>0</v>
      </c>
      <c r="Q8" s="396">
        <v>0</v>
      </c>
      <c r="R8" s="396">
        <v>0</v>
      </c>
      <c r="S8" s="397">
        <v>0</v>
      </c>
      <c r="T8" s="397">
        <v>0</v>
      </c>
      <c r="U8" s="397">
        <v>0</v>
      </c>
      <c r="V8" s="157">
        <v>0</v>
      </c>
      <c r="W8" s="397">
        <v>0</v>
      </c>
      <c r="X8" s="397">
        <v>0</v>
      </c>
      <c r="Y8" s="157">
        <v>730.79</v>
      </c>
      <c r="Z8" s="157">
        <v>16900.37</v>
      </c>
      <c r="AA8" s="157">
        <v>0</v>
      </c>
      <c r="AB8" s="157">
        <v>77475.64</v>
      </c>
      <c r="AC8" s="157">
        <v>419515.59</v>
      </c>
      <c r="AD8" s="157">
        <v>43.3</v>
      </c>
      <c r="AE8" s="157">
        <v>379529.69</v>
      </c>
      <c r="AF8" s="398">
        <f t="shared" si="42"/>
        <v>8765.119861431871</v>
      </c>
      <c r="AG8" s="398">
        <f t="shared" si="43"/>
        <v>9688.5817551963064</v>
      </c>
      <c r="AH8" s="399">
        <f t="shared" si="44"/>
        <v>923.46</v>
      </c>
      <c r="AI8" s="157">
        <v>8.4600000000000009</v>
      </c>
      <c r="AJ8" s="157">
        <v>71951.59</v>
      </c>
      <c r="AK8" s="398">
        <f t="shared" si="45"/>
        <v>8504.9160756501169</v>
      </c>
      <c r="AL8" s="398">
        <f t="shared" si="46"/>
        <v>9157.8770685579184</v>
      </c>
      <c r="AM8" s="399">
        <f t="shared" si="47"/>
        <v>652.96</v>
      </c>
      <c r="AN8" s="397">
        <v>0</v>
      </c>
      <c r="AO8" s="397">
        <v>0</v>
      </c>
      <c r="AP8" s="46"/>
      <c r="AQ8" s="402">
        <v>0</v>
      </c>
      <c r="AR8" s="274">
        <v>64225.45</v>
      </c>
      <c r="AS8" s="413">
        <v>29389.18</v>
      </c>
      <c r="AX8" s="2"/>
      <c r="BA8" s="342"/>
      <c r="BB8" s="342"/>
      <c r="BC8" s="342"/>
      <c r="BD8" s="386"/>
      <c r="BE8" s="386"/>
      <c r="BF8" s="386"/>
      <c r="BG8" s="386"/>
      <c r="BH8" s="386"/>
      <c r="BI8" s="386"/>
      <c r="BJ8" s="386"/>
      <c r="BK8" s="386"/>
      <c r="BL8" s="386"/>
      <c r="BM8" s="386"/>
      <c r="BN8" s="387"/>
      <c r="BO8" s="265"/>
      <c r="BP8" s="386"/>
      <c r="BQ8" s="388"/>
      <c r="BR8" s="388"/>
      <c r="BS8" s="389"/>
      <c r="BT8" s="389"/>
      <c r="BU8" s="389"/>
      <c r="BV8" s="386"/>
      <c r="BW8" s="389"/>
      <c r="BX8" s="389"/>
      <c r="BY8" s="386"/>
      <c r="BZ8" s="386"/>
      <c r="CA8" s="386"/>
      <c r="CB8" s="386"/>
      <c r="CC8" s="386"/>
      <c r="CD8" s="386"/>
      <c r="CE8" s="386"/>
      <c r="CF8" s="390"/>
      <c r="CG8" s="390"/>
      <c r="CH8" s="391"/>
      <c r="CI8" s="386"/>
      <c r="CJ8" s="386"/>
      <c r="CK8" s="390"/>
      <c r="CL8" s="390"/>
      <c r="CM8" s="391"/>
      <c r="CN8" s="389"/>
      <c r="CO8" s="389"/>
      <c r="CP8" s="135"/>
      <c r="CQ8" s="135"/>
      <c r="CR8" s="135"/>
      <c r="CS8" s="135"/>
      <c r="CT8" s="135"/>
      <c r="CU8" s="135"/>
    </row>
    <row r="9" spans="1:99">
      <c r="A9" s="342" t="s">
        <v>38</v>
      </c>
      <c r="B9" s="342" t="s">
        <v>37</v>
      </c>
      <c r="C9" s="342" t="s">
        <v>827</v>
      </c>
      <c r="D9" s="157">
        <v>0</v>
      </c>
      <c r="E9" s="157">
        <v>0</v>
      </c>
      <c r="F9" s="157">
        <v>0</v>
      </c>
      <c r="G9" s="157">
        <v>114379.31</v>
      </c>
      <c r="H9" s="157">
        <v>12099.6</v>
      </c>
      <c r="I9" s="157">
        <v>0</v>
      </c>
      <c r="J9" s="157">
        <v>20556.96</v>
      </c>
      <c r="K9" s="157">
        <v>0</v>
      </c>
      <c r="L9" s="157">
        <v>3319.09</v>
      </c>
      <c r="M9" s="157">
        <v>211692.59</v>
      </c>
      <c r="N9" s="264">
        <v>0.04</v>
      </c>
      <c r="O9" s="265">
        <v>0.39279999999999998</v>
      </c>
      <c r="P9" s="157">
        <v>0</v>
      </c>
      <c r="Q9" s="396">
        <v>0</v>
      </c>
      <c r="R9" s="396">
        <v>0</v>
      </c>
      <c r="S9" s="397">
        <v>0</v>
      </c>
      <c r="T9" s="397">
        <v>0</v>
      </c>
      <c r="U9" s="397">
        <v>0</v>
      </c>
      <c r="V9" s="157">
        <v>0</v>
      </c>
      <c r="W9" s="397">
        <v>0</v>
      </c>
      <c r="X9" s="397">
        <v>0</v>
      </c>
      <c r="Y9" s="157">
        <v>0</v>
      </c>
      <c r="Z9" s="157">
        <v>0</v>
      </c>
      <c r="AA9" s="157">
        <v>0</v>
      </c>
      <c r="AB9" s="157">
        <v>0</v>
      </c>
      <c r="AC9" s="157">
        <v>60250.04</v>
      </c>
      <c r="AD9" s="157">
        <v>6.48</v>
      </c>
      <c r="AE9" s="157">
        <v>56774.42</v>
      </c>
      <c r="AF9" s="398">
        <f t="shared" si="42"/>
        <v>8761.4845679012342</v>
      </c>
      <c r="AG9" s="398">
        <f t="shared" si="43"/>
        <v>9297.8456790123455</v>
      </c>
      <c r="AH9" s="399">
        <f t="shared" si="44"/>
        <v>536.36</v>
      </c>
      <c r="AI9" s="157">
        <v>0</v>
      </c>
      <c r="AJ9" s="157">
        <v>0</v>
      </c>
      <c r="AK9" s="398">
        <f t="shared" si="45"/>
        <v>0</v>
      </c>
      <c r="AL9" s="398">
        <f t="shared" si="46"/>
        <v>0</v>
      </c>
      <c r="AM9" s="399">
        <f t="shared" si="47"/>
        <v>0</v>
      </c>
      <c r="AN9" s="397">
        <v>0</v>
      </c>
      <c r="AO9" s="397">
        <v>0</v>
      </c>
      <c r="AP9" s="46"/>
      <c r="AQ9" s="402">
        <v>47271.310000000005</v>
      </c>
      <c r="AR9" s="274">
        <v>22579.13</v>
      </c>
      <c r="AS9" s="413">
        <v>14266.93</v>
      </c>
      <c r="AX9" s="2"/>
      <c r="BA9" s="342"/>
      <c r="BB9" s="342"/>
      <c r="BC9" s="342"/>
      <c r="BD9" s="386"/>
      <c r="BE9" s="386"/>
      <c r="BF9" s="386"/>
      <c r="BG9" s="386"/>
      <c r="BH9" s="386"/>
      <c r="BI9" s="386"/>
      <c r="BJ9" s="386"/>
      <c r="BK9" s="386"/>
      <c r="BL9" s="386"/>
      <c r="BM9" s="386"/>
      <c r="BN9" s="387"/>
      <c r="BO9" s="265"/>
      <c r="BP9" s="386"/>
      <c r="BQ9" s="388"/>
      <c r="BR9" s="388"/>
      <c r="BS9" s="389"/>
      <c r="BT9" s="389"/>
      <c r="BU9" s="389"/>
      <c r="BV9" s="386"/>
      <c r="BW9" s="389"/>
      <c r="BX9" s="389"/>
      <c r="BY9" s="386"/>
      <c r="BZ9" s="386"/>
      <c r="CA9" s="386"/>
      <c r="CB9" s="386"/>
      <c r="CC9" s="386"/>
      <c r="CD9" s="386"/>
      <c r="CE9" s="386"/>
      <c r="CF9" s="390"/>
      <c r="CG9" s="390"/>
      <c r="CH9" s="391"/>
      <c r="CI9" s="386"/>
      <c r="CJ9" s="386"/>
      <c r="CK9" s="390"/>
      <c r="CL9" s="390"/>
      <c r="CM9" s="391"/>
      <c r="CN9" s="389"/>
      <c r="CO9" s="389"/>
      <c r="CP9" s="135"/>
      <c r="CQ9" s="135"/>
      <c r="CR9" s="135"/>
      <c r="CS9" s="135"/>
      <c r="CT9" s="135"/>
      <c r="CU9" s="135"/>
    </row>
    <row r="10" spans="1:99">
      <c r="A10" s="342" t="s">
        <v>42</v>
      </c>
      <c r="B10" s="342" t="s">
        <v>41</v>
      </c>
      <c r="C10" s="342" t="s">
        <v>828</v>
      </c>
      <c r="D10" s="157">
        <v>0</v>
      </c>
      <c r="E10" s="157">
        <v>0</v>
      </c>
      <c r="F10" s="157">
        <v>1827.79</v>
      </c>
      <c r="G10" s="157">
        <v>3528382.41</v>
      </c>
      <c r="H10" s="157">
        <v>601156.65</v>
      </c>
      <c r="I10" s="157">
        <v>24243.5</v>
      </c>
      <c r="J10" s="157">
        <v>529582.88</v>
      </c>
      <c r="K10" s="157">
        <v>109625.41</v>
      </c>
      <c r="L10" s="157">
        <v>83022.490000000005</v>
      </c>
      <c r="M10" s="157">
        <v>1328178.77</v>
      </c>
      <c r="N10" s="264">
        <v>4.9399999999999999E-2</v>
      </c>
      <c r="O10" s="265">
        <v>0.16009999999999999</v>
      </c>
      <c r="P10" s="157">
        <v>0</v>
      </c>
      <c r="Q10" s="396">
        <v>0</v>
      </c>
      <c r="R10" s="396">
        <v>0</v>
      </c>
      <c r="S10" s="397">
        <v>0</v>
      </c>
      <c r="T10" s="397">
        <v>0</v>
      </c>
      <c r="U10" s="397">
        <v>0</v>
      </c>
      <c r="V10" s="157">
        <v>0</v>
      </c>
      <c r="W10" s="397">
        <v>0</v>
      </c>
      <c r="X10" s="397">
        <v>0</v>
      </c>
      <c r="Y10" s="157">
        <v>0</v>
      </c>
      <c r="Z10" s="157">
        <v>7367.27</v>
      </c>
      <c r="AA10" s="157">
        <v>26244.2</v>
      </c>
      <c r="AB10" s="157">
        <v>234856.32000000001</v>
      </c>
      <c r="AC10" s="157">
        <v>918791.07</v>
      </c>
      <c r="AD10" s="157">
        <v>93.53</v>
      </c>
      <c r="AE10" s="157">
        <v>870617.31</v>
      </c>
      <c r="AF10" s="398">
        <f t="shared" si="42"/>
        <v>9308.4284186891909</v>
      </c>
      <c r="AG10" s="398">
        <f t="shared" si="43"/>
        <v>9823.4905377953583</v>
      </c>
      <c r="AH10" s="399">
        <f t="shared" si="44"/>
        <v>515.05999999999995</v>
      </c>
      <c r="AI10" s="157">
        <v>24.12</v>
      </c>
      <c r="AJ10" s="157">
        <v>218254.5</v>
      </c>
      <c r="AK10" s="398">
        <f t="shared" si="45"/>
        <v>9048.6940298507452</v>
      </c>
      <c r="AL10" s="398">
        <f t="shared" si="46"/>
        <v>9736.9950248756213</v>
      </c>
      <c r="AM10" s="399">
        <f t="shared" si="47"/>
        <v>688.3</v>
      </c>
      <c r="AN10" s="397">
        <v>25000</v>
      </c>
      <c r="AO10" s="397">
        <v>0</v>
      </c>
      <c r="AP10" s="46"/>
      <c r="AQ10" s="402">
        <v>0</v>
      </c>
      <c r="AR10" s="274">
        <v>264780.55000000005</v>
      </c>
      <c r="AS10" s="413">
        <v>86792.6</v>
      </c>
      <c r="AX10" s="2"/>
      <c r="BA10" s="342"/>
      <c r="BB10" s="342"/>
      <c r="BC10" s="342"/>
      <c r="BD10" s="386"/>
      <c r="BE10" s="386"/>
      <c r="BF10" s="386"/>
      <c r="BG10" s="386"/>
      <c r="BH10" s="386"/>
      <c r="BI10" s="386"/>
      <c r="BJ10" s="386"/>
      <c r="BK10" s="386"/>
      <c r="BL10" s="386"/>
      <c r="BM10" s="386"/>
      <c r="BN10" s="387"/>
      <c r="BO10" s="265"/>
      <c r="BP10" s="386"/>
      <c r="BQ10" s="388"/>
      <c r="BR10" s="388"/>
      <c r="BS10" s="389"/>
      <c r="BT10" s="389"/>
      <c r="BU10" s="389"/>
      <c r="BV10" s="386"/>
      <c r="BW10" s="389"/>
      <c r="BX10" s="389"/>
      <c r="BY10" s="386"/>
      <c r="BZ10" s="386"/>
      <c r="CA10" s="386"/>
      <c r="CB10" s="386"/>
      <c r="CC10" s="386"/>
      <c r="CD10" s="386"/>
      <c r="CE10" s="386"/>
      <c r="CF10" s="390"/>
      <c r="CG10" s="390"/>
      <c r="CH10" s="391"/>
      <c r="CI10" s="386"/>
      <c r="CJ10" s="386"/>
      <c r="CK10" s="390"/>
      <c r="CL10" s="390"/>
      <c r="CM10" s="391"/>
      <c r="CN10" s="389"/>
      <c r="CO10" s="389"/>
      <c r="CP10" s="135"/>
      <c r="CQ10" s="135"/>
      <c r="CR10" s="135"/>
      <c r="CS10" s="135"/>
      <c r="CT10" s="135"/>
      <c r="CU10" s="135"/>
    </row>
    <row r="11" spans="1:99">
      <c r="A11" s="342" t="s">
        <v>44</v>
      </c>
      <c r="B11" s="342" t="s">
        <v>43</v>
      </c>
      <c r="C11" s="342" t="s">
        <v>829</v>
      </c>
      <c r="D11" s="157">
        <v>0</v>
      </c>
      <c r="E11" s="157">
        <v>90476.11</v>
      </c>
      <c r="F11" s="157">
        <v>0</v>
      </c>
      <c r="G11" s="157">
        <v>8851051.2100000009</v>
      </c>
      <c r="H11" s="157">
        <v>1889451.2</v>
      </c>
      <c r="I11" s="157">
        <v>0</v>
      </c>
      <c r="J11" s="157">
        <v>1292476.79</v>
      </c>
      <c r="K11" s="157">
        <v>603588.04</v>
      </c>
      <c r="L11" s="157">
        <v>182649.13</v>
      </c>
      <c r="M11" s="157">
        <v>4020929.89</v>
      </c>
      <c r="N11" s="264">
        <v>3.2199999999999999E-2</v>
      </c>
      <c r="O11" s="265">
        <v>0.11890000000000001</v>
      </c>
      <c r="P11" s="157">
        <v>0</v>
      </c>
      <c r="Q11" s="396">
        <v>0</v>
      </c>
      <c r="R11" s="396">
        <v>0</v>
      </c>
      <c r="S11" s="397">
        <v>0</v>
      </c>
      <c r="T11" s="397">
        <v>0</v>
      </c>
      <c r="U11" s="397">
        <v>0</v>
      </c>
      <c r="V11" s="157">
        <v>0</v>
      </c>
      <c r="W11" s="397">
        <v>0</v>
      </c>
      <c r="X11" s="397">
        <v>0</v>
      </c>
      <c r="Y11" s="157">
        <v>0</v>
      </c>
      <c r="Z11" s="157">
        <v>0</v>
      </c>
      <c r="AA11" s="157">
        <v>0</v>
      </c>
      <c r="AB11" s="157">
        <v>361327.04</v>
      </c>
      <c r="AC11" s="157">
        <v>3586332.98</v>
      </c>
      <c r="AD11" s="157">
        <v>355.48</v>
      </c>
      <c r="AE11" s="157">
        <v>3372413.46</v>
      </c>
      <c r="AF11" s="398">
        <f t="shared" si="42"/>
        <v>9486.9288286260817</v>
      </c>
      <c r="AG11" s="398">
        <f t="shared" si="43"/>
        <v>10088.705356138178</v>
      </c>
      <c r="AH11" s="399">
        <f t="shared" si="44"/>
        <v>601.78</v>
      </c>
      <c r="AI11" s="157">
        <v>36.380000000000003</v>
      </c>
      <c r="AJ11" s="157">
        <v>335563.76</v>
      </c>
      <c r="AK11" s="398">
        <f t="shared" si="45"/>
        <v>9223.8526663001649</v>
      </c>
      <c r="AL11" s="398">
        <f t="shared" si="46"/>
        <v>9932.0241891148962</v>
      </c>
      <c r="AM11" s="399">
        <f t="shared" si="47"/>
        <v>708.17</v>
      </c>
      <c r="AN11" s="397">
        <v>0</v>
      </c>
      <c r="AO11" s="397">
        <v>0</v>
      </c>
      <c r="AP11" s="46"/>
      <c r="AQ11" s="402">
        <v>0</v>
      </c>
      <c r="AR11" s="274">
        <v>589501.20000000007</v>
      </c>
      <c r="AS11" s="413">
        <v>181069.90000000002</v>
      </c>
      <c r="AX11" s="2"/>
      <c r="BA11" s="342"/>
      <c r="BB11" s="342"/>
      <c r="BC11" s="342"/>
      <c r="BD11" s="386"/>
      <c r="BE11" s="386"/>
      <c r="BF11" s="386"/>
      <c r="BG11" s="386"/>
      <c r="BH11" s="386"/>
      <c r="BI11" s="386"/>
      <c r="BJ11" s="386"/>
      <c r="BK11" s="386"/>
      <c r="BL11" s="386"/>
      <c r="BM11" s="386"/>
      <c r="BN11" s="387"/>
      <c r="BO11" s="265"/>
      <c r="BP11" s="386"/>
      <c r="BQ11" s="388"/>
      <c r="BR11" s="388"/>
      <c r="BS11" s="389"/>
      <c r="BT11" s="389"/>
      <c r="BU11" s="389"/>
      <c r="BV11" s="386"/>
      <c r="BW11" s="389"/>
      <c r="BX11" s="389"/>
      <c r="BY11" s="386"/>
      <c r="BZ11" s="386"/>
      <c r="CA11" s="386"/>
      <c r="CB11" s="386"/>
      <c r="CC11" s="386"/>
      <c r="CD11" s="386"/>
      <c r="CE11" s="386"/>
      <c r="CF11" s="390"/>
      <c r="CG11" s="390"/>
      <c r="CH11" s="391"/>
      <c r="CI11" s="386"/>
      <c r="CJ11" s="386"/>
      <c r="CK11" s="390"/>
      <c r="CL11" s="390"/>
      <c r="CM11" s="391"/>
      <c r="CN11" s="389"/>
      <c r="CO11" s="389"/>
      <c r="CP11" s="135"/>
      <c r="CQ11" s="135"/>
      <c r="CR11" s="135"/>
      <c r="CS11" s="135"/>
      <c r="CT11" s="135"/>
      <c r="CU11" s="135"/>
    </row>
    <row r="12" spans="1:99">
      <c r="A12" s="342" t="s">
        <v>830</v>
      </c>
      <c r="B12" s="342" t="s">
        <v>45</v>
      </c>
      <c r="C12" s="342" t="s">
        <v>831</v>
      </c>
      <c r="D12" s="157">
        <v>0</v>
      </c>
      <c r="E12" s="157">
        <v>0</v>
      </c>
      <c r="F12" s="157">
        <v>0</v>
      </c>
      <c r="G12" s="157">
        <v>826695.72</v>
      </c>
      <c r="H12" s="157">
        <v>177780.07</v>
      </c>
      <c r="I12" s="157">
        <v>0</v>
      </c>
      <c r="J12" s="157">
        <v>104897.43</v>
      </c>
      <c r="K12" s="157">
        <v>0</v>
      </c>
      <c r="L12" s="157">
        <v>18103.59</v>
      </c>
      <c r="M12" s="157">
        <v>374390.28</v>
      </c>
      <c r="N12" s="264">
        <v>3.9100000000000003E-2</v>
      </c>
      <c r="O12" s="265">
        <v>0.1797</v>
      </c>
      <c r="P12" s="157">
        <v>0</v>
      </c>
      <c r="Q12" s="396">
        <v>0</v>
      </c>
      <c r="R12" s="396">
        <v>0</v>
      </c>
      <c r="S12" s="397">
        <v>0</v>
      </c>
      <c r="T12" s="397">
        <v>0</v>
      </c>
      <c r="U12" s="397">
        <v>0</v>
      </c>
      <c r="V12" s="157">
        <v>0</v>
      </c>
      <c r="W12" s="397">
        <v>0</v>
      </c>
      <c r="X12" s="397">
        <v>0</v>
      </c>
      <c r="Y12" s="157">
        <v>0</v>
      </c>
      <c r="Z12" s="157">
        <v>0.43</v>
      </c>
      <c r="AA12" s="157">
        <v>0</v>
      </c>
      <c r="AB12" s="157">
        <v>37612.129999999997</v>
      </c>
      <c r="AC12" s="157">
        <v>377455.3</v>
      </c>
      <c r="AD12" s="157">
        <v>41.54</v>
      </c>
      <c r="AE12" s="157">
        <v>356858.35</v>
      </c>
      <c r="AF12" s="398">
        <f t="shared" si="42"/>
        <v>8590.7161771786232</v>
      </c>
      <c r="AG12" s="398">
        <f t="shared" si="43"/>
        <v>9086.5503129513727</v>
      </c>
      <c r="AH12" s="399">
        <f t="shared" si="44"/>
        <v>495.83</v>
      </c>
      <c r="AI12" s="157">
        <v>4.1900000000000004</v>
      </c>
      <c r="AJ12" s="157">
        <v>34964.74</v>
      </c>
      <c r="AK12" s="398">
        <f t="shared" si="45"/>
        <v>8344.8066825775641</v>
      </c>
      <c r="AL12" s="398">
        <f t="shared" si="46"/>
        <v>8976.6420047732681</v>
      </c>
      <c r="AM12" s="399">
        <f t="shared" si="47"/>
        <v>631.84</v>
      </c>
      <c r="AN12" s="397">
        <v>11080.07</v>
      </c>
      <c r="AO12" s="397">
        <v>0</v>
      </c>
      <c r="AP12" s="46"/>
      <c r="AQ12" s="402">
        <v>1155.0099999999948</v>
      </c>
      <c r="AR12" s="274">
        <v>64172.84</v>
      </c>
      <c r="AS12" s="413">
        <v>28763.38</v>
      </c>
      <c r="AX12" s="2"/>
      <c r="BA12" s="342"/>
      <c r="BB12" s="342"/>
      <c r="BC12" s="342"/>
      <c r="BD12" s="386"/>
      <c r="BE12" s="386"/>
      <c r="BF12" s="386"/>
      <c r="BG12" s="386"/>
      <c r="BH12" s="386"/>
      <c r="BI12" s="386"/>
      <c r="BJ12" s="386"/>
      <c r="BK12" s="386"/>
      <c r="BL12" s="386"/>
      <c r="BM12" s="386"/>
      <c r="BN12" s="387"/>
      <c r="BO12" s="265"/>
      <c r="BP12" s="386"/>
      <c r="BQ12" s="388"/>
      <c r="BR12" s="388"/>
      <c r="BS12" s="389"/>
      <c r="BT12" s="389"/>
      <c r="BU12" s="389"/>
      <c r="BV12" s="386"/>
      <c r="BW12" s="389"/>
      <c r="BX12" s="389"/>
      <c r="BY12" s="386"/>
      <c r="BZ12" s="386"/>
      <c r="CA12" s="386"/>
      <c r="CB12" s="386"/>
      <c r="CC12" s="386"/>
      <c r="CD12" s="386"/>
      <c r="CE12" s="386"/>
      <c r="CF12" s="390"/>
      <c r="CG12" s="390"/>
      <c r="CH12" s="391"/>
      <c r="CI12" s="386"/>
      <c r="CJ12" s="386"/>
      <c r="CK12" s="390"/>
      <c r="CL12" s="390"/>
      <c r="CM12" s="391"/>
      <c r="CN12" s="389"/>
      <c r="CO12" s="389"/>
      <c r="CP12" s="135"/>
      <c r="CQ12" s="135"/>
      <c r="CR12" s="135"/>
      <c r="CS12" s="135"/>
      <c r="CT12" s="135"/>
      <c r="CU12" s="135"/>
    </row>
    <row r="13" spans="1:99">
      <c r="A13" s="342" t="s">
        <v>48</v>
      </c>
      <c r="B13" s="342" t="s">
        <v>47</v>
      </c>
      <c r="C13" s="342" t="s">
        <v>832</v>
      </c>
      <c r="D13" s="157">
        <v>0</v>
      </c>
      <c r="E13" s="157">
        <v>107348.77</v>
      </c>
      <c r="F13" s="157">
        <v>349029.27</v>
      </c>
      <c r="G13" s="157">
        <v>24365018.649999999</v>
      </c>
      <c r="H13" s="157">
        <v>4758507.0599999996</v>
      </c>
      <c r="I13" s="157">
        <v>3778963.76</v>
      </c>
      <c r="J13" s="157">
        <v>7152469.8700000001</v>
      </c>
      <c r="K13" s="157">
        <v>8607390.6600000001</v>
      </c>
      <c r="L13" s="157">
        <v>583657.66</v>
      </c>
      <c r="M13" s="157">
        <v>11885193.84</v>
      </c>
      <c r="N13" s="264">
        <v>3.6600000000000001E-2</v>
      </c>
      <c r="O13" s="265">
        <v>0.1336</v>
      </c>
      <c r="P13" s="157">
        <v>0</v>
      </c>
      <c r="Q13" s="396">
        <v>0</v>
      </c>
      <c r="R13" s="396">
        <v>0</v>
      </c>
      <c r="S13" s="397">
        <v>0</v>
      </c>
      <c r="T13" s="397">
        <v>0</v>
      </c>
      <c r="U13" s="397">
        <v>0</v>
      </c>
      <c r="V13" s="157">
        <v>0</v>
      </c>
      <c r="W13" s="397">
        <v>0</v>
      </c>
      <c r="X13" s="397">
        <v>0</v>
      </c>
      <c r="Y13" s="157">
        <v>1064.6099999999999</v>
      </c>
      <c r="Z13" s="157">
        <v>165454.22</v>
      </c>
      <c r="AA13" s="157">
        <v>580478.27</v>
      </c>
      <c r="AB13" s="157">
        <v>1875833.05</v>
      </c>
      <c r="AC13" s="157">
        <v>8331098.5999999996</v>
      </c>
      <c r="AD13" s="157">
        <v>798.88</v>
      </c>
      <c r="AE13" s="157">
        <v>7578957.7999999998</v>
      </c>
      <c r="AF13" s="398">
        <f t="shared" si="42"/>
        <v>9486.9790206288799</v>
      </c>
      <c r="AG13" s="398">
        <f t="shared" si="43"/>
        <v>10428.4731123573</v>
      </c>
      <c r="AH13" s="399">
        <f t="shared" si="44"/>
        <v>941.49</v>
      </c>
      <c r="AI13" s="157">
        <v>188.89</v>
      </c>
      <c r="AJ13" s="157">
        <v>1742589.65</v>
      </c>
      <c r="AK13" s="398">
        <f t="shared" si="45"/>
        <v>9225.4203504685265</v>
      </c>
      <c r="AL13" s="398">
        <f t="shared" si="46"/>
        <v>9930.8224363386107</v>
      </c>
      <c r="AM13" s="399">
        <f t="shared" si="47"/>
        <v>705.4</v>
      </c>
      <c r="AN13" s="397">
        <v>0</v>
      </c>
      <c r="AO13" s="397">
        <v>0</v>
      </c>
      <c r="AP13" s="46"/>
      <c r="AQ13" s="402">
        <v>3320540.24</v>
      </c>
      <c r="AR13" s="274">
        <v>2080316.4700000002</v>
      </c>
      <c r="AS13" s="413">
        <v>522890.42000000004</v>
      </c>
      <c r="AX13" s="2"/>
      <c r="BA13" s="342"/>
      <c r="BB13" s="342"/>
      <c r="BC13" s="342"/>
      <c r="BD13" s="386"/>
      <c r="BE13" s="386"/>
      <c r="BF13" s="386"/>
      <c r="BG13" s="386"/>
      <c r="BH13" s="386"/>
      <c r="BI13" s="386"/>
      <c r="BJ13" s="386"/>
      <c r="BK13" s="386"/>
      <c r="BL13" s="386"/>
      <c r="BM13" s="386"/>
      <c r="BN13" s="387"/>
      <c r="BO13" s="265"/>
      <c r="BP13" s="386"/>
      <c r="BQ13" s="388"/>
      <c r="BR13" s="388"/>
      <c r="BS13" s="389"/>
      <c r="BT13" s="389"/>
      <c r="BU13" s="389"/>
      <c r="BV13" s="386"/>
      <c r="BW13" s="389"/>
      <c r="BX13" s="389"/>
      <c r="BY13" s="386"/>
      <c r="BZ13" s="386"/>
      <c r="CA13" s="386"/>
      <c r="CB13" s="386"/>
      <c r="CC13" s="386"/>
      <c r="CD13" s="386"/>
      <c r="CE13" s="386"/>
      <c r="CF13" s="390"/>
      <c r="CG13" s="390"/>
      <c r="CH13" s="391"/>
      <c r="CI13" s="386"/>
      <c r="CJ13" s="386"/>
      <c r="CK13" s="390"/>
      <c r="CL13" s="390"/>
      <c r="CM13" s="391"/>
      <c r="CN13" s="389"/>
      <c r="CO13" s="389"/>
      <c r="CP13" s="135"/>
      <c r="CQ13" s="135"/>
      <c r="CR13" s="135"/>
      <c r="CS13" s="135"/>
      <c r="CT13" s="135"/>
      <c r="CU13" s="135"/>
    </row>
    <row r="14" spans="1:99">
      <c r="A14" s="342" t="s">
        <v>50</v>
      </c>
      <c r="B14" s="342" t="s">
        <v>49</v>
      </c>
      <c r="C14" s="342" t="s">
        <v>833</v>
      </c>
      <c r="D14" s="157">
        <v>0</v>
      </c>
      <c r="E14" s="157">
        <v>0</v>
      </c>
      <c r="F14" s="157">
        <v>0</v>
      </c>
      <c r="G14" s="157">
        <v>6295719.3799999999</v>
      </c>
      <c r="H14" s="157">
        <v>807520.03</v>
      </c>
      <c r="I14" s="157">
        <v>0</v>
      </c>
      <c r="J14" s="157">
        <v>191096.17</v>
      </c>
      <c r="K14" s="157">
        <v>71592.27</v>
      </c>
      <c r="L14" s="157">
        <v>120887.79</v>
      </c>
      <c r="M14" s="157">
        <v>1541745.53</v>
      </c>
      <c r="N14" s="264">
        <v>2.5399999999999999E-2</v>
      </c>
      <c r="O14" s="265">
        <v>0.17849999999999999</v>
      </c>
      <c r="P14" s="157">
        <v>0</v>
      </c>
      <c r="Q14" s="396">
        <v>0</v>
      </c>
      <c r="R14" s="396">
        <v>0</v>
      </c>
      <c r="S14" s="397">
        <v>0</v>
      </c>
      <c r="T14" s="397">
        <v>0</v>
      </c>
      <c r="U14" s="397">
        <v>0</v>
      </c>
      <c r="V14" s="157">
        <v>0</v>
      </c>
      <c r="W14" s="397">
        <v>0</v>
      </c>
      <c r="X14" s="397">
        <v>0</v>
      </c>
      <c r="Y14" s="157">
        <v>4082.5</v>
      </c>
      <c r="Z14" s="157">
        <v>0</v>
      </c>
      <c r="AA14" s="157">
        <v>170691.88</v>
      </c>
      <c r="AB14" s="157">
        <v>576566.67000000004</v>
      </c>
      <c r="AC14" s="157">
        <v>3158451.63</v>
      </c>
      <c r="AD14" s="157">
        <v>308.92</v>
      </c>
      <c r="AE14" s="157">
        <v>2986227.26</v>
      </c>
      <c r="AF14" s="398">
        <f t="shared" si="42"/>
        <v>9666.6685873365259</v>
      </c>
      <c r="AG14" s="398">
        <f t="shared" si="43"/>
        <v>10224.173345850057</v>
      </c>
      <c r="AH14" s="399">
        <f t="shared" si="44"/>
        <v>557.5</v>
      </c>
      <c r="AI14" s="157">
        <v>56.96</v>
      </c>
      <c r="AJ14" s="157">
        <v>535546.34</v>
      </c>
      <c r="AK14" s="398">
        <f t="shared" si="45"/>
        <v>9402.147823033707</v>
      </c>
      <c r="AL14" s="398">
        <f t="shared" si="46"/>
        <v>10122.308110955057</v>
      </c>
      <c r="AM14" s="399">
        <f t="shared" si="47"/>
        <v>720.16</v>
      </c>
      <c r="AN14" s="397">
        <v>0</v>
      </c>
      <c r="AO14" s="397">
        <v>0</v>
      </c>
      <c r="AP14" s="46"/>
      <c r="AQ14" s="402">
        <v>0</v>
      </c>
      <c r="AR14" s="274">
        <v>382050.65</v>
      </c>
      <c r="AS14" s="413">
        <v>121215.4</v>
      </c>
      <c r="AX14" s="2"/>
      <c r="BA14" s="342"/>
      <c r="BB14" s="342"/>
      <c r="BC14" s="342"/>
      <c r="BD14" s="386"/>
      <c r="BE14" s="386"/>
      <c r="BF14" s="386"/>
      <c r="BG14" s="386"/>
      <c r="BH14" s="386"/>
      <c r="BI14" s="386"/>
      <c r="BJ14" s="386"/>
      <c r="BK14" s="386"/>
      <c r="BL14" s="386"/>
      <c r="BM14" s="386"/>
      <c r="BN14" s="387"/>
      <c r="BO14" s="265"/>
      <c r="BP14" s="386"/>
      <c r="BQ14" s="388"/>
      <c r="BR14" s="388"/>
      <c r="BS14" s="389"/>
      <c r="BT14" s="389"/>
      <c r="BU14" s="389"/>
      <c r="BV14" s="386"/>
      <c r="BW14" s="389"/>
      <c r="BX14" s="389"/>
      <c r="BY14" s="386"/>
      <c r="BZ14" s="386"/>
      <c r="CA14" s="386"/>
      <c r="CB14" s="386"/>
      <c r="CC14" s="386"/>
      <c r="CD14" s="386"/>
      <c r="CE14" s="386"/>
      <c r="CF14" s="390"/>
      <c r="CG14" s="390"/>
      <c r="CH14" s="391"/>
      <c r="CI14" s="386"/>
      <c r="CJ14" s="386"/>
      <c r="CK14" s="390"/>
      <c r="CL14" s="390"/>
      <c r="CM14" s="391"/>
      <c r="CN14" s="389"/>
      <c r="CO14" s="389"/>
      <c r="CP14" s="135"/>
      <c r="CQ14" s="135"/>
      <c r="CR14" s="135"/>
      <c r="CS14" s="135"/>
      <c r="CT14" s="135"/>
      <c r="CU14" s="135"/>
    </row>
    <row r="15" spans="1:99">
      <c r="A15" s="342" t="s">
        <v>52</v>
      </c>
      <c r="B15" s="342" t="s">
        <v>51</v>
      </c>
      <c r="C15" s="342" t="s">
        <v>834</v>
      </c>
      <c r="D15" s="157">
        <v>0</v>
      </c>
      <c r="E15" s="157">
        <v>224516.78</v>
      </c>
      <c r="F15" s="157">
        <v>0</v>
      </c>
      <c r="G15" s="157">
        <v>18177857.309999999</v>
      </c>
      <c r="H15" s="157">
        <v>3082218.93</v>
      </c>
      <c r="I15" s="157">
        <v>0</v>
      </c>
      <c r="J15" s="157">
        <v>2792916.01</v>
      </c>
      <c r="K15" s="157">
        <v>1898603.7</v>
      </c>
      <c r="L15" s="157">
        <v>381159.08</v>
      </c>
      <c r="M15" s="157">
        <v>12222030.619999999</v>
      </c>
      <c r="N15" s="264">
        <v>3.5299999999999998E-2</v>
      </c>
      <c r="O15" s="265">
        <v>0.1555</v>
      </c>
      <c r="P15" s="157">
        <v>0</v>
      </c>
      <c r="Q15" s="396">
        <v>0</v>
      </c>
      <c r="R15" s="396">
        <v>0</v>
      </c>
      <c r="S15" s="397">
        <v>0</v>
      </c>
      <c r="T15" s="397">
        <v>0</v>
      </c>
      <c r="U15" s="397">
        <v>0</v>
      </c>
      <c r="V15" s="157">
        <v>0</v>
      </c>
      <c r="W15" s="397">
        <v>0</v>
      </c>
      <c r="X15" s="397">
        <v>0</v>
      </c>
      <c r="Y15" s="157">
        <v>12052.41</v>
      </c>
      <c r="Z15" s="157">
        <v>66698.929999999993</v>
      </c>
      <c r="AA15" s="157">
        <v>359348.39</v>
      </c>
      <c r="AB15" s="157">
        <v>659129.54</v>
      </c>
      <c r="AC15" s="157">
        <v>9050364.5899999999</v>
      </c>
      <c r="AD15" s="157">
        <v>955.54</v>
      </c>
      <c r="AE15" s="157">
        <v>8550962.3599999994</v>
      </c>
      <c r="AF15" s="398">
        <f t="shared" si="42"/>
        <v>8948.8272181175034</v>
      </c>
      <c r="AG15" s="398">
        <f t="shared" si="43"/>
        <v>9471.4659668878339</v>
      </c>
      <c r="AH15" s="399">
        <f t="shared" si="44"/>
        <v>522.64</v>
      </c>
      <c r="AI15" s="157">
        <v>70.44</v>
      </c>
      <c r="AJ15" s="157">
        <v>612344.01</v>
      </c>
      <c r="AK15" s="398">
        <f t="shared" si="45"/>
        <v>8693.129045996593</v>
      </c>
      <c r="AL15" s="398">
        <f t="shared" si="46"/>
        <v>9357.3188529244762</v>
      </c>
      <c r="AM15" s="399">
        <f t="shared" si="47"/>
        <v>664.19</v>
      </c>
      <c r="AN15" s="397">
        <v>0</v>
      </c>
      <c r="AO15" s="397">
        <v>0</v>
      </c>
      <c r="AP15" s="46"/>
      <c r="AQ15" s="402">
        <v>545650</v>
      </c>
      <c r="AR15" s="274">
        <v>1131333.2</v>
      </c>
      <c r="AS15" s="413">
        <v>380840.36</v>
      </c>
      <c r="AX15" s="2"/>
      <c r="BA15" s="342"/>
      <c r="BB15" s="342"/>
      <c r="BC15" s="342"/>
      <c r="BD15" s="386"/>
      <c r="BE15" s="386"/>
      <c r="BF15" s="386"/>
      <c r="BG15" s="386"/>
      <c r="BH15" s="386"/>
      <c r="BI15" s="386"/>
      <c r="BJ15" s="386"/>
      <c r="BK15" s="386"/>
      <c r="BL15" s="386"/>
      <c r="BM15" s="386"/>
      <c r="BN15" s="387"/>
      <c r="BO15" s="265"/>
      <c r="BP15" s="386"/>
      <c r="BQ15" s="388"/>
      <c r="BR15" s="388"/>
      <c r="BS15" s="389"/>
      <c r="BT15" s="389"/>
      <c r="BU15" s="389"/>
      <c r="BV15" s="386"/>
      <c r="BW15" s="389"/>
      <c r="BX15" s="389"/>
      <c r="BY15" s="386"/>
      <c r="BZ15" s="386"/>
      <c r="CA15" s="386"/>
      <c r="CB15" s="386"/>
      <c r="CC15" s="386"/>
      <c r="CD15" s="386"/>
      <c r="CE15" s="386"/>
      <c r="CF15" s="390"/>
      <c r="CG15" s="390"/>
      <c r="CH15" s="391"/>
      <c r="CI15" s="386"/>
      <c r="CJ15" s="386"/>
      <c r="CK15" s="390"/>
      <c r="CL15" s="390"/>
      <c r="CM15" s="391"/>
      <c r="CN15" s="389"/>
      <c r="CO15" s="389"/>
      <c r="CP15" s="135"/>
      <c r="CQ15" s="135"/>
      <c r="CR15" s="135"/>
      <c r="CS15" s="135"/>
      <c r="CT15" s="135"/>
      <c r="CU15" s="135"/>
    </row>
    <row r="16" spans="1:99">
      <c r="A16" s="342" t="s">
        <v>54</v>
      </c>
      <c r="B16" s="342" t="s">
        <v>53</v>
      </c>
      <c r="C16" s="342" t="s">
        <v>835</v>
      </c>
      <c r="D16" s="157">
        <v>0</v>
      </c>
      <c r="E16" s="157">
        <v>210266.52</v>
      </c>
      <c r="F16" s="157">
        <v>0</v>
      </c>
      <c r="G16" s="157">
        <v>26342614.23</v>
      </c>
      <c r="H16" s="157">
        <v>3751987.39</v>
      </c>
      <c r="I16" s="157">
        <v>150600.54</v>
      </c>
      <c r="J16" s="157">
        <v>2469273.91</v>
      </c>
      <c r="K16" s="157">
        <v>6418969.6200000001</v>
      </c>
      <c r="L16" s="157">
        <v>643257.24</v>
      </c>
      <c r="M16" s="157">
        <v>9648508.0500000007</v>
      </c>
      <c r="N16" s="264">
        <v>4.0399999999999998E-2</v>
      </c>
      <c r="O16" s="265">
        <v>0.13250000000000001</v>
      </c>
      <c r="P16" s="157">
        <v>0</v>
      </c>
      <c r="Q16" s="396">
        <v>0</v>
      </c>
      <c r="R16" s="396">
        <v>0</v>
      </c>
      <c r="S16" s="397">
        <v>0</v>
      </c>
      <c r="T16" s="397">
        <v>0</v>
      </c>
      <c r="U16" s="397">
        <v>0</v>
      </c>
      <c r="V16" s="157">
        <v>0</v>
      </c>
      <c r="W16" s="397">
        <v>0</v>
      </c>
      <c r="X16" s="397">
        <v>0</v>
      </c>
      <c r="Y16" s="157">
        <v>0</v>
      </c>
      <c r="Z16" s="157">
        <v>234896.39</v>
      </c>
      <c r="AA16" s="157">
        <v>757960.91</v>
      </c>
      <c r="AB16" s="157">
        <v>2274298.56</v>
      </c>
      <c r="AC16" s="157">
        <v>8114567.9699999997</v>
      </c>
      <c r="AD16" s="157">
        <v>748.7</v>
      </c>
      <c r="AE16" s="157">
        <v>7237216.6600000001</v>
      </c>
      <c r="AF16" s="398">
        <f t="shared" si="42"/>
        <v>9666.3772672632567</v>
      </c>
      <c r="AG16" s="398">
        <f t="shared" si="43"/>
        <v>10838.210190997728</v>
      </c>
      <c r="AH16" s="399">
        <f t="shared" si="44"/>
        <v>1171.83</v>
      </c>
      <c r="AI16" s="157">
        <v>224.7</v>
      </c>
      <c r="AJ16" s="157">
        <v>2112791.2799999998</v>
      </c>
      <c r="AK16" s="398">
        <f t="shared" si="45"/>
        <v>9402.7204272363142</v>
      </c>
      <c r="AL16" s="398">
        <f t="shared" si="46"/>
        <v>10121.488918558078</v>
      </c>
      <c r="AM16" s="399">
        <f t="shared" si="47"/>
        <v>718.77</v>
      </c>
      <c r="AN16" s="397">
        <v>0</v>
      </c>
      <c r="AO16" s="397">
        <v>0</v>
      </c>
      <c r="AP16" s="46"/>
      <c r="AQ16" s="402">
        <v>0</v>
      </c>
      <c r="AR16" s="274">
        <v>2071883.37</v>
      </c>
      <c r="AS16" s="413">
        <v>621675.21</v>
      </c>
      <c r="AX16" s="2"/>
      <c r="BA16" s="342"/>
      <c r="BB16" s="342"/>
      <c r="BC16" s="342"/>
      <c r="BD16" s="386"/>
      <c r="BE16" s="386"/>
      <c r="BF16" s="386"/>
      <c r="BG16" s="386"/>
      <c r="BH16" s="386"/>
      <c r="BI16" s="386"/>
      <c r="BJ16" s="386"/>
      <c r="BK16" s="386"/>
      <c r="BL16" s="386"/>
      <c r="BM16" s="386"/>
      <c r="BN16" s="387"/>
      <c r="BO16" s="265"/>
      <c r="BP16" s="386"/>
      <c r="BQ16" s="388"/>
      <c r="BR16" s="388"/>
      <c r="BS16" s="389"/>
      <c r="BT16" s="389"/>
      <c r="BU16" s="389"/>
      <c r="BV16" s="386"/>
      <c r="BW16" s="389"/>
      <c r="BX16" s="389"/>
      <c r="BY16" s="386"/>
      <c r="BZ16" s="386"/>
      <c r="CA16" s="386"/>
      <c r="CB16" s="386"/>
      <c r="CC16" s="386"/>
      <c r="CD16" s="386"/>
      <c r="CE16" s="386"/>
      <c r="CF16" s="390"/>
      <c r="CG16" s="390"/>
      <c r="CH16" s="391"/>
      <c r="CI16" s="386"/>
      <c r="CJ16" s="386"/>
      <c r="CK16" s="390"/>
      <c r="CL16" s="390"/>
      <c r="CM16" s="391"/>
      <c r="CN16" s="389"/>
      <c r="CO16" s="389"/>
      <c r="CP16" s="135"/>
      <c r="CQ16" s="135"/>
      <c r="CR16" s="135"/>
      <c r="CS16" s="135"/>
      <c r="CT16" s="135"/>
      <c r="CU16" s="135"/>
    </row>
    <row r="17" spans="1:99">
      <c r="A17" s="342" t="s">
        <v>56</v>
      </c>
      <c r="B17" s="342" t="s">
        <v>55</v>
      </c>
      <c r="C17" s="342" t="s">
        <v>836</v>
      </c>
      <c r="D17" s="157">
        <v>0</v>
      </c>
      <c r="E17" s="157">
        <v>88678.080000000002</v>
      </c>
      <c r="F17" s="157">
        <v>0</v>
      </c>
      <c r="G17" s="157">
        <v>17368747.260000002</v>
      </c>
      <c r="H17" s="157">
        <v>3429590.42</v>
      </c>
      <c r="I17" s="157">
        <v>552230.25</v>
      </c>
      <c r="J17" s="157">
        <v>3059313.27</v>
      </c>
      <c r="K17" s="157">
        <v>1612291.8</v>
      </c>
      <c r="L17" s="157">
        <v>363576.71</v>
      </c>
      <c r="M17" s="157">
        <v>4969521.3499999996</v>
      </c>
      <c r="N17" s="264">
        <v>3.27E-2</v>
      </c>
      <c r="O17" s="265">
        <v>0.13039999999999999</v>
      </c>
      <c r="P17" s="157">
        <v>0</v>
      </c>
      <c r="Q17" s="396">
        <v>0</v>
      </c>
      <c r="R17" s="396">
        <v>0</v>
      </c>
      <c r="S17" s="397">
        <v>0</v>
      </c>
      <c r="T17" s="397">
        <v>0</v>
      </c>
      <c r="U17" s="397">
        <v>0</v>
      </c>
      <c r="V17" s="157">
        <v>0</v>
      </c>
      <c r="W17" s="397">
        <v>0</v>
      </c>
      <c r="X17" s="397">
        <v>0</v>
      </c>
      <c r="Y17" s="157">
        <v>1313.84</v>
      </c>
      <c r="Z17" s="157">
        <v>0</v>
      </c>
      <c r="AA17" s="157">
        <v>0</v>
      </c>
      <c r="AB17" s="157">
        <v>442460.78</v>
      </c>
      <c r="AC17" s="157">
        <v>7385745.5300000003</v>
      </c>
      <c r="AD17" s="157">
        <v>741.15</v>
      </c>
      <c r="AE17" s="157">
        <v>6765374.8899999997</v>
      </c>
      <c r="AF17" s="398">
        <f t="shared" si="42"/>
        <v>9128.2127639479186</v>
      </c>
      <c r="AG17" s="398">
        <f t="shared" si="43"/>
        <v>9965.2506645078593</v>
      </c>
      <c r="AH17" s="399">
        <f t="shared" si="44"/>
        <v>837.04</v>
      </c>
      <c r="AI17" s="157">
        <v>46.32</v>
      </c>
      <c r="AJ17" s="157">
        <v>410794.06</v>
      </c>
      <c r="AK17" s="398">
        <f t="shared" si="45"/>
        <v>8868.6109671848008</v>
      </c>
      <c r="AL17" s="398">
        <f t="shared" si="46"/>
        <v>9552.2620898100176</v>
      </c>
      <c r="AM17" s="399">
        <f t="shared" si="47"/>
        <v>683.65</v>
      </c>
      <c r="AN17" s="397">
        <v>0</v>
      </c>
      <c r="AO17" s="397">
        <v>0</v>
      </c>
      <c r="AP17" s="46"/>
      <c r="AQ17" s="402">
        <v>0</v>
      </c>
      <c r="AR17" s="274">
        <v>1189284.3</v>
      </c>
      <c r="AS17" s="413">
        <v>349443.33999999997</v>
      </c>
      <c r="AX17" s="2"/>
      <c r="BA17" s="342"/>
      <c r="BB17" s="342"/>
      <c r="BC17" s="342"/>
      <c r="BD17" s="386"/>
      <c r="BE17" s="386"/>
      <c r="BF17" s="386"/>
      <c r="BG17" s="386"/>
      <c r="BH17" s="386"/>
      <c r="BI17" s="386"/>
      <c r="BJ17" s="386"/>
      <c r="BK17" s="386"/>
      <c r="BL17" s="386"/>
      <c r="BM17" s="386"/>
      <c r="BN17" s="387"/>
      <c r="BO17" s="265"/>
      <c r="BP17" s="386"/>
      <c r="BQ17" s="388"/>
      <c r="BR17" s="388"/>
      <c r="BS17" s="389"/>
      <c r="BT17" s="389"/>
      <c r="BU17" s="389"/>
      <c r="BV17" s="386"/>
      <c r="BW17" s="389"/>
      <c r="BX17" s="389"/>
      <c r="BY17" s="386"/>
      <c r="BZ17" s="386"/>
      <c r="CA17" s="386"/>
      <c r="CB17" s="386"/>
      <c r="CC17" s="386"/>
      <c r="CD17" s="386"/>
      <c r="CE17" s="386"/>
      <c r="CF17" s="390"/>
      <c r="CG17" s="390"/>
      <c r="CH17" s="391"/>
      <c r="CI17" s="386"/>
      <c r="CJ17" s="386"/>
      <c r="CK17" s="390"/>
      <c r="CL17" s="390"/>
      <c r="CM17" s="391"/>
      <c r="CN17" s="389"/>
      <c r="CO17" s="389"/>
      <c r="CP17" s="135"/>
      <c r="CQ17" s="135"/>
      <c r="CR17" s="135"/>
      <c r="CS17" s="135"/>
      <c r="CT17" s="135"/>
      <c r="CU17" s="135"/>
    </row>
    <row r="18" spans="1:99">
      <c r="A18" s="342" t="s">
        <v>58</v>
      </c>
      <c r="B18" s="342" t="s">
        <v>57</v>
      </c>
      <c r="C18" s="342" t="s">
        <v>837</v>
      </c>
      <c r="D18" s="157">
        <v>0</v>
      </c>
      <c r="E18" s="157">
        <v>0</v>
      </c>
      <c r="F18" s="157">
        <v>0</v>
      </c>
      <c r="G18" s="157">
        <v>0</v>
      </c>
      <c r="H18" s="157">
        <v>0</v>
      </c>
      <c r="I18" s="157">
        <v>0</v>
      </c>
      <c r="J18" s="157">
        <v>0</v>
      </c>
      <c r="K18" s="157">
        <v>0</v>
      </c>
      <c r="L18" s="157">
        <v>0</v>
      </c>
      <c r="M18" s="157">
        <v>74414.179999999993</v>
      </c>
      <c r="N18" s="264">
        <v>1.0699999999999999E-2</v>
      </c>
      <c r="O18" s="265">
        <v>0.37959999999999999</v>
      </c>
      <c r="P18" s="157">
        <v>0</v>
      </c>
      <c r="Q18" s="396">
        <v>0</v>
      </c>
      <c r="R18" s="396">
        <v>0</v>
      </c>
      <c r="S18" s="397">
        <v>0</v>
      </c>
      <c r="T18" s="397">
        <v>0</v>
      </c>
      <c r="U18" s="397">
        <v>0</v>
      </c>
      <c r="V18" s="157">
        <v>0</v>
      </c>
      <c r="W18" s="397">
        <v>0</v>
      </c>
      <c r="X18" s="397">
        <v>0</v>
      </c>
      <c r="Y18" s="157">
        <v>0</v>
      </c>
      <c r="Z18" s="157">
        <v>0</v>
      </c>
      <c r="AA18" s="157">
        <v>0</v>
      </c>
      <c r="AB18" s="157">
        <v>0</v>
      </c>
      <c r="AC18" s="157">
        <v>0</v>
      </c>
      <c r="AD18" s="157">
        <v>0</v>
      </c>
      <c r="AE18" s="157">
        <v>0</v>
      </c>
      <c r="AF18" s="398">
        <f t="shared" si="42"/>
        <v>0</v>
      </c>
      <c r="AG18" s="398">
        <f t="shared" si="43"/>
        <v>0</v>
      </c>
      <c r="AH18" s="399">
        <f t="shared" si="44"/>
        <v>0</v>
      </c>
      <c r="AI18" s="157">
        <v>0</v>
      </c>
      <c r="AJ18" s="157">
        <v>0</v>
      </c>
      <c r="AK18" s="398">
        <f t="shared" si="45"/>
        <v>0</v>
      </c>
      <c r="AL18" s="398">
        <f t="shared" si="46"/>
        <v>0</v>
      </c>
      <c r="AM18" s="399">
        <f t="shared" si="47"/>
        <v>0</v>
      </c>
      <c r="AN18" s="397">
        <v>0.81</v>
      </c>
      <c r="AO18" s="397">
        <v>0</v>
      </c>
      <c r="AP18" s="46"/>
      <c r="AQ18" s="402">
        <v>3199.7299999999996</v>
      </c>
      <c r="AR18" s="274">
        <v>2908.01</v>
      </c>
      <c r="AS18" s="413"/>
      <c r="AX18" s="2"/>
      <c r="BA18" s="342"/>
      <c r="BB18" s="342"/>
      <c r="BC18" s="342"/>
      <c r="BD18" s="386"/>
      <c r="BE18" s="386"/>
      <c r="BF18" s="386"/>
      <c r="BG18" s="386"/>
      <c r="BH18" s="386"/>
      <c r="BI18" s="386"/>
      <c r="BJ18" s="386"/>
      <c r="BK18" s="386"/>
      <c r="BL18" s="386"/>
      <c r="BM18" s="386"/>
      <c r="BN18" s="387"/>
      <c r="BO18" s="265"/>
      <c r="BP18" s="386"/>
      <c r="BQ18" s="388"/>
      <c r="BR18" s="388"/>
      <c r="BS18" s="389"/>
      <c r="BT18" s="389"/>
      <c r="BU18" s="389"/>
      <c r="BV18" s="386"/>
      <c r="BW18" s="389"/>
      <c r="BX18" s="389"/>
      <c r="BY18" s="386"/>
      <c r="BZ18" s="386"/>
      <c r="CA18" s="386"/>
      <c r="CB18" s="386"/>
      <c r="CC18" s="386"/>
      <c r="CD18" s="386"/>
      <c r="CE18" s="386"/>
      <c r="CF18" s="390"/>
      <c r="CG18" s="390"/>
      <c r="CH18" s="391"/>
      <c r="CI18" s="386"/>
      <c r="CJ18" s="386"/>
      <c r="CK18" s="390"/>
      <c r="CL18" s="390"/>
      <c r="CM18" s="391"/>
      <c r="CN18" s="389"/>
      <c r="CO18" s="389"/>
      <c r="CP18" s="135"/>
      <c r="CQ18" s="135"/>
      <c r="CR18" s="135"/>
      <c r="CS18" s="135"/>
      <c r="CT18" s="135"/>
      <c r="CU18" s="135"/>
    </row>
    <row r="19" spans="1:99">
      <c r="A19" s="342" t="s">
        <v>60</v>
      </c>
      <c r="B19" s="342" t="s">
        <v>59</v>
      </c>
      <c r="C19" s="342" t="s">
        <v>838</v>
      </c>
      <c r="D19" s="157">
        <v>0</v>
      </c>
      <c r="E19" s="157">
        <v>442003.53</v>
      </c>
      <c r="F19" s="157">
        <v>287722.40999999997</v>
      </c>
      <c r="G19" s="157">
        <v>29599832.02</v>
      </c>
      <c r="H19" s="157">
        <v>6840806.6399999997</v>
      </c>
      <c r="I19" s="157">
        <v>2774402.57</v>
      </c>
      <c r="J19" s="157">
        <v>6105361.54</v>
      </c>
      <c r="K19" s="157">
        <v>2356320.79</v>
      </c>
      <c r="L19" s="157">
        <v>612729.28</v>
      </c>
      <c r="M19" s="157">
        <v>17216270.579999998</v>
      </c>
      <c r="N19" s="264">
        <v>5.11E-2</v>
      </c>
      <c r="O19" s="265">
        <v>0.14030000000000001</v>
      </c>
      <c r="P19" s="157">
        <v>0</v>
      </c>
      <c r="Q19" s="396">
        <v>0</v>
      </c>
      <c r="R19" s="396">
        <v>0</v>
      </c>
      <c r="S19" s="397">
        <v>0</v>
      </c>
      <c r="T19" s="397">
        <v>0</v>
      </c>
      <c r="U19" s="397">
        <v>0</v>
      </c>
      <c r="V19" s="157">
        <v>0</v>
      </c>
      <c r="W19" s="397">
        <v>0</v>
      </c>
      <c r="X19" s="397">
        <v>0</v>
      </c>
      <c r="Y19" s="157">
        <v>23308.62</v>
      </c>
      <c r="Z19" s="157">
        <v>223043.54</v>
      </c>
      <c r="AA19" s="157">
        <v>0</v>
      </c>
      <c r="AB19" s="157">
        <v>2266645.33</v>
      </c>
      <c r="AC19" s="157">
        <v>9401032.6799999997</v>
      </c>
      <c r="AD19" s="157">
        <v>1022.9</v>
      </c>
      <c r="AE19" s="157">
        <v>8786988.4499999993</v>
      </c>
      <c r="AF19" s="398">
        <f t="shared" si="42"/>
        <v>8590.2712386352523</v>
      </c>
      <c r="AG19" s="398">
        <f t="shared" si="43"/>
        <v>9190.5686577378037</v>
      </c>
      <c r="AH19" s="399">
        <f t="shared" si="44"/>
        <v>600.29999999999995</v>
      </c>
      <c r="AI19" s="157">
        <v>252.5</v>
      </c>
      <c r="AJ19" s="157">
        <v>2104669.0499999998</v>
      </c>
      <c r="AK19" s="398">
        <f t="shared" si="45"/>
        <v>8335.3229702970293</v>
      </c>
      <c r="AL19" s="398">
        <f t="shared" si="46"/>
        <v>8976.8131881188128</v>
      </c>
      <c r="AM19" s="399">
        <f t="shared" si="47"/>
        <v>641.49</v>
      </c>
      <c r="AN19" s="397">
        <v>0</v>
      </c>
      <c r="AO19" s="397">
        <v>0</v>
      </c>
      <c r="AP19" s="46"/>
      <c r="AQ19" s="402">
        <v>454524.86999999988</v>
      </c>
      <c r="AR19" s="274">
        <v>2016573.6400000001</v>
      </c>
      <c r="AS19" s="413">
        <v>653274.28</v>
      </c>
      <c r="AX19" s="2"/>
      <c r="BA19" s="342"/>
      <c r="BB19" s="342"/>
      <c r="BC19" s="342"/>
      <c r="BD19" s="386"/>
      <c r="BE19" s="386"/>
      <c r="BF19" s="386"/>
      <c r="BG19" s="386"/>
      <c r="BH19" s="386"/>
      <c r="BI19" s="386"/>
      <c r="BJ19" s="386"/>
      <c r="BK19" s="386"/>
      <c r="BL19" s="386"/>
      <c r="BM19" s="386"/>
      <c r="BN19" s="387"/>
      <c r="BO19" s="265"/>
      <c r="BP19" s="386"/>
      <c r="BQ19" s="388"/>
      <c r="BR19" s="388"/>
      <c r="BS19" s="389"/>
      <c r="BT19" s="389"/>
      <c r="BU19" s="389"/>
      <c r="BV19" s="386"/>
      <c r="BW19" s="389"/>
      <c r="BX19" s="389"/>
      <c r="BY19" s="386"/>
      <c r="BZ19" s="386"/>
      <c r="CA19" s="386"/>
      <c r="CB19" s="386"/>
      <c r="CC19" s="386"/>
      <c r="CD19" s="386"/>
      <c r="CE19" s="386"/>
      <c r="CF19" s="390"/>
      <c r="CG19" s="390"/>
      <c r="CH19" s="391"/>
      <c r="CI19" s="386"/>
      <c r="CJ19" s="386"/>
      <c r="CK19" s="390"/>
      <c r="CL19" s="390"/>
      <c r="CM19" s="391"/>
      <c r="CN19" s="389"/>
      <c r="CO19" s="389"/>
      <c r="CP19" s="135"/>
      <c r="CQ19" s="135"/>
      <c r="CR19" s="135"/>
      <c r="CS19" s="135"/>
      <c r="CT19" s="135"/>
      <c r="CU19" s="135"/>
    </row>
    <row r="20" spans="1:99">
      <c r="A20" s="342" t="s">
        <v>62</v>
      </c>
      <c r="B20" s="342" t="s">
        <v>61</v>
      </c>
      <c r="C20" s="342" t="s">
        <v>839</v>
      </c>
      <c r="D20" s="157">
        <v>0</v>
      </c>
      <c r="E20" s="157">
        <v>0</v>
      </c>
      <c r="F20" s="157">
        <v>0</v>
      </c>
      <c r="G20" s="157">
        <v>0</v>
      </c>
      <c r="H20" s="157">
        <v>0</v>
      </c>
      <c r="I20" s="157">
        <v>0</v>
      </c>
      <c r="J20" s="157">
        <v>0</v>
      </c>
      <c r="K20" s="157">
        <v>0</v>
      </c>
      <c r="L20" s="157">
        <v>0</v>
      </c>
      <c r="M20" s="157">
        <v>209492.33</v>
      </c>
      <c r="N20" s="264">
        <v>2.01E-2</v>
      </c>
      <c r="O20" s="265">
        <v>0.27389999999999998</v>
      </c>
      <c r="P20" s="157">
        <v>0</v>
      </c>
      <c r="Q20" s="396">
        <v>0</v>
      </c>
      <c r="R20" s="396">
        <v>0</v>
      </c>
      <c r="S20" s="397">
        <v>0</v>
      </c>
      <c r="T20" s="397">
        <v>0</v>
      </c>
      <c r="U20" s="397">
        <v>0</v>
      </c>
      <c r="V20" s="157">
        <v>0</v>
      </c>
      <c r="W20" s="397">
        <v>0</v>
      </c>
      <c r="X20" s="397">
        <v>0</v>
      </c>
      <c r="Y20" s="157">
        <v>119.54</v>
      </c>
      <c r="Z20" s="157">
        <v>0</v>
      </c>
      <c r="AA20" s="157">
        <v>0</v>
      </c>
      <c r="AB20" s="157">
        <v>0</v>
      </c>
      <c r="AC20" s="157">
        <v>0</v>
      </c>
      <c r="AD20" s="157">
        <v>0</v>
      </c>
      <c r="AE20" s="157">
        <v>0</v>
      </c>
      <c r="AF20" s="398">
        <f t="shared" si="42"/>
        <v>0</v>
      </c>
      <c r="AG20" s="398">
        <f t="shared" si="43"/>
        <v>0</v>
      </c>
      <c r="AH20" s="399">
        <f t="shared" si="44"/>
        <v>0</v>
      </c>
      <c r="AI20" s="157">
        <v>0</v>
      </c>
      <c r="AJ20" s="157">
        <v>0</v>
      </c>
      <c r="AK20" s="398">
        <f t="shared" si="45"/>
        <v>0</v>
      </c>
      <c r="AL20" s="398">
        <f t="shared" si="46"/>
        <v>0</v>
      </c>
      <c r="AM20" s="399">
        <f t="shared" si="47"/>
        <v>0</v>
      </c>
      <c r="AN20" s="397">
        <v>0</v>
      </c>
      <c r="AO20" s="397">
        <v>0</v>
      </c>
      <c r="AP20" s="46"/>
      <c r="AQ20" s="402">
        <v>22428.84</v>
      </c>
      <c r="AR20" s="274">
        <v>19607.22</v>
      </c>
      <c r="AS20" s="413"/>
      <c r="AX20" s="2"/>
      <c r="BA20" s="342"/>
      <c r="BB20" s="342"/>
      <c r="BC20" s="342"/>
      <c r="BD20" s="386"/>
      <c r="BE20" s="386"/>
      <c r="BF20" s="386"/>
      <c r="BG20" s="386"/>
      <c r="BH20" s="386"/>
      <c r="BI20" s="386"/>
      <c r="BJ20" s="386"/>
      <c r="BK20" s="386"/>
      <c r="BL20" s="386"/>
      <c r="BM20" s="386"/>
      <c r="BN20" s="387"/>
      <c r="BO20" s="265"/>
      <c r="BP20" s="386"/>
      <c r="BQ20" s="388"/>
      <c r="BR20" s="388"/>
      <c r="BS20" s="389"/>
      <c r="BT20" s="389"/>
      <c r="BU20" s="389"/>
      <c r="BV20" s="386"/>
      <c r="BW20" s="389"/>
      <c r="BX20" s="389"/>
      <c r="BY20" s="386"/>
      <c r="BZ20" s="386"/>
      <c r="CA20" s="386"/>
      <c r="CB20" s="386"/>
      <c r="CC20" s="386"/>
      <c r="CD20" s="386"/>
      <c r="CE20" s="386"/>
      <c r="CF20" s="390"/>
      <c r="CG20" s="390"/>
      <c r="CH20" s="391"/>
      <c r="CI20" s="386"/>
      <c r="CJ20" s="386"/>
      <c r="CK20" s="390"/>
      <c r="CL20" s="390"/>
      <c r="CM20" s="391"/>
      <c r="CN20" s="389"/>
      <c r="CO20" s="389"/>
      <c r="CP20" s="135"/>
      <c r="CQ20" s="135"/>
      <c r="CR20" s="135"/>
      <c r="CS20" s="135"/>
      <c r="CT20" s="135"/>
      <c r="CU20" s="135"/>
    </row>
    <row r="21" spans="1:99">
      <c r="A21" s="342" t="s">
        <v>64</v>
      </c>
      <c r="B21" s="342" t="s">
        <v>63</v>
      </c>
      <c r="C21" s="342" t="s">
        <v>840</v>
      </c>
      <c r="D21" s="157">
        <v>0</v>
      </c>
      <c r="E21" s="157">
        <v>66072.600000000006</v>
      </c>
      <c r="F21" s="157">
        <v>4126.74</v>
      </c>
      <c r="G21" s="157">
        <v>3743999.92</v>
      </c>
      <c r="H21" s="157">
        <v>476044.49</v>
      </c>
      <c r="I21" s="157">
        <v>0</v>
      </c>
      <c r="J21" s="157">
        <v>721531.34</v>
      </c>
      <c r="K21" s="157">
        <v>190882.42</v>
      </c>
      <c r="L21" s="157">
        <v>69015.009999999995</v>
      </c>
      <c r="M21" s="157">
        <v>1425453.85</v>
      </c>
      <c r="N21" s="264">
        <v>3.61E-2</v>
      </c>
      <c r="O21" s="265">
        <v>0.16550000000000001</v>
      </c>
      <c r="P21" s="157">
        <v>0</v>
      </c>
      <c r="Q21" s="396">
        <v>0</v>
      </c>
      <c r="R21" s="396">
        <v>0</v>
      </c>
      <c r="S21" s="397">
        <v>0</v>
      </c>
      <c r="T21" s="397">
        <v>0</v>
      </c>
      <c r="U21" s="397">
        <v>0</v>
      </c>
      <c r="V21" s="157">
        <v>0</v>
      </c>
      <c r="W21" s="397">
        <v>0</v>
      </c>
      <c r="X21" s="397">
        <v>0</v>
      </c>
      <c r="Y21" s="157">
        <v>2346.88</v>
      </c>
      <c r="Z21" s="157">
        <v>0</v>
      </c>
      <c r="AA21" s="157">
        <v>0</v>
      </c>
      <c r="AB21" s="157">
        <v>113745.9</v>
      </c>
      <c r="AC21" s="157">
        <v>1069495.8600000001</v>
      </c>
      <c r="AD21" s="157">
        <v>101.16</v>
      </c>
      <c r="AE21" s="157">
        <v>959050.96</v>
      </c>
      <c r="AF21" s="398">
        <f t="shared" si="42"/>
        <v>9480.5353894820091</v>
      </c>
      <c r="AG21" s="398">
        <f t="shared" si="43"/>
        <v>10572.319691577701</v>
      </c>
      <c r="AH21" s="399">
        <f t="shared" si="44"/>
        <v>1091.78</v>
      </c>
      <c r="AI21" s="157">
        <v>11.47</v>
      </c>
      <c r="AJ21" s="157">
        <v>105684.98</v>
      </c>
      <c r="AK21" s="398">
        <f t="shared" si="45"/>
        <v>9214.0348735832595</v>
      </c>
      <c r="AL21" s="398">
        <f t="shared" si="46"/>
        <v>9916.8177855274625</v>
      </c>
      <c r="AM21" s="399">
        <f t="shared" si="47"/>
        <v>702.78</v>
      </c>
      <c r="AN21" s="397">
        <v>0</v>
      </c>
      <c r="AO21" s="397">
        <v>0</v>
      </c>
      <c r="AP21" s="46"/>
      <c r="AQ21" s="402">
        <v>61821.619999999995</v>
      </c>
      <c r="AR21" s="274">
        <v>230010.46000000002</v>
      </c>
      <c r="AS21" s="413">
        <v>63370.009999999995</v>
      </c>
      <c r="AX21" s="2"/>
      <c r="BA21" s="342"/>
      <c r="BB21" s="342"/>
      <c r="BC21" s="342"/>
      <c r="BD21" s="386"/>
      <c r="BE21" s="386"/>
      <c r="BF21" s="386"/>
      <c r="BG21" s="386"/>
      <c r="BH21" s="386"/>
      <c r="BI21" s="386"/>
      <c r="BJ21" s="386"/>
      <c r="BK21" s="386"/>
      <c r="BL21" s="386"/>
      <c r="BM21" s="386"/>
      <c r="BN21" s="387"/>
      <c r="BO21" s="265"/>
      <c r="BP21" s="386"/>
      <c r="BQ21" s="388"/>
      <c r="BR21" s="388"/>
      <c r="BS21" s="389"/>
      <c r="BT21" s="389"/>
      <c r="BU21" s="389"/>
      <c r="BV21" s="386"/>
      <c r="BW21" s="389"/>
      <c r="BX21" s="389"/>
      <c r="BY21" s="386"/>
      <c r="BZ21" s="386"/>
      <c r="CA21" s="386"/>
      <c r="CB21" s="386"/>
      <c r="CC21" s="386"/>
      <c r="CD21" s="386"/>
      <c r="CE21" s="386"/>
      <c r="CF21" s="390"/>
      <c r="CG21" s="390"/>
      <c r="CH21" s="391"/>
      <c r="CI21" s="386"/>
      <c r="CJ21" s="386"/>
      <c r="CK21" s="390"/>
      <c r="CL21" s="390"/>
      <c r="CM21" s="391"/>
      <c r="CN21" s="389"/>
      <c r="CO21" s="389"/>
      <c r="CP21" s="135"/>
      <c r="CQ21" s="135"/>
      <c r="CR21" s="135"/>
      <c r="CS21" s="135"/>
      <c r="CT21" s="135"/>
      <c r="CU21" s="135"/>
    </row>
    <row r="22" spans="1:99">
      <c r="A22" s="342" t="s">
        <v>66</v>
      </c>
      <c r="B22" s="342" t="s">
        <v>65</v>
      </c>
      <c r="C22" s="342" t="s">
        <v>841</v>
      </c>
      <c r="D22" s="157">
        <v>0</v>
      </c>
      <c r="E22" s="157">
        <v>0</v>
      </c>
      <c r="F22" s="157">
        <v>0</v>
      </c>
      <c r="G22" s="157">
        <v>178302.57</v>
      </c>
      <c r="H22" s="157">
        <v>34654.9</v>
      </c>
      <c r="I22" s="157">
        <v>25965.74</v>
      </c>
      <c r="J22" s="157">
        <v>27724.37</v>
      </c>
      <c r="K22" s="157">
        <v>0</v>
      </c>
      <c r="L22" s="157">
        <v>0</v>
      </c>
      <c r="M22" s="157">
        <v>175004.84</v>
      </c>
      <c r="N22" s="264">
        <v>7.6499999999999999E-2</v>
      </c>
      <c r="O22" s="265">
        <v>0.26860000000000001</v>
      </c>
      <c r="P22" s="157">
        <v>0</v>
      </c>
      <c r="Q22" s="396">
        <v>0</v>
      </c>
      <c r="R22" s="396">
        <v>0</v>
      </c>
      <c r="S22" s="397">
        <v>0</v>
      </c>
      <c r="T22" s="397">
        <v>0</v>
      </c>
      <c r="U22" s="397">
        <v>0</v>
      </c>
      <c r="V22" s="157">
        <v>0</v>
      </c>
      <c r="W22" s="397">
        <v>0</v>
      </c>
      <c r="X22" s="397">
        <v>0</v>
      </c>
      <c r="Y22" s="157">
        <v>96.99</v>
      </c>
      <c r="Z22" s="157">
        <v>0</v>
      </c>
      <c r="AA22" s="157">
        <v>0</v>
      </c>
      <c r="AB22" s="157">
        <v>0</v>
      </c>
      <c r="AC22" s="157">
        <v>0</v>
      </c>
      <c r="AD22" s="157">
        <v>0</v>
      </c>
      <c r="AE22" s="157">
        <v>0</v>
      </c>
      <c r="AF22" s="398">
        <f t="shared" si="42"/>
        <v>0</v>
      </c>
      <c r="AG22" s="398">
        <f t="shared" si="43"/>
        <v>0</v>
      </c>
      <c r="AH22" s="399">
        <f t="shared" si="44"/>
        <v>0</v>
      </c>
      <c r="AI22" s="157">
        <v>0</v>
      </c>
      <c r="AJ22" s="157">
        <v>0</v>
      </c>
      <c r="AK22" s="398">
        <f t="shared" si="45"/>
        <v>0</v>
      </c>
      <c r="AL22" s="398">
        <f t="shared" si="46"/>
        <v>0</v>
      </c>
      <c r="AM22" s="399">
        <f t="shared" si="47"/>
        <v>0</v>
      </c>
      <c r="AN22" s="397">
        <v>0</v>
      </c>
      <c r="AO22" s="397">
        <v>0</v>
      </c>
      <c r="AP22" s="46"/>
      <c r="AQ22" s="402">
        <v>23308.78</v>
      </c>
      <c r="AR22" s="274">
        <v>8798.35</v>
      </c>
      <c r="AS22" s="413">
        <v>12752.18</v>
      </c>
      <c r="AX22" s="2"/>
      <c r="BA22" s="342"/>
      <c r="BB22" s="342"/>
      <c r="BC22" s="342"/>
      <c r="BD22" s="386"/>
      <c r="BE22" s="386"/>
      <c r="BF22" s="386"/>
      <c r="BG22" s="386"/>
      <c r="BH22" s="386"/>
      <c r="BI22" s="386"/>
      <c r="BJ22" s="386"/>
      <c r="BK22" s="386"/>
      <c r="BL22" s="386"/>
      <c r="BM22" s="386"/>
      <c r="BN22" s="387"/>
      <c r="BO22" s="265"/>
      <c r="BP22" s="386"/>
      <c r="BQ22" s="388"/>
      <c r="BR22" s="388"/>
      <c r="BS22" s="389"/>
      <c r="BT22" s="389"/>
      <c r="BU22" s="389"/>
      <c r="BV22" s="386"/>
      <c r="BW22" s="389"/>
      <c r="BX22" s="389"/>
      <c r="BY22" s="386"/>
      <c r="BZ22" s="386"/>
      <c r="CA22" s="386"/>
      <c r="CB22" s="386"/>
      <c r="CC22" s="386"/>
      <c r="CD22" s="386"/>
      <c r="CE22" s="386"/>
      <c r="CF22" s="390"/>
      <c r="CG22" s="390"/>
      <c r="CH22" s="391"/>
      <c r="CI22" s="386"/>
      <c r="CJ22" s="386"/>
      <c r="CK22" s="390"/>
      <c r="CL22" s="390"/>
      <c r="CM22" s="391"/>
      <c r="CN22" s="389"/>
      <c r="CO22" s="389"/>
      <c r="CP22" s="135"/>
      <c r="CQ22" s="135"/>
      <c r="CR22" s="135"/>
      <c r="CS22" s="135"/>
      <c r="CT22" s="135"/>
      <c r="CU22" s="135"/>
    </row>
    <row r="23" spans="1:99">
      <c r="A23" s="342" t="s">
        <v>68</v>
      </c>
      <c r="B23" s="342" t="s">
        <v>67</v>
      </c>
      <c r="C23" s="342" t="s">
        <v>842</v>
      </c>
      <c r="D23" s="157">
        <v>0</v>
      </c>
      <c r="E23" s="157">
        <v>201227.08</v>
      </c>
      <c r="F23" s="157">
        <v>50569.09</v>
      </c>
      <c r="G23" s="157">
        <v>7475469.4199999999</v>
      </c>
      <c r="H23" s="157">
        <v>1455829.49</v>
      </c>
      <c r="I23" s="157">
        <v>1341626.8400000001</v>
      </c>
      <c r="J23" s="157">
        <v>2255294.14</v>
      </c>
      <c r="K23" s="157">
        <v>913183.46</v>
      </c>
      <c r="L23" s="157">
        <v>155632.54</v>
      </c>
      <c r="M23" s="157">
        <v>2363849.5</v>
      </c>
      <c r="N23" s="264">
        <v>4.9000000000000002E-2</v>
      </c>
      <c r="O23" s="265">
        <v>0.1588</v>
      </c>
      <c r="P23" s="157">
        <v>0</v>
      </c>
      <c r="Q23" s="396">
        <v>0</v>
      </c>
      <c r="R23" s="396">
        <v>0</v>
      </c>
      <c r="S23" s="397">
        <v>0</v>
      </c>
      <c r="T23" s="397">
        <v>0</v>
      </c>
      <c r="U23" s="397">
        <v>0</v>
      </c>
      <c r="V23" s="157">
        <v>0</v>
      </c>
      <c r="W23" s="397">
        <v>0</v>
      </c>
      <c r="X23" s="397">
        <v>0</v>
      </c>
      <c r="Y23" s="157">
        <v>369.91</v>
      </c>
      <c r="Z23" s="157">
        <v>0</v>
      </c>
      <c r="AA23" s="157">
        <v>0</v>
      </c>
      <c r="AB23" s="157">
        <v>575633.49</v>
      </c>
      <c r="AC23" s="157">
        <v>3370144.26</v>
      </c>
      <c r="AD23" s="157">
        <v>327.37</v>
      </c>
      <c r="AE23" s="157">
        <v>3164496.48</v>
      </c>
      <c r="AF23" s="398">
        <f t="shared" si="42"/>
        <v>9666.4217246540611</v>
      </c>
      <c r="AG23" s="398">
        <f t="shared" si="43"/>
        <v>10294.603231817209</v>
      </c>
      <c r="AH23" s="399">
        <f t="shared" si="44"/>
        <v>628.17999999999995</v>
      </c>
      <c r="AI23" s="157">
        <v>56.86</v>
      </c>
      <c r="AJ23" s="157">
        <v>534707.82999999996</v>
      </c>
      <c r="AK23" s="398">
        <f t="shared" si="45"/>
        <v>9403.9365107281028</v>
      </c>
      <c r="AL23" s="398">
        <f t="shared" si="46"/>
        <v>10123.698381990855</v>
      </c>
      <c r="AM23" s="399">
        <f t="shared" si="47"/>
        <v>719.76</v>
      </c>
      <c r="AN23" s="397">
        <v>0</v>
      </c>
      <c r="AO23" s="397">
        <v>0</v>
      </c>
      <c r="AP23" s="46"/>
      <c r="AQ23" s="402">
        <v>15770.890000000014</v>
      </c>
      <c r="AR23" s="274">
        <v>557267.32000000007</v>
      </c>
      <c r="AS23" s="413">
        <v>140243.34</v>
      </c>
      <c r="AX23" s="2"/>
      <c r="BA23" s="342"/>
      <c r="BB23" s="342"/>
      <c r="BC23" s="342"/>
      <c r="BD23" s="386"/>
      <c r="BE23" s="386"/>
      <c r="BF23" s="386"/>
      <c r="BG23" s="386"/>
      <c r="BH23" s="386"/>
      <c r="BI23" s="386"/>
      <c r="BJ23" s="386"/>
      <c r="BK23" s="386"/>
      <c r="BL23" s="386"/>
      <c r="BM23" s="386"/>
      <c r="BN23" s="387"/>
      <c r="BO23" s="265"/>
      <c r="BP23" s="386"/>
      <c r="BQ23" s="388"/>
      <c r="BR23" s="388"/>
      <c r="BS23" s="389"/>
      <c r="BT23" s="389"/>
      <c r="BU23" s="389"/>
      <c r="BV23" s="386"/>
      <c r="BW23" s="389"/>
      <c r="BX23" s="389"/>
      <c r="BY23" s="386"/>
      <c r="BZ23" s="386"/>
      <c r="CA23" s="386"/>
      <c r="CB23" s="386"/>
      <c r="CC23" s="386"/>
      <c r="CD23" s="386"/>
      <c r="CE23" s="386"/>
      <c r="CF23" s="390"/>
      <c r="CG23" s="390"/>
      <c r="CH23" s="391"/>
      <c r="CI23" s="386"/>
      <c r="CJ23" s="386"/>
      <c r="CK23" s="390"/>
      <c r="CL23" s="390"/>
      <c r="CM23" s="391"/>
      <c r="CN23" s="389"/>
      <c r="CO23" s="389"/>
      <c r="CP23" s="135"/>
      <c r="CQ23" s="135"/>
      <c r="CR23" s="135"/>
      <c r="CS23" s="135"/>
      <c r="CT23" s="135"/>
      <c r="CU23" s="135"/>
    </row>
    <row r="24" spans="1:99">
      <c r="A24" s="342" t="s">
        <v>70</v>
      </c>
      <c r="B24" s="342" t="s">
        <v>69</v>
      </c>
      <c r="C24" s="342" t="s">
        <v>843</v>
      </c>
      <c r="D24" s="157">
        <v>0</v>
      </c>
      <c r="E24" s="157">
        <v>50758.43</v>
      </c>
      <c r="F24" s="157">
        <v>21128.87</v>
      </c>
      <c r="G24" s="157">
        <v>1083134.82</v>
      </c>
      <c r="H24" s="157">
        <v>180709.24</v>
      </c>
      <c r="I24" s="157">
        <v>287278.26</v>
      </c>
      <c r="J24" s="157">
        <v>604970.59</v>
      </c>
      <c r="K24" s="157">
        <v>595830.23</v>
      </c>
      <c r="L24" s="157">
        <v>29172.65</v>
      </c>
      <c r="M24" s="157">
        <v>258467.98</v>
      </c>
      <c r="N24" s="264">
        <v>6.2899999999999998E-2</v>
      </c>
      <c r="O24" s="265">
        <v>0.19320000000000001</v>
      </c>
      <c r="P24" s="157">
        <v>0</v>
      </c>
      <c r="Q24" s="396">
        <v>0</v>
      </c>
      <c r="R24" s="396">
        <v>0</v>
      </c>
      <c r="S24" s="397">
        <v>0</v>
      </c>
      <c r="T24" s="397">
        <v>0</v>
      </c>
      <c r="U24" s="397">
        <v>0</v>
      </c>
      <c r="V24" s="157">
        <v>0</v>
      </c>
      <c r="W24" s="397">
        <v>0</v>
      </c>
      <c r="X24" s="397">
        <v>0</v>
      </c>
      <c r="Y24" s="157">
        <v>0</v>
      </c>
      <c r="Z24" s="157">
        <v>0</v>
      </c>
      <c r="AA24" s="157">
        <v>37902.93</v>
      </c>
      <c r="AB24" s="157">
        <v>0</v>
      </c>
      <c r="AC24" s="157">
        <v>693310.39</v>
      </c>
      <c r="AD24" s="157">
        <v>75.02</v>
      </c>
      <c r="AE24" s="157">
        <v>644383.32999999996</v>
      </c>
      <c r="AF24" s="398">
        <f t="shared" si="42"/>
        <v>8589.4872034124237</v>
      </c>
      <c r="AG24" s="398">
        <f t="shared" si="43"/>
        <v>9241.6740869101577</v>
      </c>
      <c r="AH24" s="399">
        <f t="shared" si="44"/>
        <v>652.19000000000005</v>
      </c>
      <c r="AI24" s="157">
        <v>0</v>
      </c>
      <c r="AJ24" s="157">
        <v>0</v>
      </c>
      <c r="AK24" s="398">
        <f t="shared" si="45"/>
        <v>0</v>
      </c>
      <c r="AL24" s="398">
        <f t="shared" si="46"/>
        <v>0</v>
      </c>
      <c r="AM24" s="399">
        <f t="shared" si="47"/>
        <v>0</v>
      </c>
      <c r="AN24" s="397">
        <v>0</v>
      </c>
      <c r="AO24" s="397">
        <v>0</v>
      </c>
      <c r="AP24" s="46"/>
      <c r="AQ24" s="402">
        <v>31540.170000000027</v>
      </c>
      <c r="AR24" s="274">
        <v>110591.35</v>
      </c>
      <c r="AS24" s="413">
        <v>39550.979999999996</v>
      </c>
      <c r="AX24" s="2"/>
      <c r="BA24" s="342"/>
      <c r="BB24" s="342"/>
      <c r="BC24" s="342"/>
      <c r="BD24" s="386"/>
      <c r="BE24" s="386"/>
      <c r="BF24" s="386"/>
      <c r="BG24" s="386"/>
      <c r="BH24" s="386"/>
      <c r="BI24" s="386"/>
      <c r="BJ24" s="386"/>
      <c r="BK24" s="386"/>
      <c r="BL24" s="386"/>
      <c r="BM24" s="386"/>
      <c r="BN24" s="387"/>
      <c r="BO24" s="265"/>
      <c r="BP24" s="386"/>
      <c r="BQ24" s="388"/>
      <c r="BR24" s="388"/>
      <c r="BS24" s="389"/>
      <c r="BT24" s="389"/>
      <c r="BU24" s="389"/>
      <c r="BV24" s="386"/>
      <c r="BW24" s="389"/>
      <c r="BX24" s="389"/>
      <c r="BY24" s="386"/>
      <c r="BZ24" s="386"/>
      <c r="CA24" s="386"/>
      <c r="CB24" s="386"/>
      <c r="CC24" s="386"/>
      <c r="CD24" s="386"/>
      <c r="CE24" s="386"/>
      <c r="CF24" s="390"/>
      <c r="CG24" s="390"/>
      <c r="CH24" s="391"/>
      <c r="CI24" s="386"/>
      <c r="CJ24" s="386"/>
      <c r="CK24" s="390"/>
      <c r="CL24" s="390"/>
      <c r="CM24" s="391"/>
      <c r="CN24" s="389"/>
      <c r="CO24" s="389"/>
      <c r="CP24" s="135"/>
      <c r="CQ24" s="135"/>
      <c r="CR24" s="135"/>
      <c r="CS24" s="135"/>
      <c r="CT24" s="135"/>
      <c r="CU24" s="135"/>
    </row>
    <row r="25" spans="1:99">
      <c r="A25" s="342" t="s">
        <v>72</v>
      </c>
      <c r="B25" s="342" t="s">
        <v>71</v>
      </c>
      <c r="C25" s="342" t="s">
        <v>844</v>
      </c>
      <c r="D25" s="157">
        <v>0</v>
      </c>
      <c r="E25" s="157">
        <v>5800.46</v>
      </c>
      <c r="F25" s="157">
        <v>9022.7999999999993</v>
      </c>
      <c r="G25" s="157">
        <v>814934.7</v>
      </c>
      <c r="H25" s="157">
        <v>99848.09</v>
      </c>
      <c r="I25" s="157">
        <v>223657.04</v>
      </c>
      <c r="J25" s="157">
        <v>465314.25</v>
      </c>
      <c r="K25" s="157">
        <v>609431.81000000006</v>
      </c>
      <c r="L25" s="157">
        <v>22345.01</v>
      </c>
      <c r="M25" s="157">
        <v>234082.88</v>
      </c>
      <c r="N25" s="264">
        <v>4.6199999999999998E-2</v>
      </c>
      <c r="O25" s="265">
        <v>0.20419999999999999</v>
      </c>
      <c r="P25" s="157">
        <v>0</v>
      </c>
      <c r="Q25" s="396">
        <v>0</v>
      </c>
      <c r="R25" s="396">
        <v>0</v>
      </c>
      <c r="S25" s="397">
        <v>0</v>
      </c>
      <c r="T25" s="397">
        <v>0</v>
      </c>
      <c r="U25" s="397">
        <v>0</v>
      </c>
      <c r="V25" s="157">
        <v>0</v>
      </c>
      <c r="W25" s="397">
        <v>0</v>
      </c>
      <c r="X25" s="397">
        <v>0</v>
      </c>
      <c r="Y25" s="157">
        <v>0</v>
      </c>
      <c r="Z25" s="157">
        <v>0</v>
      </c>
      <c r="AA25" s="157">
        <v>0</v>
      </c>
      <c r="AB25" s="157">
        <v>91681.33</v>
      </c>
      <c r="AC25" s="157">
        <v>185839.96</v>
      </c>
      <c r="AD25" s="157">
        <v>20.68</v>
      </c>
      <c r="AE25" s="157">
        <v>177680.9</v>
      </c>
      <c r="AF25" s="398">
        <f t="shared" si="42"/>
        <v>8591.9197292069639</v>
      </c>
      <c r="AG25" s="398">
        <f t="shared" si="43"/>
        <v>8986.4584139264989</v>
      </c>
      <c r="AH25" s="399">
        <f t="shared" si="44"/>
        <v>394.54</v>
      </c>
      <c r="AI25" s="157">
        <v>10.210000000000001</v>
      </c>
      <c r="AJ25" s="157">
        <v>85074.87</v>
      </c>
      <c r="AK25" s="398">
        <f t="shared" si="45"/>
        <v>8332.504407443681</v>
      </c>
      <c r="AL25" s="398">
        <f t="shared" si="46"/>
        <v>8979.5621939275206</v>
      </c>
      <c r="AM25" s="399">
        <f t="shared" si="47"/>
        <v>647.05999999999995</v>
      </c>
      <c r="AN25" s="397">
        <v>0</v>
      </c>
      <c r="AO25" s="397">
        <v>0</v>
      </c>
      <c r="AP25" s="46"/>
      <c r="AQ25" s="402">
        <v>29455.619999999995</v>
      </c>
      <c r="AR25" s="274">
        <v>86881.57</v>
      </c>
      <c r="AS25" s="413">
        <v>32452.590000000004</v>
      </c>
      <c r="AX25" s="2"/>
      <c r="BA25" s="342"/>
      <c r="BB25" s="342"/>
      <c r="BC25" s="342"/>
      <c r="BD25" s="386"/>
      <c r="BE25" s="386"/>
      <c r="BF25" s="386"/>
      <c r="BG25" s="386"/>
      <c r="BH25" s="386"/>
      <c r="BI25" s="386"/>
      <c r="BJ25" s="386"/>
      <c r="BK25" s="386"/>
      <c r="BL25" s="386"/>
      <c r="BM25" s="386"/>
      <c r="BN25" s="387"/>
      <c r="BO25" s="265"/>
      <c r="BP25" s="386"/>
      <c r="BQ25" s="388"/>
      <c r="BR25" s="388"/>
      <c r="BS25" s="389"/>
      <c r="BT25" s="389"/>
      <c r="BU25" s="389"/>
      <c r="BV25" s="386"/>
      <c r="BW25" s="389"/>
      <c r="BX25" s="389"/>
      <c r="BY25" s="386"/>
      <c r="BZ25" s="386"/>
      <c r="CA25" s="386"/>
      <c r="CB25" s="386"/>
      <c r="CC25" s="386"/>
      <c r="CD25" s="386"/>
      <c r="CE25" s="386"/>
      <c r="CF25" s="390"/>
      <c r="CG25" s="390"/>
      <c r="CH25" s="391"/>
      <c r="CI25" s="386"/>
      <c r="CJ25" s="386"/>
      <c r="CK25" s="390"/>
      <c r="CL25" s="390"/>
      <c r="CM25" s="391"/>
      <c r="CN25" s="389"/>
      <c r="CO25" s="389"/>
      <c r="CP25" s="135"/>
      <c r="CQ25" s="135"/>
      <c r="CR25" s="135"/>
      <c r="CS25" s="135"/>
      <c r="CT25" s="135"/>
      <c r="CU25" s="135"/>
    </row>
    <row r="26" spans="1:99">
      <c r="A26" s="342" t="s">
        <v>74</v>
      </c>
      <c r="B26" s="342" t="s">
        <v>73</v>
      </c>
      <c r="C26" s="342" t="s">
        <v>845</v>
      </c>
      <c r="D26" s="157">
        <v>0</v>
      </c>
      <c r="E26" s="157">
        <v>0</v>
      </c>
      <c r="F26" s="157">
        <v>0</v>
      </c>
      <c r="G26" s="157">
        <v>79704.320000000007</v>
      </c>
      <c r="H26" s="157">
        <v>4989.12</v>
      </c>
      <c r="I26" s="157">
        <v>21620.880000000001</v>
      </c>
      <c r="J26" s="157">
        <v>35896.85</v>
      </c>
      <c r="K26" s="157">
        <v>0</v>
      </c>
      <c r="L26" s="157">
        <v>2275.89</v>
      </c>
      <c r="M26" s="157">
        <v>97585.55</v>
      </c>
      <c r="N26" s="264">
        <v>0.1048</v>
      </c>
      <c r="O26" s="265">
        <v>0.4052</v>
      </c>
      <c r="P26" s="157">
        <v>0</v>
      </c>
      <c r="Q26" s="396">
        <v>0</v>
      </c>
      <c r="R26" s="396">
        <v>0</v>
      </c>
      <c r="S26" s="397">
        <v>0</v>
      </c>
      <c r="T26" s="397">
        <v>0</v>
      </c>
      <c r="U26" s="397">
        <v>0</v>
      </c>
      <c r="V26" s="157">
        <v>0</v>
      </c>
      <c r="W26" s="397">
        <v>0</v>
      </c>
      <c r="X26" s="397">
        <v>0</v>
      </c>
      <c r="Y26" s="157">
        <v>87.97</v>
      </c>
      <c r="Z26" s="157">
        <v>0</v>
      </c>
      <c r="AA26" s="157">
        <v>0</v>
      </c>
      <c r="AB26" s="157">
        <v>0</v>
      </c>
      <c r="AC26" s="157">
        <v>0</v>
      </c>
      <c r="AD26" s="157">
        <v>0</v>
      </c>
      <c r="AE26" s="157">
        <v>0</v>
      </c>
      <c r="AF26" s="398">
        <f t="shared" si="42"/>
        <v>0</v>
      </c>
      <c r="AG26" s="398">
        <f t="shared" si="43"/>
        <v>0</v>
      </c>
      <c r="AH26" s="399">
        <f t="shared" si="44"/>
        <v>0</v>
      </c>
      <c r="AI26" s="157">
        <v>0</v>
      </c>
      <c r="AJ26" s="157">
        <v>0</v>
      </c>
      <c r="AK26" s="398">
        <f t="shared" si="45"/>
        <v>0</v>
      </c>
      <c r="AL26" s="398">
        <f t="shared" si="46"/>
        <v>0</v>
      </c>
      <c r="AM26" s="399">
        <f t="shared" si="47"/>
        <v>0</v>
      </c>
      <c r="AN26" s="397">
        <v>0</v>
      </c>
      <c r="AO26" s="397">
        <v>0</v>
      </c>
      <c r="AP26" s="46"/>
      <c r="AQ26" s="402">
        <v>4729.3999999999996</v>
      </c>
      <c r="AR26" s="274">
        <v>9043.0400000000009</v>
      </c>
      <c r="AS26" s="413">
        <v>12196.970000000001</v>
      </c>
      <c r="AX26" s="2"/>
      <c r="BA26" s="342"/>
      <c r="BB26" s="342"/>
      <c r="BC26" s="342"/>
      <c r="BD26" s="386"/>
      <c r="BE26" s="386"/>
      <c r="BF26" s="386"/>
      <c r="BG26" s="386"/>
      <c r="BH26" s="386"/>
      <c r="BI26" s="386"/>
      <c r="BJ26" s="386"/>
      <c r="BK26" s="386"/>
      <c r="BL26" s="386"/>
      <c r="BM26" s="386"/>
      <c r="BN26" s="387"/>
      <c r="BO26" s="265"/>
      <c r="BP26" s="386"/>
      <c r="BQ26" s="388"/>
      <c r="BR26" s="388"/>
      <c r="BS26" s="389"/>
      <c r="BT26" s="389"/>
      <c r="BU26" s="389"/>
      <c r="BV26" s="386"/>
      <c r="BW26" s="389"/>
      <c r="BX26" s="389"/>
      <c r="BY26" s="386"/>
      <c r="BZ26" s="386"/>
      <c r="CA26" s="386"/>
      <c r="CB26" s="386"/>
      <c r="CC26" s="386"/>
      <c r="CD26" s="386"/>
      <c r="CE26" s="386"/>
      <c r="CF26" s="390"/>
      <c r="CG26" s="390"/>
      <c r="CH26" s="391"/>
      <c r="CI26" s="386"/>
      <c r="CJ26" s="386"/>
      <c r="CK26" s="390"/>
      <c r="CL26" s="390"/>
      <c r="CM26" s="391"/>
      <c r="CN26" s="389"/>
      <c r="CO26" s="389"/>
      <c r="CP26" s="135"/>
      <c r="CQ26" s="135"/>
      <c r="CR26" s="135"/>
      <c r="CS26" s="135"/>
      <c r="CT26" s="135"/>
      <c r="CU26" s="135"/>
    </row>
    <row r="27" spans="1:99">
      <c r="A27" s="342" t="s">
        <v>76</v>
      </c>
      <c r="B27" s="342" t="s">
        <v>75</v>
      </c>
      <c r="C27" s="342" t="s">
        <v>846</v>
      </c>
      <c r="D27" s="157">
        <v>0</v>
      </c>
      <c r="E27" s="157">
        <v>120129.45</v>
      </c>
      <c r="F27" s="157">
        <v>0</v>
      </c>
      <c r="G27" s="157">
        <v>5128719.78</v>
      </c>
      <c r="H27" s="157">
        <v>916794.13</v>
      </c>
      <c r="I27" s="157">
        <v>473599.83</v>
      </c>
      <c r="J27" s="157">
        <v>1331231.18</v>
      </c>
      <c r="K27" s="157">
        <v>1350318.59</v>
      </c>
      <c r="L27" s="157">
        <v>109121.14</v>
      </c>
      <c r="M27" s="157">
        <v>2608084.64</v>
      </c>
      <c r="N27" s="264">
        <v>3.6799999999999999E-2</v>
      </c>
      <c r="O27" s="265">
        <v>0.1361</v>
      </c>
      <c r="P27" s="157">
        <v>0</v>
      </c>
      <c r="Q27" s="396">
        <v>0</v>
      </c>
      <c r="R27" s="396">
        <v>0</v>
      </c>
      <c r="S27" s="397">
        <v>0</v>
      </c>
      <c r="T27" s="397">
        <v>0</v>
      </c>
      <c r="U27" s="397">
        <v>0</v>
      </c>
      <c r="V27" s="157">
        <v>0</v>
      </c>
      <c r="W27" s="397">
        <v>0</v>
      </c>
      <c r="X27" s="397">
        <v>0</v>
      </c>
      <c r="Y27" s="157">
        <v>0</v>
      </c>
      <c r="Z27" s="157">
        <v>78974.41</v>
      </c>
      <c r="AA27" s="157">
        <v>165808.28</v>
      </c>
      <c r="AB27" s="157">
        <v>765424.79</v>
      </c>
      <c r="AC27" s="157">
        <v>3075265.1</v>
      </c>
      <c r="AD27" s="157">
        <v>305.61</v>
      </c>
      <c r="AE27" s="157">
        <v>2899079.98</v>
      </c>
      <c r="AF27" s="398">
        <f t="shared" si="42"/>
        <v>9486.2078466018775</v>
      </c>
      <c r="AG27" s="398">
        <f t="shared" si="43"/>
        <v>10062.710971499624</v>
      </c>
      <c r="AH27" s="399">
        <f t="shared" si="44"/>
        <v>576.5</v>
      </c>
      <c r="AI27" s="157">
        <v>77.08</v>
      </c>
      <c r="AJ27" s="157">
        <v>711014.19</v>
      </c>
      <c r="AK27" s="398">
        <f t="shared" si="45"/>
        <v>9224.3667618059153</v>
      </c>
      <c r="AL27" s="398">
        <f t="shared" si="46"/>
        <v>9930.2645303580703</v>
      </c>
      <c r="AM27" s="399">
        <f t="shared" si="47"/>
        <v>705.9</v>
      </c>
      <c r="AN27" s="397">
        <v>1878.04</v>
      </c>
      <c r="AO27" s="397">
        <v>0</v>
      </c>
      <c r="AP27" s="46"/>
      <c r="AQ27" s="402">
        <v>0</v>
      </c>
      <c r="AR27" s="274">
        <v>399363.54</v>
      </c>
      <c r="AS27" s="413">
        <v>112699.22</v>
      </c>
      <c r="AX27" s="2"/>
      <c r="BA27" s="342"/>
      <c r="BB27" s="342"/>
      <c r="BC27" s="342"/>
      <c r="BD27" s="386"/>
      <c r="BE27" s="386"/>
      <c r="BF27" s="386"/>
      <c r="BG27" s="386"/>
      <c r="BH27" s="386"/>
      <c r="BI27" s="386"/>
      <c r="BJ27" s="386"/>
      <c r="BK27" s="386"/>
      <c r="BL27" s="386"/>
      <c r="BM27" s="386"/>
      <c r="BN27" s="387"/>
      <c r="BO27" s="265"/>
      <c r="BP27" s="386"/>
      <c r="BQ27" s="388"/>
      <c r="BR27" s="388"/>
      <c r="BS27" s="389"/>
      <c r="BT27" s="389"/>
      <c r="BU27" s="389"/>
      <c r="BV27" s="386"/>
      <c r="BW27" s="389"/>
      <c r="BX27" s="389"/>
      <c r="BY27" s="386"/>
      <c r="BZ27" s="386"/>
      <c r="CA27" s="386"/>
      <c r="CB27" s="386"/>
      <c r="CC27" s="386"/>
      <c r="CD27" s="386"/>
      <c r="CE27" s="386"/>
      <c r="CF27" s="390"/>
      <c r="CG27" s="390"/>
      <c r="CH27" s="391"/>
      <c r="CI27" s="386"/>
      <c r="CJ27" s="386"/>
      <c r="CK27" s="390"/>
      <c r="CL27" s="390"/>
      <c r="CM27" s="391"/>
      <c r="CN27" s="389"/>
      <c r="CO27" s="389"/>
      <c r="CP27" s="135"/>
      <c r="CQ27" s="135"/>
      <c r="CR27" s="135"/>
      <c r="CS27" s="135"/>
      <c r="CT27" s="135"/>
      <c r="CU27" s="135"/>
    </row>
    <row r="28" spans="1:99">
      <c r="A28" s="342" t="s">
        <v>78</v>
      </c>
      <c r="B28" s="342" t="s">
        <v>77</v>
      </c>
      <c r="C28" s="342" t="s">
        <v>847</v>
      </c>
      <c r="D28" s="157">
        <v>0</v>
      </c>
      <c r="E28" s="157">
        <v>0</v>
      </c>
      <c r="F28" s="157">
        <v>0</v>
      </c>
      <c r="G28" s="157">
        <v>9992568.5899999999</v>
      </c>
      <c r="H28" s="157">
        <v>1443600.39</v>
      </c>
      <c r="I28" s="157">
        <v>0</v>
      </c>
      <c r="J28" s="157">
        <v>764102.72</v>
      </c>
      <c r="K28" s="157">
        <v>495078.73</v>
      </c>
      <c r="L28" s="157">
        <v>228728.48</v>
      </c>
      <c r="M28" s="157">
        <v>4172022.32</v>
      </c>
      <c r="N28" s="264">
        <v>3.4500000000000003E-2</v>
      </c>
      <c r="O28" s="265">
        <v>0.12970000000000001</v>
      </c>
      <c r="P28" s="157">
        <v>0</v>
      </c>
      <c r="Q28" s="396">
        <v>0</v>
      </c>
      <c r="R28" s="396">
        <v>0</v>
      </c>
      <c r="S28" s="397">
        <v>0</v>
      </c>
      <c r="T28" s="397">
        <v>0</v>
      </c>
      <c r="U28" s="397">
        <v>0</v>
      </c>
      <c r="V28" s="157">
        <v>0</v>
      </c>
      <c r="W28" s="397">
        <v>0</v>
      </c>
      <c r="X28" s="397">
        <v>0</v>
      </c>
      <c r="Y28" s="157">
        <v>0</v>
      </c>
      <c r="Z28" s="157">
        <v>2908.98</v>
      </c>
      <c r="AA28" s="157">
        <v>351122.39</v>
      </c>
      <c r="AB28" s="157">
        <v>336730</v>
      </c>
      <c r="AC28" s="157">
        <v>3627285.87</v>
      </c>
      <c r="AD28" s="157">
        <v>376.87</v>
      </c>
      <c r="AE28" s="157">
        <v>3440308.13</v>
      </c>
      <c r="AF28" s="398">
        <f t="shared" si="42"/>
        <v>9128.6335606442535</v>
      </c>
      <c r="AG28" s="398">
        <f t="shared" si="43"/>
        <v>9624.7668161434976</v>
      </c>
      <c r="AH28" s="399">
        <f t="shared" si="44"/>
        <v>496.13</v>
      </c>
      <c r="AI28" s="157">
        <v>35.26</v>
      </c>
      <c r="AJ28" s="157">
        <v>312626.36</v>
      </c>
      <c r="AK28" s="398">
        <f t="shared" si="45"/>
        <v>8866.3176403857069</v>
      </c>
      <c r="AL28" s="398">
        <f t="shared" si="46"/>
        <v>9549.9149177538293</v>
      </c>
      <c r="AM28" s="399">
        <f t="shared" si="47"/>
        <v>683.6</v>
      </c>
      <c r="AN28" s="397">
        <v>0</v>
      </c>
      <c r="AO28" s="397">
        <v>0</v>
      </c>
      <c r="AP28" s="46"/>
      <c r="AQ28" s="402">
        <v>0</v>
      </c>
      <c r="AR28" s="274">
        <v>705181.39</v>
      </c>
      <c r="AS28" s="413">
        <v>220414.76</v>
      </c>
      <c r="AX28" s="2"/>
      <c r="BA28" s="342"/>
      <c r="BB28" s="342"/>
      <c r="BC28" s="342"/>
      <c r="BD28" s="386"/>
      <c r="BE28" s="386"/>
      <c r="BF28" s="386"/>
      <c r="BG28" s="386"/>
      <c r="BH28" s="386"/>
      <c r="BI28" s="386"/>
      <c r="BJ28" s="386"/>
      <c r="BK28" s="386"/>
      <c r="BL28" s="386"/>
      <c r="BM28" s="386"/>
      <c r="BN28" s="387"/>
      <c r="BO28" s="265"/>
      <c r="BP28" s="386"/>
      <c r="BQ28" s="388"/>
      <c r="BR28" s="388"/>
      <c r="BS28" s="389"/>
      <c r="BT28" s="389"/>
      <c r="BU28" s="389"/>
      <c r="BV28" s="386"/>
      <c r="BW28" s="389"/>
      <c r="BX28" s="389"/>
      <c r="BY28" s="386"/>
      <c r="BZ28" s="386"/>
      <c r="CA28" s="386"/>
      <c r="CB28" s="386"/>
      <c r="CC28" s="386"/>
      <c r="CD28" s="386"/>
      <c r="CE28" s="386"/>
      <c r="CF28" s="390"/>
      <c r="CG28" s="390"/>
      <c r="CH28" s="391"/>
      <c r="CI28" s="386"/>
      <c r="CJ28" s="386"/>
      <c r="CK28" s="390"/>
      <c r="CL28" s="390"/>
      <c r="CM28" s="391"/>
      <c r="CN28" s="389"/>
      <c r="CO28" s="389"/>
      <c r="CP28" s="135"/>
      <c r="CQ28" s="135"/>
      <c r="CR28" s="135"/>
      <c r="CS28" s="135"/>
      <c r="CT28" s="135"/>
      <c r="CU28" s="135"/>
    </row>
    <row r="29" spans="1:99">
      <c r="A29" s="342" t="s">
        <v>80</v>
      </c>
      <c r="B29" s="342" t="s">
        <v>79</v>
      </c>
      <c r="C29" s="342" t="s">
        <v>848</v>
      </c>
      <c r="D29" s="157">
        <v>0</v>
      </c>
      <c r="E29" s="157">
        <v>17409.349999999999</v>
      </c>
      <c r="F29" s="157">
        <v>0</v>
      </c>
      <c r="G29" s="157">
        <v>635283.93000000005</v>
      </c>
      <c r="H29" s="157">
        <v>107906.58</v>
      </c>
      <c r="I29" s="157">
        <v>145035.70000000001</v>
      </c>
      <c r="J29" s="157">
        <v>210105.22</v>
      </c>
      <c r="K29" s="157">
        <v>0</v>
      </c>
      <c r="L29" s="157">
        <v>0</v>
      </c>
      <c r="M29" s="157">
        <v>292109.15000000002</v>
      </c>
      <c r="N29" s="264">
        <v>2.3599999999999999E-2</v>
      </c>
      <c r="O29" s="265">
        <v>0.24579999999999999</v>
      </c>
      <c r="P29" s="157">
        <v>0</v>
      </c>
      <c r="Q29" s="396">
        <v>0</v>
      </c>
      <c r="R29" s="396">
        <v>0</v>
      </c>
      <c r="S29" s="397">
        <v>0</v>
      </c>
      <c r="T29" s="397">
        <v>0</v>
      </c>
      <c r="U29" s="397">
        <v>0</v>
      </c>
      <c r="V29" s="157">
        <v>0</v>
      </c>
      <c r="W29" s="397">
        <v>0</v>
      </c>
      <c r="X29" s="397">
        <v>0</v>
      </c>
      <c r="Y29" s="157">
        <v>0</v>
      </c>
      <c r="Z29" s="157">
        <v>0</v>
      </c>
      <c r="AA29" s="157">
        <v>0</v>
      </c>
      <c r="AB29" s="157">
        <v>453.53</v>
      </c>
      <c r="AC29" s="157">
        <v>126626.94</v>
      </c>
      <c r="AD29" s="157">
        <v>14.11</v>
      </c>
      <c r="AE29" s="157">
        <v>121178.87</v>
      </c>
      <c r="AF29" s="398">
        <f t="shared" si="42"/>
        <v>8588.1552090715813</v>
      </c>
      <c r="AG29" s="398">
        <f t="shared" si="43"/>
        <v>8974.2693125442947</v>
      </c>
      <c r="AH29" s="399">
        <f t="shared" si="44"/>
        <v>386.11</v>
      </c>
      <c r="AI29" s="157">
        <v>0.05</v>
      </c>
      <c r="AJ29" s="157">
        <v>361.67</v>
      </c>
      <c r="AK29" s="398">
        <f t="shared" si="45"/>
        <v>7233.4</v>
      </c>
      <c r="AL29" s="398">
        <f t="shared" si="46"/>
        <v>9070.5999999999985</v>
      </c>
      <c r="AM29" s="399">
        <f t="shared" si="47"/>
        <v>1837.2</v>
      </c>
      <c r="AN29" s="397">
        <v>1828.93</v>
      </c>
      <c r="AO29" s="397">
        <v>0</v>
      </c>
      <c r="AP29" s="46"/>
      <c r="AQ29" s="402">
        <v>0</v>
      </c>
      <c r="AR29" s="274">
        <v>69068.31</v>
      </c>
      <c r="AS29" s="413">
        <v>24771.370000000003</v>
      </c>
      <c r="AX29" s="2"/>
      <c r="BA29" s="342"/>
      <c r="BB29" s="342"/>
      <c r="BC29" s="342"/>
      <c r="BD29" s="386"/>
      <c r="BE29" s="386"/>
      <c r="BF29" s="386"/>
      <c r="BG29" s="386"/>
      <c r="BH29" s="386"/>
      <c r="BI29" s="386"/>
      <c r="BJ29" s="386"/>
      <c r="BK29" s="386"/>
      <c r="BL29" s="386"/>
      <c r="BM29" s="386"/>
      <c r="BN29" s="387"/>
      <c r="BO29" s="265"/>
      <c r="BP29" s="386"/>
      <c r="BQ29" s="388"/>
      <c r="BR29" s="388"/>
      <c r="BS29" s="389"/>
      <c r="BT29" s="389"/>
      <c r="BU29" s="389"/>
      <c r="BV29" s="386"/>
      <c r="BW29" s="389"/>
      <c r="BX29" s="389"/>
      <c r="BY29" s="386"/>
      <c r="BZ29" s="386"/>
      <c r="CA29" s="386"/>
      <c r="CB29" s="386"/>
      <c r="CC29" s="386"/>
      <c r="CD29" s="386"/>
      <c r="CE29" s="386"/>
      <c r="CF29" s="390"/>
      <c r="CG29" s="390"/>
      <c r="CH29" s="391"/>
      <c r="CI29" s="386"/>
      <c r="CJ29" s="386"/>
      <c r="CK29" s="390"/>
      <c r="CL29" s="390"/>
      <c r="CM29" s="391"/>
      <c r="CN29" s="389"/>
      <c r="CO29" s="389"/>
      <c r="CP29" s="135"/>
      <c r="CQ29" s="135"/>
      <c r="CR29" s="135"/>
      <c r="CS29" s="135"/>
      <c r="CT29" s="135"/>
      <c r="CU29" s="135"/>
    </row>
    <row r="30" spans="1:99">
      <c r="A30" s="342" t="s">
        <v>82</v>
      </c>
      <c r="B30" s="342" t="s">
        <v>81</v>
      </c>
      <c r="C30" s="342" t="s">
        <v>849</v>
      </c>
      <c r="D30" s="157">
        <v>13981.36</v>
      </c>
      <c r="E30" s="157">
        <v>0</v>
      </c>
      <c r="F30" s="157">
        <v>0</v>
      </c>
      <c r="G30" s="157">
        <v>262716.3</v>
      </c>
      <c r="H30" s="157">
        <v>24441.759999999998</v>
      </c>
      <c r="I30" s="157">
        <v>0</v>
      </c>
      <c r="J30" s="157">
        <v>30605.7</v>
      </c>
      <c r="K30" s="157">
        <v>0</v>
      </c>
      <c r="L30" s="157">
        <v>5851.08</v>
      </c>
      <c r="M30" s="157">
        <v>104992.21</v>
      </c>
      <c r="N30" s="264">
        <v>7.1800000000000003E-2</v>
      </c>
      <c r="O30" s="265">
        <v>0.30930000000000002</v>
      </c>
      <c r="P30" s="157">
        <v>0</v>
      </c>
      <c r="Q30" s="396">
        <v>0</v>
      </c>
      <c r="R30" s="396">
        <v>0</v>
      </c>
      <c r="S30" s="397">
        <v>0</v>
      </c>
      <c r="T30" s="397">
        <v>0</v>
      </c>
      <c r="U30" s="397">
        <v>0</v>
      </c>
      <c r="V30" s="157">
        <v>0</v>
      </c>
      <c r="W30" s="397">
        <v>0</v>
      </c>
      <c r="X30" s="397">
        <v>0</v>
      </c>
      <c r="Y30" s="157">
        <v>0</v>
      </c>
      <c r="Z30" s="157">
        <v>0</v>
      </c>
      <c r="AA30" s="157">
        <v>0</v>
      </c>
      <c r="AB30" s="157">
        <v>0</v>
      </c>
      <c r="AC30" s="157">
        <v>0</v>
      </c>
      <c r="AD30" s="157">
        <v>0</v>
      </c>
      <c r="AE30" s="157">
        <v>0</v>
      </c>
      <c r="AF30" s="398">
        <f t="shared" si="42"/>
        <v>0</v>
      </c>
      <c r="AG30" s="398">
        <f t="shared" si="43"/>
        <v>0</v>
      </c>
      <c r="AH30" s="399">
        <f t="shared" si="44"/>
        <v>0</v>
      </c>
      <c r="AI30" s="157">
        <v>0</v>
      </c>
      <c r="AJ30" s="157">
        <v>0</v>
      </c>
      <c r="AK30" s="398">
        <f t="shared" si="45"/>
        <v>0</v>
      </c>
      <c r="AL30" s="398">
        <f t="shared" si="46"/>
        <v>0</v>
      </c>
      <c r="AM30" s="399">
        <f t="shared" si="47"/>
        <v>0</v>
      </c>
      <c r="AN30" s="397">
        <v>0</v>
      </c>
      <c r="AO30" s="397">
        <v>0</v>
      </c>
      <c r="AP30" s="46"/>
      <c r="AQ30" s="402">
        <v>16429.210000000003</v>
      </c>
      <c r="AR30" s="274">
        <v>19939.68</v>
      </c>
      <c r="AS30" s="413">
        <v>15473.400000000001</v>
      </c>
      <c r="AX30" s="2"/>
      <c r="BA30" s="342"/>
      <c r="BB30" s="342"/>
      <c r="BC30" s="342"/>
      <c r="BD30" s="386"/>
      <c r="BE30" s="386"/>
      <c r="BF30" s="386"/>
      <c r="BG30" s="386"/>
      <c r="BH30" s="386"/>
      <c r="BI30" s="386"/>
      <c r="BJ30" s="386"/>
      <c r="BK30" s="386"/>
      <c r="BL30" s="386"/>
      <c r="BM30" s="386"/>
      <c r="BN30" s="387"/>
      <c r="BO30" s="265"/>
      <c r="BP30" s="386"/>
      <c r="BQ30" s="388"/>
      <c r="BR30" s="388"/>
      <c r="BS30" s="389"/>
      <c r="BT30" s="389"/>
      <c r="BU30" s="389"/>
      <c r="BV30" s="386"/>
      <c r="BW30" s="389"/>
      <c r="BX30" s="389"/>
      <c r="BY30" s="386"/>
      <c r="BZ30" s="386"/>
      <c r="CA30" s="386"/>
      <c r="CB30" s="386"/>
      <c r="CC30" s="386"/>
      <c r="CD30" s="386"/>
      <c r="CE30" s="386"/>
      <c r="CF30" s="390"/>
      <c r="CG30" s="390"/>
      <c r="CH30" s="391"/>
      <c r="CI30" s="386"/>
      <c r="CJ30" s="386"/>
      <c r="CK30" s="390"/>
      <c r="CL30" s="390"/>
      <c r="CM30" s="391"/>
      <c r="CN30" s="389"/>
      <c r="CO30" s="389"/>
      <c r="CP30" s="135"/>
      <c r="CQ30" s="135"/>
      <c r="CR30" s="135"/>
      <c r="CS30" s="135"/>
      <c r="CT30" s="135"/>
      <c r="CU30" s="135"/>
    </row>
    <row r="31" spans="1:99">
      <c r="A31" s="342" t="s">
        <v>84</v>
      </c>
      <c r="B31" s="342" t="s">
        <v>83</v>
      </c>
      <c r="C31" s="342" t="s">
        <v>850</v>
      </c>
      <c r="D31" s="157">
        <v>0</v>
      </c>
      <c r="E31" s="157">
        <v>0</v>
      </c>
      <c r="F31" s="157">
        <v>0</v>
      </c>
      <c r="G31" s="157">
        <v>1206399.6499999999</v>
      </c>
      <c r="H31" s="157">
        <v>227854.22</v>
      </c>
      <c r="I31" s="157">
        <v>0</v>
      </c>
      <c r="J31" s="157">
        <v>311692.26</v>
      </c>
      <c r="K31" s="157">
        <v>222903.45</v>
      </c>
      <c r="L31" s="157">
        <v>36517.550000000003</v>
      </c>
      <c r="M31" s="157">
        <v>1047801.75</v>
      </c>
      <c r="N31" s="264">
        <v>2.35E-2</v>
      </c>
      <c r="O31" s="265">
        <v>0.15620000000000001</v>
      </c>
      <c r="P31" s="157">
        <v>0</v>
      </c>
      <c r="Q31" s="396">
        <v>0</v>
      </c>
      <c r="R31" s="396">
        <v>0</v>
      </c>
      <c r="S31" s="397">
        <v>0</v>
      </c>
      <c r="T31" s="397">
        <v>0</v>
      </c>
      <c r="U31" s="397">
        <v>0</v>
      </c>
      <c r="V31" s="157">
        <v>0</v>
      </c>
      <c r="W31" s="397">
        <v>0</v>
      </c>
      <c r="X31" s="397">
        <v>0</v>
      </c>
      <c r="Y31" s="157">
        <v>1395.04</v>
      </c>
      <c r="Z31" s="157">
        <v>0</v>
      </c>
      <c r="AA31" s="157">
        <v>0</v>
      </c>
      <c r="AB31" s="157">
        <v>373006.99</v>
      </c>
      <c r="AC31" s="157">
        <v>1143562.94</v>
      </c>
      <c r="AD31" s="157">
        <v>125.85</v>
      </c>
      <c r="AE31" s="157">
        <v>1081139.71</v>
      </c>
      <c r="AF31" s="398">
        <f t="shared" si="42"/>
        <v>8590.7009137862533</v>
      </c>
      <c r="AG31" s="398">
        <f t="shared" si="43"/>
        <v>9086.7138657131509</v>
      </c>
      <c r="AH31" s="399">
        <f t="shared" si="44"/>
        <v>496.01</v>
      </c>
      <c r="AI31" s="157">
        <v>41.56</v>
      </c>
      <c r="AJ31" s="157">
        <v>346327.23</v>
      </c>
      <c r="AK31" s="398">
        <f t="shared" si="45"/>
        <v>8333.186477382098</v>
      </c>
      <c r="AL31" s="398">
        <f t="shared" si="46"/>
        <v>8975.1441289701634</v>
      </c>
      <c r="AM31" s="399">
        <f t="shared" si="47"/>
        <v>641.96</v>
      </c>
      <c r="AN31" s="397">
        <v>1931.56</v>
      </c>
      <c r="AO31" s="397">
        <v>0</v>
      </c>
      <c r="AP31" s="46"/>
      <c r="AQ31" s="402">
        <v>0</v>
      </c>
      <c r="AR31" s="274">
        <v>117640.42000000001</v>
      </c>
      <c r="AS31" s="413">
        <v>47331.58</v>
      </c>
      <c r="AX31" s="2"/>
      <c r="BA31" s="342"/>
      <c r="BB31" s="342"/>
      <c r="BC31" s="342"/>
      <c r="BD31" s="386"/>
      <c r="BE31" s="386"/>
      <c r="BF31" s="386"/>
      <c r="BG31" s="386"/>
      <c r="BH31" s="386"/>
      <c r="BI31" s="386"/>
      <c r="BJ31" s="386"/>
      <c r="BK31" s="386"/>
      <c r="BL31" s="386"/>
      <c r="BM31" s="386"/>
      <c r="BN31" s="387"/>
      <c r="BO31" s="265"/>
      <c r="BP31" s="386"/>
      <c r="BQ31" s="388"/>
      <c r="BR31" s="388"/>
      <c r="BS31" s="389"/>
      <c r="BT31" s="389"/>
      <c r="BU31" s="389"/>
      <c r="BV31" s="386"/>
      <c r="BW31" s="389"/>
      <c r="BX31" s="389"/>
      <c r="BY31" s="386"/>
      <c r="BZ31" s="386"/>
      <c r="CA31" s="386"/>
      <c r="CB31" s="386"/>
      <c r="CC31" s="386"/>
      <c r="CD31" s="386"/>
      <c r="CE31" s="386"/>
      <c r="CF31" s="390"/>
      <c r="CG31" s="390"/>
      <c r="CH31" s="391"/>
      <c r="CI31" s="386"/>
      <c r="CJ31" s="386"/>
      <c r="CK31" s="390"/>
      <c r="CL31" s="390"/>
      <c r="CM31" s="391"/>
      <c r="CN31" s="389"/>
      <c r="CO31" s="389"/>
      <c r="CP31" s="135"/>
      <c r="CQ31" s="135"/>
      <c r="CR31" s="135"/>
      <c r="CS31" s="135"/>
      <c r="CT31" s="135"/>
      <c r="CU31" s="135"/>
    </row>
    <row r="32" spans="1:99">
      <c r="A32" s="342" t="s">
        <v>86</v>
      </c>
      <c r="B32" s="342" t="s">
        <v>85</v>
      </c>
      <c r="C32" s="342" t="s">
        <v>851</v>
      </c>
      <c r="D32" s="157">
        <v>0</v>
      </c>
      <c r="E32" s="157">
        <v>0</v>
      </c>
      <c r="F32" s="157">
        <v>0</v>
      </c>
      <c r="G32" s="157">
        <v>1907996.57</v>
      </c>
      <c r="H32" s="157">
        <v>218176.92</v>
      </c>
      <c r="I32" s="157">
        <v>0</v>
      </c>
      <c r="J32" s="157">
        <v>449362.2</v>
      </c>
      <c r="K32" s="157">
        <v>308020.12</v>
      </c>
      <c r="L32" s="157">
        <v>49143.97</v>
      </c>
      <c r="M32" s="157">
        <v>547410.56000000006</v>
      </c>
      <c r="N32" s="264">
        <v>3.0700000000000002E-2</v>
      </c>
      <c r="O32" s="265">
        <v>0.1754</v>
      </c>
      <c r="P32" s="157">
        <v>0</v>
      </c>
      <c r="Q32" s="396">
        <v>0</v>
      </c>
      <c r="R32" s="396">
        <v>0</v>
      </c>
      <c r="S32" s="397">
        <v>0</v>
      </c>
      <c r="T32" s="397">
        <v>0</v>
      </c>
      <c r="U32" s="397">
        <v>0</v>
      </c>
      <c r="V32" s="157">
        <v>0</v>
      </c>
      <c r="W32" s="397">
        <v>0</v>
      </c>
      <c r="X32" s="397">
        <v>0</v>
      </c>
      <c r="Y32" s="157">
        <v>0</v>
      </c>
      <c r="Z32" s="157">
        <v>12374.14</v>
      </c>
      <c r="AA32" s="157">
        <v>65169.55</v>
      </c>
      <c r="AB32" s="157">
        <v>411554.68</v>
      </c>
      <c r="AC32" s="157">
        <v>1221563.95</v>
      </c>
      <c r="AD32" s="157">
        <v>131.22999999999999</v>
      </c>
      <c r="AE32" s="157">
        <v>1149954.5</v>
      </c>
      <c r="AF32" s="398">
        <f t="shared" si="42"/>
        <v>8762.8933932789769</v>
      </c>
      <c r="AG32" s="398">
        <f t="shared" si="43"/>
        <v>9308.5723538824968</v>
      </c>
      <c r="AH32" s="399">
        <f t="shared" si="44"/>
        <v>545.67999999999995</v>
      </c>
      <c r="AI32" s="157">
        <v>44.91</v>
      </c>
      <c r="AJ32" s="157">
        <v>381978.4</v>
      </c>
      <c r="AK32" s="398">
        <f t="shared" si="45"/>
        <v>8505.4197283455815</v>
      </c>
      <c r="AL32" s="398">
        <f t="shared" si="46"/>
        <v>9163.9875306167905</v>
      </c>
      <c r="AM32" s="399">
        <f t="shared" si="47"/>
        <v>658.57</v>
      </c>
      <c r="AN32" s="397">
        <v>332.45</v>
      </c>
      <c r="AO32" s="397">
        <v>0</v>
      </c>
      <c r="AP32" s="46"/>
      <c r="AQ32" s="402">
        <v>0</v>
      </c>
      <c r="AR32" s="274">
        <v>164617.56</v>
      </c>
      <c r="AS32" s="413">
        <v>60371.86</v>
      </c>
      <c r="AX32" s="2"/>
      <c r="BA32" s="342"/>
      <c r="BB32" s="342"/>
      <c r="BC32" s="342"/>
      <c r="BD32" s="386"/>
      <c r="BE32" s="386"/>
      <c r="BF32" s="386"/>
      <c r="BG32" s="386"/>
      <c r="BH32" s="386"/>
      <c r="BI32" s="386"/>
      <c r="BJ32" s="386"/>
      <c r="BK32" s="386"/>
      <c r="BL32" s="386"/>
      <c r="BM32" s="386"/>
      <c r="BN32" s="387"/>
      <c r="BO32" s="265"/>
      <c r="BP32" s="386"/>
      <c r="BQ32" s="388"/>
      <c r="BR32" s="388"/>
      <c r="BS32" s="389"/>
      <c r="BT32" s="389"/>
      <c r="BU32" s="389"/>
      <c r="BV32" s="386"/>
      <c r="BW32" s="389"/>
      <c r="BX32" s="389"/>
      <c r="BY32" s="386"/>
      <c r="BZ32" s="386"/>
      <c r="CA32" s="386"/>
      <c r="CB32" s="386"/>
      <c r="CC32" s="386"/>
      <c r="CD32" s="386"/>
      <c r="CE32" s="386"/>
      <c r="CF32" s="390"/>
      <c r="CG32" s="390"/>
      <c r="CH32" s="391"/>
      <c r="CI32" s="386"/>
      <c r="CJ32" s="386"/>
      <c r="CK32" s="390"/>
      <c r="CL32" s="390"/>
      <c r="CM32" s="391"/>
      <c r="CN32" s="389"/>
      <c r="CO32" s="389"/>
      <c r="CP32" s="135"/>
      <c r="CQ32" s="135"/>
      <c r="CR32" s="135"/>
      <c r="CS32" s="135"/>
      <c r="CT32" s="135"/>
      <c r="CU32" s="135"/>
    </row>
    <row r="33" spans="1:99">
      <c r="A33" s="342" t="s">
        <v>88</v>
      </c>
      <c r="B33" s="342" t="s">
        <v>87</v>
      </c>
      <c r="C33" s="342" t="s">
        <v>852</v>
      </c>
      <c r="D33" s="157">
        <v>0</v>
      </c>
      <c r="E33" s="157">
        <v>38825.199999999997</v>
      </c>
      <c r="F33" s="157">
        <v>17209.14</v>
      </c>
      <c r="G33" s="157">
        <v>2084189.68</v>
      </c>
      <c r="H33" s="157">
        <v>393872.49</v>
      </c>
      <c r="I33" s="157">
        <v>189311.93</v>
      </c>
      <c r="J33" s="157">
        <v>479590.24</v>
      </c>
      <c r="K33" s="157">
        <v>44052.87</v>
      </c>
      <c r="L33" s="157">
        <v>42724.49</v>
      </c>
      <c r="M33" s="157">
        <v>962267.04</v>
      </c>
      <c r="N33" s="264">
        <v>3.44E-2</v>
      </c>
      <c r="O33" s="265">
        <v>0.20519999999999999</v>
      </c>
      <c r="P33" s="157">
        <v>0</v>
      </c>
      <c r="Q33" s="396">
        <v>0</v>
      </c>
      <c r="R33" s="396">
        <v>0</v>
      </c>
      <c r="S33" s="397">
        <v>0</v>
      </c>
      <c r="T33" s="397">
        <v>0</v>
      </c>
      <c r="U33" s="397">
        <v>0</v>
      </c>
      <c r="V33" s="157">
        <v>0</v>
      </c>
      <c r="W33" s="397">
        <v>0</v>
      </c>
      <c r="X33" s="397">
        <v>0</v>
      </c>
      <c r="Y33" s="157">
        <v>1691.65</v>
      </c>
      <c r="Z33" s="157">
        <v>4042.29</v>
      </c>
      <c r="AA33" s="157">
        <v>56832.35</v>
      </c>
      <c r="AB33" s="157">
        <v>134489.16</v>
      </c>
      <c r="AC33" s="157">
        <v>950153.88</v>
      </c>
      <c r="AD33" s="157">
        <v>103.04</v>
      </c>
      <c r="AE33" s="157">
        <v>885148.23</v>
      </c>
      <c r="AF33" s="398">
        <f t="shared" si="42"/>
        <v>8590.3360830745332</v>
      </c>
      <c r="AG33" s="398">
        <f t="shared" si="43"/>
        <v>9221.2138975155267</v>
      </c>
      <c r="AH33" s="399">
        <f t="shared" si="44"/>
        <v>630.88</v>
      </c>
      <c r="AI33" s="157">
        <v>14.98</v>
      </c>
      <c r="AJ33" s="157">
        <v>124811.02</v>
      </c>
      <c r="AK33" s="398">
        <f t="shared" si="45"/>
        <v>8331.8437917222964</v>
      </c>
      <c r="AL33" s="398">
        <f t="shared" si="46"/>
        <v>8977.9145527369819</v>
      </c>
      <c r="AM33" s="399">
        <f t="shared" si="47"/>
        <v>646.07000000000005</v>
      </c>
      <c r="AN33" s="397">
        <v>0</v>
      </c>
      <c r="AO33" s="397">
        <v>0</v>
      </c>
      <c r="AP33" s="46"/>
      <c r="AQ33" s="402">
        <v>0</v>
      </c>
      <c r="AR33" s="274">
        <v>146105.32999999999</v>
      </c>
      <c r="AS33" s="413">
        <v>53430.42</v>
      </c>
      <c r="AX33" s="2"/>
      <c r="BA33" s="342"/>
      <c r="BB33" s="342"/>
      <c r="BC33" s="342"/>
      <c r="BD33" s="386"/>
      <c r="BE33" s="386"/>
      <c r="BF33" s="386"/>
      <c r="BG33" s="386"/>
      <c r="BH33" s="386"/>
      <c r="BI33" s="386"/>
      <c r="BJ33" s="386"/>
      <c r="BK33" s="386"/>
      <c r="BL33" s="386"/>
      <c r="BM33" s="386"/>
      <c r="BN33" s="387"/>
      <c r="BO33" s="265"/>
      <c r="BP33" s="386"/>
      <c r="BQ33" s="388"/>
      <c r="BR33" s="388"/>
      <c r="BS33" s="389"/>
      <c r="BT33" s="389"/>
      <c r="BU33" s="389"/>
      <c r="BV33" s="386"/>
      <c r="BW33" s="389"/>
      <c r="BX33" s="389"/>
      <c r="BY33" s="386"/>
      <c r="BZ33" s="386"/>
      <c r="CA33" s="386"/>
      <c r="CB33" s="386"/>
      <c r="CC33" s="386"/>
      <c r="CD33" s="386"/>
      <c r="CE33" s="386"/>
      <c r="CF33" s="390"/>
      <c r="CG33" s="390"/>
      <c r="CH33" s="391"/>
      <c r="CI33" s="386"/>
      <c r="CJ33" s="386"/>
      <c r="CK33" s="390"/>
      <c r="CL33" s="390"/>
      <c r="CM33" s="391"/>
      <c r="CN33" s="389"/>
      <c r="CO33" s="389"/>
      <c r="CP33" s="135"/>
      <c r="CQ33" s="135"/>
      <c r="CR33" s="135"/>
      <c r="CS33" s="135"/>
      <c r="CT33" s="135"/>
      <c r="CU33" s="135"/>
    </row>
    <row r="34" spans="1:99">
      <c r="A34" s="342" t="s">
        <v>90</v>
      </c>
      <c r="B34" s="343" t="s">
        <v>89</v>
      </c>
      <c r="C34" s="343" t="s">
        <v>853</v>
      </c>
      <c r="D34" s="157">
        <v>0</v>
      </c>
      <c r="E34" s="157">
        <v>0</v>
      </c>
      <c r="F34" s="157">
        <v>0</v>
      </c>
      <c r="G34" s="157">
        <v>622584.02</v>
      </c>
      <c r="H34" s="157">
        <v>62826.38</v>
      </c>
      <c r="I34" s="157">
        <v>0</v>
      </c>
      <c r="J34" s="157">
        <v>117173.69</v>
      </c>
      <c r="K34" s="157">
        <v>4232.0600000000004</v>
      </c>
      <c r="L34" s="157">
        <v>15096</v>
      </c>
      <c r="M34" s="157">
        <v>136934.47</v>
      </c>
      <c r="N34" s="264">
        <v>0.08</v>
      </c>
      <c r="O34" s="265">
        <v>0.1</v>
      </c>
      <c r="P34" s="157">
        <v>0</v>
      </c>
      <c r="Q34" s="396">
        <v>0</v>
      </c>
      <c r="R34" s="396">
        <v>0</v>
      </c>
      <c r="S34" s="397">
        <v>0</v>
      </c>
      <c r="T34" s="397">
        <v>0</v>
      </c>
      <c r="U34" s="397">
        <v>0</v>
      </c>
      <c r="V34" s="157">
        <v>0</v>
      </c>
      <c r="W34" s="397">
        <v>0</v>
      </c>
      <c r="X34" s="397">
        <v>0</v>
      </c>
      <c r="Y34" s="157">
        <v>0</v>
      </c>
      <c r="Z34" s="157">
        <v>0</v>
      </c>
      <c r="AA34" s="157">
        <v>0</v>
      </c>
      <c r="AB34" s="157">
        <v>0</v>
      </c>
      <c r="AC34" s="157">
        <v>0</v>
      </c>
      <c r="AD34" s="157">
        <v>0</v>
      </c>
      <c r="AE34" s="157">
        <v>0</v>
      </c>
      <c r="AF34" s="398">
        <f t="shared" si="42"/>
        <v>0</v>
      </c>
      <c r="AG34" s="398">
        <f t="shared" si="43"/>
        <v>0</v>
      </c>
      <c r="AH34" s="399">
        <f t="shared" si="44"/>
        <v>0</v>
      </c>
      <c r="AI34" s="157">
        <v>0</v>
      </c>
      <c r="AJ34" s="157">
        <v>0</v>
      </c>
      <c r="AK34" s="398">
        <f t="shared" si="45"/>
        <v>0</v>
      </c>
      <c r="AL34" s="398">
        <f t="shared" si="46"/>
        <v>0</v>
      </c>
      <c r="AM34" s="399">
        <f t="shared" si="47"/>
        <v>0</v>
      </c>
      <c r="AN34" s="397">
        <v>0</v>
      </c>
      <c r="AO34" s="397">
        <v>0</v>
      </c>
      <c r="AP34" s="46"/>
      <c r="AQ34" s="402">
        <v>8459.5499999999956</v>
      </c>
      <c r="AR34" s="274">
        <v>55331.329999999994</v>
      </c>
      <c r="AS34" s="413">
        <v>21287.09</v>
      </c>
      <c r="AX34" s="2"/>
      <c r="BA34" s="342"/>
      <c r="BB34" s="342"/>
      <c r="BC34" s="342"/>
      <c r="BD34" s="386"/>
      <c r="BE34" s="386"/>
      <c r="BF34" s="386"/>
      <c r="BG34" s="386"/>
      <c r="BH34" s="386"/>
      <c r="BI34" s="386"/>
      <c r="BJ34" s="386"/>
      <c r="BK34" s="386"/>
      <c r="BL34" s="386"/>
      <c r="BM34" s="386"/>
      <c r="BN34" s="387"/>
      <c r="BO34" s="265"/>
      <c r="BP34" s="386"/>
      <c r="BQ34" s="388"/>
      <c r="BR34" s="388"/>
      <c r="BS34" s="389"/>
      <c r="BT34" s="389"/>
      <c r="BU34" s="389"/>
      <c r="BV34" s="386"/>
      <c r="BW34" s="389"/>
      <c r="BX34" s="389"/>
      <c r="BY34" s="386"/>
      <c r="BZ34" s="386"/>
      <c r="CA34" s="386"/>
      <c r="CB34" s="386"/>
      <c r="CC34" s="386"/>
      <c r="CD34" s="386"/>
      <c r="CE34" s="386"/>
      <c r="CF34" s="390"/>
      <c r="CG34" s="390"/>
      <c r="CH34" s="391"/>
      <c r="CI34" s="386"/>
      <c r="CJ34" s="386"/>
      <c r="CK34" s="390"/>
      <c r="CL34" s="390"/>
      <c r="CM34" s="391"/>
      <c r="CN34" s="389"/>
      <c r="CO34" s="389"/>
      <c r="CP34" s="135"/>
      <c r="CQ34" s="135"/>
      <c r="CR34" s="135"/>
      <c r="CS34" s="135"/>
      <c r="CT34" s="135"/>
      <c r="CU34" s="135"/>
    </row>
    <row r="35" spans="1:99">
      <c r="A35" s="342" t="s">
        <v>92</v>
      </c>
      <c r="B35" s="342" t="s">
        <v>91</v>
      </c>
      <c r="C35" s="342" t="s">
        <v>854</v>
      </c>
      <c r="D35" s="157">
        <v>0</v>
      </c>
      <c r="E35" s="157">
        <v>1138.1500000000001</v>
      </c>
      <c r="F35" s="157">
        <v>0</v>
      </c>
      <c r="G35" s="157">
        <v>0</v>
      </c>
      <c r="H35" s="157">
        <v>0</v>
      </c>
      <c r="I35" s="157">
        <v>0</v>
      </c>
      <c r="J35" s="157">
        <v>18308.55</v>
      </c>
      <c r="K35" s="157">
        <v>0</v>
      </c>
      <c r="L35" s="157">
        <v>2997.9</v>
      </c>
      <c r="M35" s="157">
        <v>160579.59</v>
      </c>
      <c r="N35" s="264">
        <v>0.1479</v>
      </c>
      <c r="O35" s="265">
        <v>0.31769999999999998</v>
      </c>
      <c r="P35" s="157">
        <v>0</v>
      </c>
      <c r="Q35" s="396">
        <v>0</v>
      </c>
      <c r="R35" s="396">
        <v>0</v>
      </c>
      <c r="S35" s="397">
        <v>0</v>
      </c>
      <c r="T35" s="397">
        <v>0</v>
      </c>
      <c r="U35" s="397">
        <v>0</v>
      </c>
      <c r="V35" s="157">
        <v>0</v>
      </c>
      <c r="W35" s="397">
        <v>0</v>
      </c>
      <c r="X35" s="397">
        <v>0</v>
      </c>
      <c r="Y35" s="157">
        <v>0</v>
      </c>
      <c r="Z35" s="157">
        <v>0</v>
      </c>
      <c r="AA35" s="157">
        <v>0</v>
      </c>
      <c r="AB35" s="157">
        <v>0</v>
      </c>
      <c r="AC35" s="157">
        <v>0</v>
      </c>
      <c r="AD35" s="157">
        <v>0</v>
      </c>
      <c r="AE35" s="157">
        <v>0</v>
      </c>
      <c r="AF35" s="398">
        <f t="shared" si="42"/>
        <v>0</v>
      </c>
      <c r="AG35" s="398">
        <f t="shared" si="43"/>
        <v>0</v>
      </c>
      <c r="AH35" s="399">
        <f t="shared" si="44"/>
        <v>0</v>
      </c>
      <c r="AI35" s="157">
        <v>0</v>
      </c>
      <c r="AJ35" s="157">
        <v>0</v>
      </c>
      <c r="AK35" s="398">
        <f t="shared" si="45"/>
        <v>0</v>
      </c>
      <c r="AL35" s="398">
        <f t="shared" si="46"/>
        <v>0</v>
      </c>
      <c r="AM35" s="399">
        <f t="shared" si="47"/>
        <v>0</v>
      </c>
      <c r="AN35" s="397">
        <v>0</v>
      </c>
      <c r="AO35" s="397">
        <v>0</v>
      </c>
      <c r="AP35" s="46"/>
      <c r="AQ35" s="402">
        <v>5184.7299999999968</v>
      </c>
      <c r="AR35" s="274">
        <v>9609.7100000000009</v>
      </c>
      <c r="AS35" s="413">
        <v>12768.86</v>
      </c>
      <c r="AX35" s="2"/>
      <c r="BA35" s="342"/>
      <c r="BB35" s="342"/>
      <c r="BC35" s="342"/>
      <c r="BD35" s="386"/>
      <c r="BE35" s="386"/>
      <c r="BF35" s="386"/>
      <c r="BG35" s="386"/>
      <c r="BH35" s="386"/>
      <c r="BI35" s="386"/>
      <c r="BJ35" s="386"/>
      <c r="BK35" s="386"/>
      <c r="BL35" s="386"/>
      <c r="BM35" s="386"/>
      <c r="BN35" s="387"/>
      <c r="BO35" s="265"/>
      <c r="BP35" s="386"/>
      <c r="BQ35" s="388"/>
      <c r="BR35" s="388"/>
      <c r="BS35" s="389"/>
      <c r="BT35" s="389"/>
      <c r="BU35" s="389"/>
      <c r="BV35" s="386"/>
      <c r="BW35" s="389"/>
      <c r="BX35" s="389"/>
      <c r="BY35" s="386"/>
      <c r="BZ35" s="386"/>
      <c r="CA35" s="386"/>
      <c r="CB35" s="386"/>
      <c r="CC35" s="386"/>
      <c r="CD35" s="386"/>
      <c r="CE35" s="386"/>
      <c r="CF35" s="390"/>
      <c r="CG35" s="390"/>
      <c r="CH35" s="391"/>
      <c r="CI35" s="386"/>
      <c r="CJ35" s="386"/>
      <c r="CK35" s="390"/>
      <c r="CL35" s="390"/>
      <c r="CM35" s="391"/>
      <c r="CN35" s="389"/>
      <c r="CO35" s="389"/>
      <c r="CP35" s="135"/>
      <c r="CQ35" s="135"/>
      <c r="CR35" s="135"/>
      <c r="CS35" s="135"/>
      <c r="CT35" s="135"/>
      <c r="CU35" s="135"/>
    </row>
    <row r="36" spans="1:99">
      <c r="A36" s="342" t="s">
        <v>94</v>
      </c>
      <c r="B36" s="342" t="s">
        <v>93</v>
      </c>
      <c r="C36" s="342" t="s">
        <v>855</v>
      </c>
      <c r="D36" s="157">
        <v>0</v>
      </c>
      <c r="E36" s="157">
        <v>0</v>
      </c>
      <c r="F36" s="157">
        <v>10483.379999999999</v>
      </c>
      <c r="G36" s="157">
        <v>19916061.870000001</v>
      </c>
      <c r="H36" s="157">
        <v>4281392.2300000004</v>
      </c>
      <c r="I36" s="157">
        <v>359787.95</v>
      </c>
      <c r="J36" s="157">
        <v>3105702.01</v>
      </c>
      <c r="K36" s="157">
        <v>915417.02</v>
      </c>
      <c r="L36" s="157">
        <v>377280.14</v>
      </c>
      <c r="M36" s="157">
        <v>6999445.5</v>
      </c>
      <c r="N36" s="264">
        <v>4.07E-2</v>
      </c>
      <c r="O36" s="265">
        <v>0.13519999999999999</v>
      </c>
      <c r="P36" s="157">
        <v>0</v>
      </c>
      <c r="Q36" s="396">
        <v>0</v>
      </c>
      <c r="R36" s="396">
        <v>0</v>
      </c>
      <c r="S36" s="397">
        <v>0</v>
      </c>
      <c r="T36" s="397">
        <v>0</v>
      </c>
      <c r="U36" s="397">
        <v>0</v>
      </c>
      <c r="V36" s="157">
        <v>0</v>
      </c>
      <c r="W36" s="397">
        <v>0</v>
      </c>
      <c r="X36" s="397">
        <v>0</v>
      </c>
      <c r="Y36" s="157">
        <v>12081.73</v>
      </c>
      <c r="Z36" s="157">
        <v>54666.13</v>
      </c>
      <c r="AA36" s="157">
        <v>515457.52</v>
      </c>
      <c r="AB36" s="157">
        <v>1197152.26</v>
      </c>
      <c r="AC36" s="157">
        <v>6253608.2999999998</v>
      </c>
      <c r="AD36" s="157">
        <v>599.54999999999995</v>
      </c>
      <c r="AE36" s="157">
        <v>5795284.3099999996</v>
      </c>
      <c r="AF36" s="398">
        <f t="shared" si="42"/>
        <v>9666.056725877741</v>
      </c>
      <c r="AG36" s="398">
        <f t="shared" si="43"/>
        <v>10430.50337753315</v>
      </c>
      <c r="AH36" s="399">
        <f t="shared" si="44"/>
        <v>764.45</v>
      </c>
      <c r="AI36" s="157">
        <v>118.28</v>
      </c>
      <c r="AJ36" s="157">
        <v>1112068.56</v>
      </c>
      <c r="AK36" s="398">
        <f t="shared" si="45"/>
        <v>9402</v>
      </c>
      <c r="AL36" s="398">
        <f t="shared" si="46"/>
        <v>10121.341393304025</v>
      </c>
      <c r="AM36" s="399">
        <f t="shared" si="47"/>
        <v>719.34</v>
      </c>
      <c r="AN36" s="397">
        <v>13778.24</v>
      </c>
      <c r="AO36" s="397">
        <v>0</v>
      </c>
      <c r="AP36" s="46"/>
      <c r="AQ36" s="402">
        <v>0</v>
      </c>
      <c r="AR36" s="274">
        <v>1229228.1099999999</v>
      </c>
      <c r="AS36" s="413">
        <v>365234.33999999997</v>
      </c>
      <c r="AX36" s="2"/>
      <c r="BA36" s="342"/>
      <c r="BB36" s="342"/>
      <c r="BC36" s="342"/>
      <c r="BD36" s="386"/>
      <c r="BE36" s="386"/>
      <c r="BF36" s="386"/>
      <c r="BG36" s="386"/>
      <c r="BH36" s="386"/>
      <c r="BI36" s="386"/>
      <c r="BJ36" s="386"/>
      <c r="BK36" s="386"/>
      <c r="BL36" s="386"/>
      <c r="BM36" s="386"/>
      <c r="BN36" s="387"/>
      <c r="BO36" s="265"/>
      <c r="BP36" s="386"/>
      <c r="BQ36" s="388"/>
      <c r="BR36" s="388"/>
      <c r="BS36" s="389"/>
      <c r="BT36" s="389"/>
      <c r="BU36" s="389"/>
      <c r="BV36" s="386"/>
      <c r="BW36" s="389"/>
      <c r="BX36" s="389"/>
      <c r="BY36" s="386"/>
      <c r="BZ36" s="386"/>
      <c r="CA36" s="386"/>
      <c r="CB36" s="386"/>
      <c r="CC36" s="386"/>
      <c r="CD36" s="386"/>
      <c r="CE36" s="386"/>
      <c r="CF36" s="390"/>
      <c r="CG36" s="390"/>
      <c r="CH36" s="391"/>
      <c r="CI36" s="386"/>
      <c r="CJ36" s="386"/>
      <c r="CK36" s="390"/>
      <c r="CL36" s="390"/>
      <c r="CM36" s="391"/>
      <c r="CN36" s="389"/>
      <c r="CO36" s="389"/>
      <c r="CP36" s="135"/>
      <c r="CQ36" s="135"/>
      <c r="CR36" s="135"/>
      <c r="CS36" s="135"/>
      <c r="CT36" s="135"/>
      <c r="CU36" s="135"/>
    </row>
    <row r="37" spans="1:99">
      <c r="A37" s="342" t="s">
        <v>96</v>
      </c>
      <c r="B37" s="342" t="s">
        <v>95</v>
      </c>
      <c r="C37" s="342" t="s">
        <v>856</v>
      </c>
      <c r="D37" s="157">
        <v>0</v>
      </c>
      <c r="E37" s="157">
        <v>228928.26</v>
      </c>
      <c r="F37" s="157">
        <v>69270.59</v>
      </c>
      <c r="G37" s="157">
        <v>21387583.52</v>
      </c>
      <c r="H37" s="157">
        <v>5856218.6399999997</v>
      </c>
      <c r="I37" s="157">
        <v>939835.47</v>
      </c>
      <c r="J37" s="157">
        <v>3340269.38</v>
      </c>
      <c r="K37" s="157">
        <v>989159.4</v>
      </c>
      <c r="L37" s="157">
        <v>420520.77</v>
      </c>
      <c r="M37" s="157">
        <v>6155256.0999999996</v>
      </c>
      <c r="N37" s="264">
        <v>3.2300000000000002E-2</v>
      </c>
      <c r="O37" s="265">
        <v>0.1288</v>
      </c>
      <c r="P37" s="157">
        <v>0</v>
      </c>
      <c r="Q37" s="396">
        <v>0</v>
      </c>
      <c r="R37" s="396">
        <v>0</v>
      </c>
      <c r="S37" s="397">
        <v>0</v>
      </c>
      <c r="T37" s="397">
        <v>0</v>
      </c>
      <c r="U37" s="397">
        <v>0</v>
      </c>
      <c r="V37" s="157">
        <v>0</v>
      </c>
      <c r="W37" s="397">
        <v>0</v>
      </c>
      <c r="X37" s="397">
        <v>0</v>
      </c>
      <c r="Y37" s="157">
        <v>16580.38</v>
      </c>
      <c r="Z37" s="157">
        <v>40528.379999999997</v>
      </c>
      <c r="AA37" s="157">
        <v>0</v>
      </c>
      <c r="AB37" s="157">
        <v>563663.51</v>
      </c>
      <c r="AC37" s="157">
        <v>5686174.9800000004</v>
      </c>
      <c r="AD37" s="157">
        <v>622.37</v>
      </c>
      <c r="AE37" s="157">
        <v>5346307.54</v>
      </c>
      <c r="AF37" s="398">
        <f t="shared" si="42"/>
        <v>8590.2397930491516</v>
      </c>
      <c r="AG37" s="398">
        <f t="shared" si="43"/>
        <v>9136.3256262351988</v>
      </c>
      <c r="AH37" s="399">
        <f t="shared" si="44"/>
        <v>546.09</v>
      </c>
      <c r="AI37" s="157">
        <v>62.79</v>
      </c>
      <c r="AJ37" s="157">
        <v>523340.32</v>
      </c>
      <c r="AK37" s="398">
        <f t="shared" si="45"/>
        <v>8334.7717789456929</v>
      </c>
      <c r="AL37" s="398">
        <f t="shared" si="46"/>
        <v>8976.9630514413129</v>
      </c>
      <c r="AM37" s="399">
        <f t="shared" si="47"/>
        <v>642.19000000000005</v>
      </c>
      <c r="AN37" s="397">
        <v>0</v>
      </c>
      <c r="AO37" s="397">
        <v>0</v>
      </c>
      <c r="AP37" s="46"/>
      <c r="AQ37" s="402">
        <v>367419.85999999964</v>
      </c>
      <c r="AR37" s="274">
        <v>1387423.1199999999</v>
      </c>
      <c r="AS37" s="413">
        <v>429178.88</v>
      </c>
      <c r="AX37" s="2"/>
      <c r="BA37" s="342"/>
      <c r="BB37" s="342"/>
      <c r="BC37" s="342"/>
      <c r="BD37" s="386"/>
      <c r="BE37" s="386"/>
      <c r="BF37" s="386"/>
      <c r="BG37" s="386"/>
      <c r="BH37" s="386"/>
      <c r="BI37" s="386"/>
      <c r="BJ37" s="386"/>
      <c r="BK37" s="386"/>
      <c r="BL37" s="386"/>
      <c r="BM37" s="386"/>
      <c r="BN37" s="387"/>
      <c r="BO37" s="265"/>
      <c r="BP37" s="386"/>
      <c r="BQ37" s="388"/>
      <c r="BR37" s="388"/>
      <c r="BS37" s="389"/>
      <c r="BT37" s="389"/>
      <c r="BU37" s="389"/>
      <c r="BV37" s="386"/>
      <c r="BW37" s="389"/>
      <c r="BX37" s="389"/>
      <c r="BY37" s="386"/>
      <c r="BZ37" s="386"/>
      <c r="CA37" s="386"/>
      <c r="CB37" s="386"/>
      <c r="CC37" s="386"/>
      <c r="CD37" s="386"/>
      <c r="CE37" s="386"/>
      <c r="CF37" s="390"/>
      <c r="CG37" s="390"/>
      <c r="CH37" s="391"/>
      <c r="CI37" s="386"/>
      <c r="CJ37" s="386"/>
      <c r="CK37" s="390"/>
      <c r="CL37" s="390"/>
      <c r="CM37" s="391"/>
      <c r="CN37" s="389"/>
      <c r="CO37" s="389"/>
      <c r="CP37" s="135"/>
      <c r="CQ37" s="135"/>
      <c r="CR37" s="135"/>
      <c r="CS37" s="135"/>
      <c r="CT37" s="135"/>
      <c r="CU37" s="135"/>
    </row>
    <row r="38" spans="1:99">
      <c r="A38" s="342" t="s">
        <v>98</v>
      </c>
      <c r="B38" s="342" t="s">
        <v>97</v>
      </c>
      <c r="C38" s="342" t="s">
        <v>857</v>
      </c>
      <c r="D38" s="157">
        <v>0</v>
      </c>
      <c r="E38" s="157">
        <v>91236.35</v>
      </c>
      <c r="F38" s="157">
        <v>87978.08</v>
      </c>
      <c r="G38" s="157">
        <v>5238309.29</v>
      </c>
      <c r="H38" s="157">
        <v>1052893.3</v>
      </c>
      <c r="I38" s="157">
        <v>1019284.4</v>
      </c>
      <c r="J38" s="157">
        <v>1793394.34</v>
      </c>
      <c r="K38" s="157">
        <v>788485.38</v>
      </c>
      <c r="L38" s="157">
        <v>101276.71</v>
      </c>
      <c r="M38" s="157">
        <v>2331740.9700000002</v>
      </c>
      <c r="N38" s="264">
        <v>2.53E-2</v>
      </c>
      <c r="O38" s="265">
        <v>0.14180000000000001</v>
      </c>
      <c r="P38" s="157">
        <v>0</v>
      </c>
      <c r="Q38" s="396">
        <v>0</v>
      </c>
      <c r="R38" s="396">
        <v>0</v>
      </c>
      <c r="S38" s="397">
        <v>0</v>
      </c>
      <c r="T38" s="397">
        <v>0</v>
      </c>
      <c r="U38" s="397">
        <v>0</v>
      </c>
      <c r="V38" s="157">
        <v>0</v>
      </c>
      <c r="W38" s="397">
        <v>0</v>
      </c>
      <c r="X38" s="397">
        <v>0</v>
      </c>
      <c r="Y38" s="157">
        <v>1126.6400000000001</v>
      </c>
      <c r="Z38" s="157">
        <v>37372.839999999997</v>
      </c>
      <c r="AA38" s="157">
        <v>198624.15</v>
      </c>
      <c r="AB38" s="157">
        <v>420726.03</v>
      </c>
      <c r="AC38" s="157">
        <v>2430737.66</v>
      </c>
      <c r="AD38" s="157">
        <v>262.44</v>
      </c>
      <c r="AE38" s="157">
        <v>2254239.38</v>
      </c>
      <c r="AF38" s="398">
        <f t="shared" si="42"/>
        <v>8589.541914342326</v>
      </c>
      <c r="AG38" s="398">
        <f t="shared" si="43"/>
        <v>9262.0700350556326</v>
      </c>
      <c r="AH38" s="399">
        <f t="shared" si="44"/>
        <v>672.53</v>
      </c>
      <c r="AI38" s="157">
        <v>46.88</v>
      </c>
      <c r="AJ38" s="157">
        <v>390728.72</v>
      </c>
      <c r="AK38" s="398">
        <f t="shared" si="45"/>
        <v>8334.6569965870294</v>
      </c>
      <c r="AL38" s="398">
        <f t="shared" si="46"/>
        <v>8974.5313566552904</v>
      </c>
      <c r="AM38" s="399">
        <f t="shared" si="47"/>
        <v>639.87</v>
      </c>
      <c r="AN38" s="397">
        <v>0</v>
      </c>
      <c r="AO38" s="397">
        <v>0</v>
      </c>
      <c r="AP38" s="46"/>
      <c r="AQ38" s="402">
        <v>28471.270000000135</v>
      </c>
      <c r="AR38" s="274">
        <v>372653.76</v>
      </c>
      <c r="AS38" s="413">
        <v>112917.01999999999</v>
      </c>
      <c r="AX38" s="2"/>
      <c r="BA38" s="342"/>
      <c r="BB38" s="342"/>
      <c r="BC38" s="342"/>
      <c r="BD38" s="386"/>
      <c r="BE38" s="386"/>
      <c r="BF38" s="386"/>
      <c r="BG38" s="386"/>
      <c r="BH38" s="386"/>
      <c r="BI38" s="386"/>
      <c r="BJ38" s="386"/>
      <c r="BK38" s="386"/>
      <c r="BL38" s="386"/>
      <c r="BM38" s="386"/>
      <c r="BN38" s="387"/>
      <c r="BO38" s="265"/>
      <c r="BP38" s="386"/>
      <c r="BQ38" s="388"/>
      <c r="BR38" s="388"/>
      <c r="BS38" s="389"/>
      <c r="BT38" s="389"/>
      <c r="BU38" s="389"/>
      <c r="BV38" s="386"/>
      <c r="BW38" s="389"/>
      <c r="BX38" s="389"/>
      <c r="BY38" s="386"/>
      <c r="BZ38" s="386"/>
      <c r="CA38" s="386"/>
      <c r="CB38" s="386"/>
      <c r="CC38" s="386"/>
      <c r="CD38" s="386"/>
      <c r="CE38" s="386"/>
      <c r="CF38" s="390"/>
      <c r="CG38" s="390"/>
      <c r="CH38" s="391"/>
      <c r="CI38" s="386"/>
      <c r="CJ38" s="386"/>
      <c r="CK38" s="390"/>
      <c r="CL38" s="390"/>
      <c r="CM38" s="391"/>
      <c r="CN38" s="389"/>
      <c r="CO38" s="389"/>
      <c r="CP38" s="135"/>
      <c r="CQ38" s="135"/>
      <c r="CR38" s="135"/>
      <c r="CS38" s="135"/>
      <c r="CT38" s="135"/>
      <c r="CU38" s="135"/>
    </row>
    <row r="39" spans="1:99">
      <c r="A39" s="342" t="s">
        <v>100</v>
      </c>
      <c r="B39" s="342" t="s">
        <v>99</v>
      </c>
      <c r="C39" s="342" t="s">
        <v>858</v>
      </c>
      <c r="D39" s="157">
        <v>0</v>
      </c>
      <c r="E39" s="157">
        <v>83799.259999999995</v>
      </c>
      <c r="F39" s="157">
        <v>38840.160000000003</v>
      </c>
      <c r="G39" s="157">
        <v>4049990.32</v>
      </c>
      <c r="H39" s="157">
        <v>854342.71</v>
      </c>
      <c r="I39" s="157">
        <v>207710.91</v>
      </c>
      <c r="J39" s="157">
        <v>889837.8</v>
      </c>
      <c r="K39" s="157">
        <v>227758.39</v>
      </c>
      <c r="L39" s="157">
        <v>88437.73</v>
      </c>
      <c r="M39" s="157">
        <v>1418780.5</v>
      </c>
      <c r="N39" s="264">
        <v>3.7100000000000001E-2</v>
      </c>
      <c r="O39" s="265">
        <v>0.1605</v>
      </c>
      <c r="P39" s="157">
        <v>164431.93</v>
      </c>
      <c r="Q39" s="396">
        <v>0</v>
      </c>
      <c r="R39" s="396">
        <v>6867.53</v>
      </c>
      <c r="S39" s="397">
        <v>2666356.59</v>
      </c>
      <c r="T39" s="397">
        <v>219545.87999999983</v>
      </c>
      <c r="U39" s="397">
        <v>82004.929999999993</v>
      </c>
      <c r="V39" s="157">
        <v>0</v>
      </c>
      <c r="W39" s="397">
        <v>0</v>
      </c>
      <c r="X39" s="397">
        <v>0</v>
      </c>
      <c r="Y39" s="157">
        <v>0</v>
      </c>
      <c r="Z39" s="157">
        <v>0</v>
      </c>
      <c r="AA39" s="157">
        <v>109228.51</v>
      </c>
      <c r="AB39" s="157">
        <v>0</v>
      </c>
      <c r="AC39" s="157">
        <v>1668779.86</v>
      </c>
      <c r="AD39" s="157">
        <v>171.68</v>
      </c>
      <c r="AE39" s="157">
        <v>1504453.96</v>
      </c>
      <c r="AF39" s="398">
        <f t="shared" si="42"/>
        <v>8763.1288443616031</v>
      </c>
      <c r="AG39" s="398">
        <f t="shared" si="43"/>
        <v>9720.2927539608572</v>
      </c>
      <c r="AH39" s="399">
        <f t="shared" si="44"/>
        <v>957.16</v>
      </c>
      <c r="AI39" s="157">
        <v>0</v>
      </c>
      <c r="AJ39" s="157">
        <v>0</v>
      </c>
      <c r="AK39" s="398">
        <f t="shared" si="45"/>
        <v>0</v>
      </c>
      <c r="AL39" s="398">
        <f t="shared" si="46"/>
        <v>0</v>
      </c>
      <c r="AM39" s="399">
        <f t="shared" si="47"/>
        <v>0</v>
      </c>
      <c r="AN39" s="397">
        <v>0</v>
      </c>
      <c r="AO39" s="397">
        <v>0</v>
      </c>
      <c r="AP39" s="46"/>
      <c r="AQ39" s="402">
        <v>0</v>
      </c>
      <c r="AR39" s="274">
        <v>287566.2</v>
      </c>
      <c r="AS39" s="413">
        <v>98502.61</v>
      </c>
      <c r="AX39" s="2"/>
      <c r="BA39" s="342"/>
      <c r="BB39" s="342"/>
      <c r="BC39" s="342"/>
      <c r="BD39" s="386"/>
      <c r="BE39" s="386"/>
      <c r="BF39" s="386"/>
      <c r="BG39" s="386"/>
      <c r="BH39" s="386"/>
      <c r="BI39" s="386"/>
      <c r="BJ39" s="386"/>
      <c r="BK39" s="386"/>
      <c r="BL39" s="386"/>
      <c r="BM39" s="386"/>
      <c r="BN39" s="387"/>
      <c r="BO39" s="265"/>
      <c r="BP39" s="386"/>
      <c r="BQ39" s="388"/>
      <c r="BR39" s="388"/>
      <c r="BS39" s="389"/>
      <c r="BT39" s="389"/>
      <c r="BU39" s="389"/>
      <c r="BV39" s="386"/>
      <c r="BW39" s="389"/>
      <c r="BX39" s="389"/>
      <c r="BY39" s="386"/>
      <c r="BZ39" s="386"/>
      <c r="CA39" s="386"/>
      <c r="CB39" s="386"/>
      <c r="CC39" s="386"/>
      <c r="CD39" s="386"/>
      <c r="CE39" s="386"/>
      <c r="CF39" s="390"/>
      <c r="CG39" s="390"/>
      <c r="CH39" s="391"/>
      <c r="CI39" s="386"/>
      <c r="CJ39" s="386"/>
      <c r="CK39" s="390"/>
      <c r="CL39" s="390"/>
      <c r="CM39" s="391"/>
      <c r="CN39" s="389"/>
      <c r="CO39" s="389"/>
      <c r="CP39" s="135"/>
      <c r="CQ39" s="135"/>
      <c r="CR39" s="135"/>
      <c r="CS39" s="135"/>
      <c r="CT39" s="135"/>
      <c r="CU39" s="135"/>
    </row>
    <row r="40" spans="1:99">
      <c r="A40" s="342" t="s">
        <v>102</v>
      </c>
      <c r="B40" s="342" t="s">
        <v>101</v>
      </c>
      <c r="C40" s="342" t="s">
        <v>859</v>
      </c>
      <c r="D40" s="157">
        <v>0</v>
      </c>
      <c r="E40" s="157">
        <v>121038.7</v>
      </c>
      <c r="F40" s="157">
        <v>0</v>
      </c>
      <c r="G40" s="157">
        <v>7774148.1100000003</v>
      </c>
      <c r="H40" s="157">
        <v>1310103.45</v>
      </c>
      <c r="I40" s="157">
        <v>458900.4</v>
      </c>
      <c r="J40" s="157">
        <v>1553288.88</v>
      </c>
      <c r="K40" s="157">
        <v>600194.91</v>
      </c>
      <c r="L40" s="157">
        <v>157449.60000000001</v>
      </c>
      <c r="M40" s="157">
        <v>3749865.25</v>
      </c>
      <c r="N40" s="264">
        <v>1.9699999999999999E-2</v>
      </c>
      <c r="O40" s="265">
        <v>0.16750000000000001</v>
      </c>
      <c r="P40" s="157">
        <v>0</v>
      </c>
      <c r="Q40" s="396">
        <v>0</v>
      </c>
      <c r="R40" s="396">
        <v>0</v>
      </c>
      <c r="S40" s="397">
        <v>0</v>
      </c>
      <c r="T40" s="397">
        <v>0</v>
      </c>
      <c r="U40" s="397">
        <v>0</v>
      </c>
      <c r="V40" s="157">
        <v>0</v>
      </c>
      <c r="W40" s="397">
        <v>0</v>
      </c>
      <c r="X40" s="397">
        <v>0</v>
      </c>
      <c r="Y40" s="157">
        <v>5599.35</v>
      </c>
      <c r="Z40" s="157">
        <v>21394.19</v>
      </c>
      <c r="AA40" s="157">
        <v>327473.31</v>
      </c>
      <c r="AB40" s="157">
        <v>786597.85</v>
      </c>
      <c r="AC40" s="157">
        <v>3116412.18</v>
      </c>
      <c r="AD40" s="157">
        <v>340.05</v>
      </c>
      <c r="AE40" s="157">
        <v>2920871.13</v>
      </c>
      <c r="AF40" s="398">
        <f t="shared" si="42"/>
        <v>8589.5342743714154</v>
      </c>
      <c r="AG40" s="398">
        <f t="shared" si="43"/>
        <v>9164.5704455227169</v>
      </c>
      <c r="AH40" s="399">
        <f t="shared" si="44"/>
        <v>575.04</v>
      </c>
      <c r="AI40" s="157">
        <v>87.63</v>
      </c>
      <c r="AJ40" s="157">
        <v>730463.73</v>
      </c>
      <c r="AK40" s="398">
        <f t="shared" si="45"/>
        <v>8335.7723382403292</v>
      </c>
      <c r="AL40" s="398">
        <f t="shared" si="46"/>
        <v>8976.353417779299</v>
      </c>
      <c r="AM40" s="399">
        <f t="shared" si="47"/>
        <v>640.58000000000004</v>
      </c>
      <c r="AN40" s="397">
        <v>0</v>
      </c>
      <c r="AO40" s="397">
        <v>9999.2199999999993</v>
      </c>
      <c r="AP40" s="46"/>
      <c r="AQ40" s="402">
        <v>0</v>
      </c>
      <c r="AR40" s="274">
        <v>516782.13</v>
      </c>
      <c r="AS40" s="413">
        <v>193031.27000000002</v>
      </c>
      <c r="AX40" s="2"/>
      <c r="BA40" s="342"/>
      <c r="BB40" s="342"/>
      <c r="BC40" s="342"/>
      <c r="BD40" s="386"/>
      <c r="BE40" s="386"/>
      <c r="BF40" s="386"/>
      <c r="BG40" s="386"/>
      <c r="BH40" s="386"/>
      <c r="BI40" s="386"/>
      <c r="BJ40" s="386"/>
      <c r="BK40" s="386"/>
      <c r="BL40" s="386"/>
      <c r="BM40" s="386"/>
      <c r="BN40" s="387"/>
      <c r="BO40" s="265"/>
      <c r="BP40" s="386"/>
      <c r="BQ40" s="388"/>
      <c r="BR40" s="388"/>
      <c r="BS40" s="389"/>
      <c r="BT40" s="389"/>
      <c r="BU40" s="389"/>
      <c r="BV40" s="386"/>
      <c r="BW40" s="389"/>
      <c r="BX40" s="389"/>
      <c r="BY40" s="386"/>
      <c r="BZ40" s="386"/>
      <c r="CA40" s="386"/>
      <c r="CB40" s="386"/>
      <c r="CC40" s="386"/>
      <c r="CD40" s="386"/>
      <c r="CE40" s="386"/>
      <c r="CF40" s="390"/>
      <c r="CG40" s="390"/>
      <c r="CH40" s="391"/>
      <c r="CI40" s="386"/>
      <c r="CJ40" s="386"/>
      <c r="CK40" s="390"/>
      <c r="CL40" s="390"/>
      <c r="CM40" s="391"/>
      <c r="CN40" s="389"/>
      <c r="CO40" s="389"/>
      <c r="CP40" s="135"/>
      <c r="CQ40" s="135"/>
      <c r="CR40" s="135"/>
      <c r="CS40" s="135"/>
      <c r="CT40" s="135"/>
      <c r="CU40" s="135"/>
    </row>
    <row r="41" spans="1:99">
      <c r="A41" s="342" t="s">
        <v>104</v>
      </c>
      <c r="B41" s="342" t="s">
        <v>103</v>
      </c>
      <c r="C41" s="342" t="s">
        <v>860</v>
      </c>
      <c r="D41" s="157">
        <v>0</v>
      </c>
      <c r="E41" s="157">
        <v>21166.93</v>
      </c>
      <c r="F41" s="157">
        <v>0</v>
      </c>
      <c r="G41" s="157">
        <v>1055423.01</v>
      </c>
      <c r="H41" s="157">
        <v>209162.45</v>
      </c>
      <c r="I41" s="157">
        <v>233174.36</v>
      </c>
      <c r="J41" s="157">
        <v>296692.14</v>
      </c>
      <c r="K41" s="157">
        <v>0</v>
      </c>
      <c r="L41" s="157">
        <v>23172.61</v>
      </c>
      <c r="M41" s="157">
        <v>606173.01</v>
      </c>
      <c r="N41" s="264">
        <v>2.52E-2</v>
      </c>
      <c r="O41" s="265">
        <v>0.1681</v>
      </c>
      <c r="P41" s="157">
        <v>0</v>
      </c>
      <c r="Q41" s="396">
        <v>0</v>
      </c>
      <c r="R41" s="396">
        <v>0</v>
      </c>
      <c r="S41" s="397">
        <v>0</v>
      </c>
      <c r="T41" s="397">
        <v>0</v>
      </c>
      <c r="U41" s="397">
        <v>0</v>
      </c>
      <c r="V41" s="157">
        <v>0</v>
      </c>
      <c r="W41" s="397">
        <v>0</v>
      </c>
      <c r="X41" s="397">
        <v>0</v>
      </c>
      <c r="Y41" s="157">
        <v>0</v>
      </c>
      <c r="Z41" s="157">
        <v>7727.76</v>
      </c>
      <c r="AA41" s="157">
        <v>5942.98</v>
      </c>
      <c r="AB41" s="157">
        <v>40672.47</v>
      </c>
      <c r="AC41" s="157">
        <v>520909.05</v>
      </c>
      <c r="AD41" s="157">
        <v>54.75</v>
      </c>
      <c r="AE41" s="157">
        <v>470291.32</v>
      </c>
      <c r="AF41" s="398">
        <f t="shared" si="42"/>
        <v>8589.7957990867581</v>
      </c>
      <c r="AG41" s="398">
        <f t="shared" si="43"/>
        <v>9514.3205479452045</v>
      </c>
      <c r="AH41" s="399">
        <f t="shared" si="44"/>
        <v>924.52</v>
      </c>
      <c r="AI41" s="157">
        <v>4.53</v>
      </c>
      <c r="AJ41" s="157">
        <v>37856.68</v>
      </c>
      <c r="AK41" s="398">
        <f t="shared" si="45"/>
        <v>8356.8830022075053</v>
      </c>
      <c r="AL41" s="398">
        <f t="shared" si="46"/>
        <v>8978.4701986754972</v>
      </c>
      <c r="AM41" s="399">
        <f t="shared" si="47"/>
        <v>621.59</v>
      </c>
      <c r="AN41" s="397">
        <v>0</v>
      </c>
      <c r="AO41" s="397">
        <v>0</v>
      </c>
      <c r="AP41" s="46"/>
      <c r="AQ41" s="402">
        <v>23478.550000000003</v>
      </c>
      <c r="AR41" s="274">
        <v>68662.820000000007</v>
      </c>
      <c r="AS41" s="413">
        <v>33536.629999999997</v>
      </c>
      <c r="AX41" s="2"/>
      <c r="BA41" s="342"/>
      <c r="BB41" s="342"/>
      <c r="BC41" s="342"/>
      <c r="BD41" s="386"/>
      <c r="BE41" s="386"/>
      <c r="BF41" s="386"/>
      <c r="BG41" s="386"/>
      <c r="BH41" s="386"/>
      <c r="BI41" s="386"/>
      <c r="BJ41" s="386"/>
      <c r="BK41" s="386"/>
      <c r="BL41" s="386"/>
      <c r="BM41" s="386"/>
      <c r="BN41" s="387"/>
      <c r="BO41" s="265"/>
      <c r="BP41" s="386"/>
      <c r="BQ41" s="388"/>
      <c r="BR41" s="388"/>
      <c r="BS41" s="389"/>
      <c r="BT41" s="389"/>
      <c r="BU41" s="389"/>
      <c r="BV41" s="386"/>
      <c r="BW41" s="389"/>
      <c r="BX41" s="389"/>
      <c r="BY41" s="386"/>
      <c r="BZ41" s="386"/>
      <c r="CA41" s="386"/>
      <c r="CB41" s="386"/>
      <c r="CC41" s="386"/>
      <c r="CD41" s="386"/>
      <c r="CE41" s="386"/>
      <c r="CF41" s="390"/>
      <c r="CG41" s="390"/>
      <c r="CH41" s="391"/>
      <c r="CI41" s="386"/>
      <c r="CJ41" s="386"/>
      <c r="CK41" s="390"/>
      <c r="CL41" s="390"/>
      <c r="CM41" s="391"/>
      <c r="CN41" s="389"/>
      <c r="CO41" s="389"/>
      <c r="CP41" s="135"/>
      <c r="CQ41" s="135"/>
      <c r="CR41" s="135"/>
      <c r="CS41" s="135"/>
      <c r="CT41" s="135"/>
      <c r="CU41" s="135"/>
    </row>
    <row r="42" spans="1:99">
      <c r="A42" s="342" t="s">
        <v>861</v>
      </c>
      <c r="B42" s="343" t="s">
        <v>105</v>
      </c>
      <c r="C42" s="343" t="s">
        <v>862</v>
      </c>
      <c r="D42" s="157">
        <v>63148.6</v>
      </c>
      <c r="E42" s="157">
        <v>20084.18</v>
      </c>
      <c r="F42" s="157">
        <v>0</v>
      </c>
      <c r="G42" s="157">
        <v>792388.57</v>
      </c>
      <c r="H42" s="157">
        <v>120886.42</v>
      </c>
      <c r="I42" s="157">
        <v>184698.81</v>
      </c>
      <c r="J42" s="157">
        <v>212795.67</v>
      </c>
      <c r="K42" s="157">
        <v>0</v>
      </c>
      <c r="L42" s="157">
        <v>18731.259999999998</v>
      </c>
      <c r="M42" s="157">
        <v>744069.11</v>
      </c>
      <c r="N42" s="264">
        <v>0.08</v>
      </c>
      <c r="O42" s="266">
        <v>0.1</v>
      </c>
      <c r="P42" s="157">
        <v>0</v>
      </c>
      <c r="Q42" s="396">
        <v>0</v>
      </c>
      <c r="R42" s="396">
        <v>0</v>
      </c>
      <c r="S42" s="397">
        <v>0</v>
      </c>
      <c r="T42" s="397">
        <v>0</v>
      </c>
      <c r="U42" s="397">
        <v>0</v>
      </c>
      <c r="V42" s="157">
        <v>0</v>
      </c>
      <c r="W42" s="397">
        <v>0</v>
      </c>
      <c r="X42" s="397">
        <v>0</v>
      </c>
      <c r="Y42" s="157">
        <v>0</v>
      </c>
      <c r="Z42" s="157">
        <v>11125.9</v>
      </c>
      <c r="AA42" s="157">
        <v>0</v>
      </c>
      <c r="AB42" s="157">
        <v>48546.69</v>
      </c>
      <c r="AC42" s="157">
        <v>254484.65</v>
      </c>
      <c r="AD42" s="157">
        <v>27.16</v>
      </c>
      <c r="AE42" s="157">
        <v>243101.35</v>
      </c>
      <c r="AF42" s="398">
        <f t="shared" si="42"/>
        <v>8950.7124447717233</v>
      </c>
      <c r="AG42" s="398">
        <f t="shared" si="43"/>
        <v>9369.8324742268032</v>
      </c>
      <c r="AH42" s="399">
        <f t="shared" si="44"/>
        <v>419.12</v>
      </c>
      <c r="AI42" s="157">
        <v>5.19</v>
      </c>
      <c r="AJ42" s="157">
        <v>45019.48</v>
      </c>
      <c r="AK42" s="398">
        <f t="shared" si="45"/>
        <v>8674.273603082851</v>
      </c>
      <c r="AL42" s="398">
        <f t="shared" si="46"/>
        <v>9353.8901734104038</v>
      </c>
      <c r="AM42" s="399">
        <f t="shared" si="47"/>
        <v>679.62</v>
      </c>
      <c r="AN42" s="397">
        <v>0</v>
      </c>
      <c r="AO42" s="397">
        <v>0</v>
      </c>
      <c r="AP42" s="46"/>
      <c r="AQ42" s="402">
        <v>93686.52</v>
      </c>
      <c r="AR42" s="274">
        <v>71059.069999999992</v>
      </c>
      <c r="AS42" s="413"/>
      <c r="AX42" s="2"/>
      <c r="BA42" s="342"/>
      <c r="BB42" s="342"/>
      <c r="BC42" s="342"/>
      <c r="BD42" s="386"/>
      <c r="BE42" s="386"/>
      <c r="BF42" s="386"/>
      <c r="BG42" s="386"/>
      <c r="BH42" s="386"/>
      <c r="BI42" s="386"/>
      <c r="BJ42" s="386"/>
      <c r="BK42" s="386"/>
      <c r="BL42" s="386"/>
      <c r="BM42" s="386"/>
      <c r="BN42" s="387"/>
      <c r="BO42" s="265"/>
      <c r="BP42" s="386"/>
      <c r="BQ42" s="388"/>
      <c r="BR42" s="388"/>
      <c r="BS42" s="389"/>
      <c r="BT42" s="389"/>
      <c r="BU42" s="389"/>
      <c r="BV42" s="386"/>
      <c r="BW42" s="389"/>
      <c r="BX42" s="389"/>
      <c r="BY42" s="386"/>
      <c r="BZ42" s="386"/>
      <c r="CA42" s="386"/>
      <c r="CB42" s="386"/>
      <c r="CC42" s="386"/>
      <c r="CD42" s="386"/>
      <c r="CE42" s="386"/>
      <c r="CF42" s="390"/>
      <c r="CG42" s="390"/>
      <c r="CH42" s="391"/>
      <c r="CI42" s="386"/>
      <c r="CJ42" s="386"/>
      <c r="CK42" s="390"/>
      <c r="CL42" s="390"/>
      <c r="CM42" s="391"/>
      <c r="CN42" s="389"/>
      <c r="CO42" s="389"/>
      <c r="CP42" s="135"/>
      <c r="CQ42" s="135"/>
      <c r="CR42" s="135"/>
      <c r="CS42" s="135"/>
      <c r="CT42" s="135"/>
      <c r="CU42" s="135"/>
    </row>
    <row r="43" spans="1:99">
      <c r="A43" s="342" t="s">
        <v>108</v>
      </c>
      <c r="B43" s="342" t="s">
        <v>107</v>
      </c>
      <c r="C43" s="342" t="s">
        <v>863</v>
      </c>
      <c r="D43" s="157">
        <v>0</v>
      </c>
      <c r="E43" s="157">
        <v>1510.58</v>
      </c>
      <c r="F43" s="157">
        <v>10945.1</v>
      </c>
      <c r="G43" s="157">
        <v>1288061.3999999999</v>
      </c>
      <c r="H43" s="157">
        <v>207432.97</v>
      </c>
      <c r="I43" s="157">
        <v>110010.53</v>
      </c>
      <c r="J43" s="157">
        <v>254099.14</v>
      </c>
      <c r="K43" s="157">
        <v>37028.03</v>
      </c>
      <c r="L43" s="157">
        <v>22642.49</v>
      </c>
      <c r="M43" s="157">
        <v>863491.66</v>
      </c>
      <c r="N43" s="264">
        <v>5.8200000000000002E-2</v>
      </c>
      <c r="O43" s="265">
        <v>0.28470000000000001</v>
      </c>
      <c r="P43" s="157">
        <v>0</v>
      </c>
      <c r="Q43" s="396">
        <v>0</v>
      </c>
      <c r="R43" s="396">
        <v>0</v>
      </c>
      <c r="S43" s="397">
        <v>0</v>
      </c>
      <c r="T43" s="397">
        <v>0</v>
      </c>
      <c r="U43" s="397">
        <v>0</v>
      </c>
      <c r="V43" s="157">
        <v>0</v>
      </c>
      <c r="W43" s="397">
        <v>0</v>
      </c>
      <c r="X43" s="397">
        <v>0</v>
      </c>
      <c r="Y43" s="157">
        <v>809.73</v>
      </c>
      <c r="Z43" s="157">
        <v>0</v>
      </c>
      <c r="AA43" s="157">
        <v>809.42</v>
      </c>
      <c r="AB43" s="157">
        <v>0</v>
      </c>
      <c r="AC43" s="157">
        <v>224095.44</v>
      </c>
      <c r="AD43" s="157">
        <v>22.73</v>
      </c>
      <c r="AE43" s="157">
        <v>211568.63</v>
      </c>
      <c r="AF43" s="398">
        <f t="shared" si="42"/>
        <v>9307.9027716673991</v>
      </c>
      <c r="AG43" s="398">
        <f t="shared" si="43"/>
        <v>9859.0162780466344</v>
      </c>
      <c r="AH43" s="399">
        <f t="shared" si="44"/>
        <v>551.11</v>
      </c>
      <c r="AI43" s="157">
        <v>0</v>
      </c>
      <c r="AJ43" s="157">
        <v>0</v>
      </c>
      <c r="AK43" s="398">
        <f t="shared" si="45"/>
        <v>0</v>
      </c>
      <c r="AL43" s="398">
        <f t="shared" si="46"/>
        <v>0</v>
      </c>
      <c r="AM43" s="399">
        <f t="shared" si="47"/>
        <v>0</v>
      </c>
      <c r="AN43" s="397">
        <v>0</v>
      </c>
      <c r="AO43" s="397">
        <v>0</v>
      </c>
      <c r="AP43" s="46"/>
      <c r="AQ43" s="402">
        <v>51253.069999999985</v>
      </c>
      <c r="AR43" s="274">
        <v>80244.7</v>
      </c>
      <c r="AS43" s="413">
        <v>31879.100000000002</v>
      </c>
      <c r="AX43" s="2"/>
      <c r="BA43" s="342"/>
      <c r="BB43" s="342"/>
      <c r="BC43" s="342"/>
      <c r="BD43" s="386"/>
      <c r="BE43" s="386"/>
      <c r="BF43" s="386"/>
      <c r="BG43" s="386"/>
      <c r="BH43" s="386"/>
      <c r="BI43" s="386"/>
      <c r="BJ43" s="386"/>
      <c r="BK43" s="386"/>
      <c r="BL43" s="386"/>
      <c r="BM43" s="386"/>
      <c r="BN43" s="387"/>
      <c r="BO43" s="265"/>
      <c r="BP43" s="386"/>
      <c r="BQ43" s="388"/>
      <c r="BR43" s="388"/>
      <c r="BS43" s="389"/>
      <c r="BT43" s="389"/>
      <c r="BU43" s="389"/>
      <c r="BV43" s="386"/>
      <c r="BW43" s="389"/>
      <c r="BX43" s="389"/>
      <c r="BY43" s="386"/>
      <c r="BZ43" s="386"/>
      <c r="CA43" s="386"/>
      <c r="CB43" s="386"/>
      <c r="CC43" s="386"/>
      <c r="CD43" s="386"/>
      <c r="CE43" s="386"/>
      <c r="CF43" s="390"/>
      <c r="CG43" s="390"/>
      <c r="CH43" s="391"/>
      <c r="CI43" s="386"/>
      <c r="CJ43" s="386"/>
      <c r="CK43" s="390"/>
      <c r="CL43" s="390"/>
      <c r="CM43" s="391"/>
      <c r="CN43" s="389"/>
      <c r="CO43" s="389"/>
      <c r="CP43" s="135"/>
      <c r="CQ43" s="135"/>
      <c r="CR43" s="135"/>
      <c r="CS43" s="135"/>
      <c r="CT43" s="135"/>
      <c r="CU43" s="135"/>
    </row>
    <row r="44" spans="1:99">
      <c r="A44" s="342" t="s">
        <v>110</v>
      </c>
      <c r="B44" s="342" t="s">
        <v>109</v>
      </c>
      <c r="C44" s="342" t="s">
        <v>864</v>
      </c>
      <c r="D44" s="157">
        <v>0</v>
      </c>
      <c r="E44" s="157">
        <v>60276.19</v>
      </c>
      <c r="F44" s="157">
        <v>2.38</v>
      </c>
      <c r="G44" s="157">
        <v>3470248.77</v>
      </c>
      <c r="H44" s="157">
        <v>746285.63</v>
      </c>
      <c r="I44" s="157">
        <v>410900</v>
      </c>
      <c r="J44" s="157">
        <v>888938.48</v>
      </c>
      <c r="K44" s="157">
        <v>45067.91</v>
      </c>
      <c r="L44" s="157">
        <v>73241.98</v>
      </c>
      <c r="M44" s="157">
        <v>1123427.22</v>
      </c>
      <c r="N44" s="264">
        <v>3.9199999999999999E-2</v>
      </c>
      <c r="O44" s="265">
        <v>0.17730000000000001</v>
      </c>
      <c r="P44" s="157">
        <v>0</v>
      </c>
      <c r="Q44" s="396">
        <v>0</v>
      </c>
      <c r="R44" s="396">
        <v>0</v>
      </c>
      <c r="S44" s="397">
        <v>0</v>
      </c>
      <c r="T44" s="397">
        <v>0</v>
      </c>
      <c r="U44" s="397">
        <v>0</v>
      </c>
      <c r="V44" s="157">
        <v>0</v>
      </c>
      <c r="W44" s="397">
        <v>0</v>
      </c>
      <c r="X44" s="397">
        <v>0</v>
      </c>
      <c r="Y44" s="157">
        <v>1095.06</v>
      </c>
      <c r="Z44" s="157">
        <v>0</v>
      </c>
      <c r="AA44" s="157">
        <v>0</v>
      </c>
      <c r="AB44" s="157">
        <v>0</v>
      </c>
      <c r="AC44" s="157">
        <v>1605283.73</v>
      </c>
      <c r="AD44" s="157">
        <v>172.12</v>
      </c>
      <c r="AE44" s="157">
        <v>1478511.82</v>
      </c>
      <c r="AF44" s="398">
        <f t="shared" si="42"/>
        <v>8590.0059260980706</v>
      </c>
      <c r="AG44" s="398">
        <f t="shared" si="43"/>
        <v>9326.5380548454559</v>
      </c>
      <c r="AH44" s="399">
        <f t="shared" si="44"/>
        <v>736.53</v>
      </c>
      <c r="AI44" s="157">
        <v>0</v>
      </c>
      <c r="AJ44" s="157">
        <v>0</v>
      </c>
      <c r="AK44" s="398">
        <f t="shared" si="45"/>
        <v>0</v>
      </c>
      <c r="AL44" s="398">
        <f t="shared" si="46"/>
        <v>0</v>
      </c>
      <c r="AM44" s="399">
        <f t="shared" si="47"/>
        <v>0</v>
      </c>
      <c r="AN44" s="397">
        <v>199.14</v>
      </c>
      <c r="AO44" s="397">
        <v>0</v>
      </c>
      <c r="AP44" s="46"/>
      <c r="AQ44" s="402">
        <v>0</v>
      </c>
      <c r="AR44" s="274">
        <v>239310.15000000002</v>
      </c>
      <c r="AS44" s="413">
        <v>79798.610000000015</v>
      </c>
      <c r="AX44" s="2"/>
      <c r="BA44" s="342"/>
      <c r="BB44" s="342"/>
      <c r="BC44" s="342"/>
      <c r="BD44" s="386"/>
      <c r="BE44" s="386"/>
      <c r="BF44" s="386"/>
      <c r="BG44" s="386"/>
      <c r="BH44" s="386"/>
      <c r="BI44" s="386"/>
      <c r="BJ44" s="386"/>
      <c r="BK44" s="386"/>
      <c r="BL44" s="386"/>
      <c r="BM44" s="386"/>
      <c r="BN44" s="387"/>
      <c r="BO44" s="265"/>
      <c r="BP44" s="386"/>
      <c r="BQ44" s="388"/>
      <c r="BR44" s="388"/>
      <c r="BS44" s="389"/>
      <c r="BT44" s="389"/>
      <c r="BU44" s="389"/>
      <c r="BV44" s="386"/>
      <c r="BW44" s="389"/>
      <c r="BX44" s="389"/>
      <c r="BY44" s="386"/>
      <c r="BZ44" s="386"/>
      <c r="CA44" s="386"/>
      <c r="CB44" s="386"/>
      <c r="CC44" s="386"/>
      <c r="CD44" s="386"/>
      <c r="CE44" s="386"/>
      <c r="CF44" s="390"/>
      <c r="CG44" s="390"/>
      <c r="CH44" s="391"/>
      <c r="CI44" s="386"/>
      <c r="CJ44" s="386"/>
      <c r="CK44" s="390"/>
      <c r="CL44" s="390"/>
      <c r="CM44" s="391"/>
      <c r="CN44" s="389"/>
      <c r="CO44" s="389"/>
      <c r="CP44" s="135"/>
      <c r="CQ44" s="135"/>
      <c r="CR44" s="135"/>
      <c r="CS44" s="135"/>
      <c r="CT44" s="135"/>
      <c r="CU44" s="135"/>
    </row>
    <row r="45" spans="1:99">
      <c r="A45" s="342" t="s">
        <v>112</v>
      </c>
      <c r="B45" s="342" t="s">
        <v>111</v>
      </c>
      <c r="C45" s="342" t="s">
        <v>865</v>
      </c>
      <c r="D45" s="157">
        <v>0</v>
      </c>
      <c r="E45" s="157">
        <v>4611.37</v>
      </c>
      <c r="F45" s="157">
        <v>422.38</v>
      </c>
      <c r="G45" s="157">
        <v>1303934.98</v>
      </c>
      <c r="H45" s="157">
        <v>165376.64000000001</v>
      </c>
      <c r="I45" s="157">
        <v>0</v>
      </c>
      <c r="J45" s="157">
        <v>206587.95</v>
      </c>
      <c r="K45" s="157">
        <v>27507.66</v>
      </c>
      <c r="L45" s="157">
        <v>0</v>
      </c>
      <c r="M45" s="157">
        <v>803984.5</v>
      </c>
      <c r="N45" s="264">
        <v>0.10249999999999999</v>
      </c>
      <c r="O45" s="265">
        <v>0.2175</v>
      </c>
      <c r="P45" s="157">
        <v>0</v>
      </c>
      <c r="Q45" s="396">
        <v>0</v>
      </c>
      <c r="R45" s="396">
        <v>0</v>
      </c>
      <c r="S45" s="397">
        <v>0</v>
      </c>
      <c r="T45" s="397">
        <v>0</v>
      </c>
      <c r="U45" s="397">
        <v>0</v>
      </c>
      <c r="V45" s="157">
        <v>0</v>
      </c>
      <c r="W45" s="397">
        <v>0</v>
      </c>
      <c r="X45" s="397">
        <v>0</v>
      </c>
      <c r="Y45" s="157">
        <v>1095.06</v>
      </c>
      <c r="Z45" s="157">
        <v>0</v>
      </c>
      <c r="AA45" s="157">
        <v>47910.54</v>
      </c>
      <c r="AB45" s="157">
        <v>60478.46</v>
      </c>
      <c r="AC45" s="157">
        <v>530626.9</v>
      </c>
      <c r="AD45" s="157">
        <v>59.03</v>
      </c>
      <c r="AE45" s="157">
        <v>507024.34</v>
      </c>
      <c r="AF45" s="398">
        <f t="shared" si="42"/>
        <v>8589.2654582415726</v>
      </c>
      <c r="AG45" s="398">
        <f t="shared" si="43"/>
        <v>8989.105539556158</v>
      </c>
      <c r="AH45" s="399">
        <f t="shared" si="44"/>
        <v>399.84</v>
      </c>
      <c r="AI45" s="157">
        <v>6.72</v>
      </c>
      <c r="AJ45" s="157">
        <v>55964.6</v>
      </c>
      <c r="AK45" s="398">
        <f t="shared" si="45"/>
        <v>8328.0654761904771</v>
      </c>
      <c r="AL45" s="398">
        <f t="shared" si="46"/>
        <v>8999.7708333333339</v>
      </c>
      <c r="AM45" s="399">
        <f t="shared" si="47"/>
        <v>671.71</v>
      </c>
      <c r="AN45" s="397">
        <v>80218.48</v>
      </c>
      <c r="AO45" s="397">
        <v>67937.62</v>
      </c>
      <c r="AP45" s="46"/>
      <c r="AQ45" s="402">
        <v>0</v>
      </c>
      <c r="AR45" s="274">
        <v>88998.93</v>
      </c>
      <c r="AS45" s="413">
        <v>37699.960000000006</v>
      </c>
      <c r="AX45" s="2"/>
      <c r="BA45" s="342"/>
      <c r="BB45" s="342"/>
      <c r="BC45" s="342"/>
      <c r="BD45" s="386"/>
      <c r="BE45" s="386"/>
      <c r="BF45" s="386"/>
      <c r="BG45" s="386"/>
      <c r="BH45" s="386"/>
      <c r="BI45" s="386"/>
      <c r="BJ45" s="386"/>
      <c r="BK45" s="386"/>
      <c r="BL45" s="386"/>
      <c r="BM45" s="386"/>
      <c r="BN45" s="387"/>
      <c r="BO45" s="265"/>
      <c r="BP45" s="386"/>
      <c r="BQ45" s="388"/>
      <c r="BR45" s="388"/>
      <c r="BS45" s="389"/>
      <c r="BT45" s="389"/>
      <c r="BU45" s="389"/>
      <c r="BV45" s="386"/>
      <c r="BW45" s="389"/>
      <c r="BX45" s="389"/>
      <c r="BY45" s="386"/>
      <c r="BZ45" s="386"/>
      <c r="CA45" s="386"/>
      <c r="CB45" s="386"/>
      <c r="CC45" s="386"/>
      <c r="CD45" s="386"/>
      <c r="CE45" s="386"/>
      <c r="CF45" s="390"/>
      <c r="CG45" s="390"/>
      <c r="CH45" s="391"/>
      <c r="CI45" s="386"/>
      <c r="CJ45" s="386"/>
      <c r="CK45" s="390"/>
      <c r="CL45" s="390"/>
      <c r="CM45" s="391"/>
      <c r="CN45" s="389"/>
      <c r="CO45" s="389"/>
      <c r="CP45" s="135"/>
      <c r="CQ45" s="135"/>
      <c r="CR45" s="135"/>
      <c r="CS45" s="135"/>
      <c r="CT45" s="135"/>
      <c r="CU45" s="135"/>
    </row>
    <row r="46" spans="1:99">
      <c r="A46" s="342" t="s">
        <v>114</v>
      </c>
      <c r="B46" s="342" t="s">
        <v>113</v>
      </c>
      <c r="C46" s="342" t="s">
        <v>866</v>
      </c>
      <c r="D46" s="157">
        <v>0</v>
      </c>
      <c r="E46" s="157">
        <v>508028.78</v>
      </c>
      <c r="F46" s="157">
        <v>62578.99</v>
      </c>
      <c r="G46" s="157">
        <v>21832529.649999999</v>
      </c>
      <c r="H46" s="157">
        <v>5085196.3099999996</v>
      </c>
      <c r="I46" s="157">
        <v>2679548.41</v>
      </c>
      <c r="J46" s="157">
        <v>5719019.9000000004</v>
      </c>
      <c r="K46" s="157">
        <v>3010966.64</v>
      </c>
      <c r="L46" s="157">
        <v>368635.29</v>
      </c>
      <c r="M46" s="157">
        <v>7513124.6500000004</v>
      </c>
      <c r="N46" s="264">
        <v>5.3999999999999999E-2</v>
      </c>
      <c r="O46" s="265">
        <v>0.1636</v>
      </c>
      <c r="P46" s="157">
        <v>0</v>
      </c>
      <c r="Q46" s="396">
        <v>0</v>
      </c>
      <c r="R46" s="396">
        <v>0</v>
      </c>
      <c r="S46" s="397">
        <v>149622.29999999999</v>
      </c>
      <c r="T46" s="397">
        <v>13447.850000000013</v>
      </c>
      <c r="U46" s="397">
        <v>5780.2</v>
      </c>
      <c r="V46" s="157">
        <v>2153913.34</v>
      </c>
      <c r="W46" s="397">
        <v>203163.01999999979</v>
      </c>
      <c r="X46" s="397">
        <v>78873.41</v>
      </c>
      <c r="Y46" s="157">
        <v>14216.59</v>
      </c>
      <c r="Z46" s="157">
        <v>186946.9</v>
      </c>
      <c r="AA46" s="157">
        <v>258135.62</v>
      </c>
      <c r="AB46" s="157">
        <v>2159556.2200000002</v>
      </c>
      <c r="AC46" s="157">
        <v>5410610.5899999999</v>
      </c>
      <c r="AD46" s="157">
        <v>568.16999999999996</v>
      </c>
      <c r="AE46" s="157">
        <v>5084549.3099999996</v>
      </c>
      <c r="AF46" s="398">
        <f t="shared" si="42"/>
        <v>8948.9929246528336</v>
      </c>
      <c r="AG46" s="398">
        <f t="shared" si="43"/>
        <v>9522.8727141524541</v>
      </c>
      <c r="AH46" s="399">
        <f t="shared" si="44"/>
        <v>573.88</v>
      </c>
      <c r="AI46" s="157">
        <v>230.76</v>
      </c>
      <c r="AJ46" s="157">
        <v>2005513.79</v>
      </c>
      <c r="AK46" s="398">
        <f t="shared" si="45"/>
        <v>8690.9073929623864</v>
      </c>
      <c r="AL46" s="398">
        <f t="shared" si="46"/>
        <v>9358.4512913849903</v>
      </c>
      <c r="AM46" s="399">
        <f t="shared" si="47"/>
        <v>667.54</v>
      </c>
      <c r="AN46" s="397">
        <v>0</v>
      </c>
      <c r="AO46" s="397">
        <v>4000</v>
      </c>
      <c r="AP46" s="46"/>
      <c r="AQ46" s="402">
        <v>158889.04000000004</v>
      </c>
      <c r="AR46" s="274">
        <v>1341661.8700000001</v>
      </c>
      <c r="AS46" s="413">
        <v>390096.57</v>
      </c>
      <c r="AX46" s="2"/>
      <c r="BA46" s="342"/>
      <c r="BB46" s="342"/>
      <c r="BC46" s="342"/>
      <c r="BD46" s="386"/>
      <c r="BE46" s="386"/>
      <c r="BF46" s="386"/>
      <c r="BG46" s="386"/>
      <c r="BH46" s="386"/>
      <c r="BI46" s="386"/>
      <c r="BJ46" s="386"/>
      <c r="BK46" s="386"/>
      <c r="BL46" s="386"/>
      <c r="BM46" s="386"/>
      <c r="BN46" s="387"/>
      <c r="BO46" s="265"/>
      <c r="BP46" s="386"/>
      <c r="BQ46" s="388"/>
      <c r="BR46" s="388"/>
      <c r="BS46" s="389"/>
      <c r="BT46" s="389"/>
      <c r="BU46" s="389"/>
      <c r="BV46" s="386"/>
      <c r="BW46" s="389"/>
      <c r="BX46" s="389"/>
      <c r="BY46" s="386"/>
      <c r="BZ46" s="386"/>
      <c r="CA46" s="386"/>
      <c r="CB46" s="386"/>
      <c r="CC46" s="386"/>
      <c r="CD46" s="386"/>
      <c r="CE46" s="386"/>
      <c r="CF46" s="390"/>
      <c r="CG46" s="390"/>
      <c r="CH46" s="391"/>
      <c r="CI46" s="386"/>
      <c r="CJ46" s="386"/>
      <c r="CK46" s="390"/>
      <c r="CL46" s="390"/>
      <c r="CM46" s="391"/>
      <c r="CN46" s="389"/>
      <c r="CO46" s="389"/>
      <c r="CP46" s="135"/>
      <c r="CQ46" s="135"/>
      <c r="CR46" s="135"/>
      <c r="CS46" s="135"/>
      <c r="CT46" s="135"/>
      <c r="CU46" s="135"/>
    </row>
    <row r="47" spans="1:99">
      <c r="A47" s="342" t="s">
        <v>116</v>
      </c>
      <c r="B47" s="342" t="s">
        <v>115</v>
      </c>
      <c r="C47" s="342" t="s">
        <v>867</v>
      </c>
      <c r="D47" s="157">
        <v>0</v>
      </c>
      <c r="E47" s="157">
        <v>0</v>
      </c>
      <c r="F47" s="157">
        <v>0</v>
      </c>
      <c r="G47" s="157">
        <v>732967.09</v>
      </c>
      <c r="H47" s="157">
        <v>139150.66</v>
      </c>
      <c r="I47" s="157">
        <v>0</v>
      </c>
      <c r="J47" s="157">
        <v>109759.54</v>
      </c>
      <c r="K47" s="157">
        <v>0</v>
      </c>
      <c r="L47" s="157">
        <v>16655.32</v>
      </c>
      <c r="M47" s="157">
        <v>499985.17</v>
      </c>
      <c r="N47" s="264">
        <v>4.6899999999999997E-2</v>
      </c>
      <c r="O47" s="265">
        <v>0.24030000000000001</v>
      </c>
      <c r="P47" s="157">
        <v>0</v>
      </c>
      <c r="Q47" s="396">
        <v>0</v>
      </c>
      <c r="R47" s="396">
        <v>0</v>
      </c>
      <c r="S47" s="397">
        <v>0</v>
      </c>
      <c r="T47" s="397">
        <v>0</v>
      </c>
      <c r="U47" s="397">
        <v>0</v>
      </c>
      <c r="V47" s="157">
        <v>0</v>
      </c>
      <c r="W47" s="397">
        <v>0</v>
      </c>
      <c r="X47" s="397">
        <v>0</v>
      </c>
      <c r="Y47" s="157">
        <v>0</v>
      </c>
      <c r="Z47" s="157">
        <v>3243.91</v>
      </c>
      <c r="AA47" s="157">
        <v>34529.360000000001</v>
      </c>
      <c r="AB47" s="157">
        <v>63139.53</v>
      </c>
      <c r="AC47" s="157">
        <v>396389.53</v>
      </c>
      <c r="AD47" s="157">
        <v>43.8</v>
      </c>
      <c r="AE47" s="157">
        <v>376291.65</v>
      </c>
      <c r="AF47" s="398">
        <f t="shared" si="42"/>
        <v>8591.1335616438373</v>
      </c>
      <c r="AG47" s="398">
        <f t="shared" si="43"/>
        <v>9049.9892694063947</v>
      </c>
      <c r="AH47" s="399">
        <f t="shared" si="44"/>
        <v>458.86</v>
      </c>
      <c r="AI47" s="157">
        <v>7.02</v>
      </c>
      <c r="AJ47" s="157">
        <v>58486.82</v>
      </c>
      <c r="AK47" s="398">
        <f t="shared" si="45"/>
        <v>8331.4558404558411</v>
      </c>
      <c r="AL47" s="398">
        <f t="shared" si="46"/>
        <v>8994.235042735043</v>
      </c>
      <c r="AM47" s="399">
        <f t="shared" si="47"/>
        <v>662.78</v>
      </c>
      <c r="AN47" s="397">
        <v>0</v>
      </c>
      <c r="AO47" s="397">
        <v>0</v>
      </c>
      <c r="AP47" s="46"/>
      <c r="AQ47" s="402">
        <v>29553.94000000001</v>
      </c>
      <c r="AR47" s="274">
        <v>58456.249999999993</v>
      </c>
      <c r="AS47" s="413">
        <v>26923.57</v>
      </c>
      <c r="AX47" s="2"/>
      <c r="BA47" s="342"/>
      <c r="BB47" s="342"/>
      <c r="BC47" s="342"/>
      <c r="BD47" s="386"/>
      <c r="BE47" s="386"/>
      <c r="BF47" s="386"/>
      <c r="BG47" s="386"/>
      <c r="BH47" s="386"/>
      <c r="BI47" s="386"/>
      <c r="BJ47" s="386"/>
      <c r="BK47" s="386"/>
      <c r="BL47" s="386"/>
      <c r="BM47" s="386"/>
      <c r="BN47" s="387"/>
      <c r="BO47" s="265"/>
      <c r="BP47" s="386"/>
      <c r="BQ47" s="388"/>
      <c r="BR47" s="388"/>
      <c r="BS47" s="389"/>
      <c r="BT47" s="389"/>
      <c r="BU47" s="389"/>
      <c r="BV47" s="386"/>
      <c r="BW47" s="389"/>
      <c r="BX47" s="389"/>
      <c r="BY47" s="386"/>
      <c r="BZ47" s="386"/>
      <c r="CA47" s="386"/>
      <c r="CB47" s="386"/>
      <c r="CC47" s="386"/>
      <c r="CD47" s="386"/>
      <c r="CE47" s="386"/>
      <c r="CF47" s="390"/>
      <c r="CG47" s="390"/>
      <c r="CH47" s="391"/>
      <c r="CI47" s="386"/>
      <c r="CJ47" s="386"/>
      <c r="CK47" s="390"/>
      <c r="CL47" s="390"/>
      <c r="CM47" s="391"/>
      <c r="CN47" s="389"/>
      <c r="CO47" s="389"/>
      <c r="CP47" s="135"/>
      <c r="CQ47" s="135"/>
      <c r="CR47" s="135"/>
      <c r="CS47" s="135"/>
      <c r="CT47" s="135"/>
      <c r="CU47" s="135"/>
    </row>
    <row r="48" spans="1:99">
      <c r="A48" s="342" t="s">
        <v>118</v>
      </c>
      <c r="B48" s="342" t="s">
        <v>117</v>
      </c>
      <c r="C48" s="342" t="s">
        <v>868</v>
      </c>
      <c r="D48" s="157">
        <v>0</v>
      </c>
      <c r="E48" s="157">
        <v>51226.29</v>
      </c>
      <c r="F48" s="157">
        <v>45287.72</v>
      </c>
      <c r="G48" s="157">
        <v>2194104.17</v>
      </c>
      <c r="H48" s="157">
        <v>546856.18000000005</v>
      </c>
      <c r="I48" s="157">
        <v>460555.59</v>
      </c>
      <c r="J48" s="157">
        <v>546935.62</v>
      </c>
      <c r="K48" s="157">
        <v>449664.04</v>
      </c>
      <c r="L48" s="157">
        <v>45310.720000000001</v>
      </c>
      <c r="M48" s="157">
        <v>679844.63</v>
      </c>
      <c r="N48" s="264">
        <v>2.5700000000000001E-2</v>
      </c>
      <c r="O48" s="265">
        <v>0.19489999999999999</v>
      </c>
      <c r="P48" s="157">
        <v>0</v>
      </c>
      <c r="Q48" s="396">
        <v>0</v>
      </c>
      <c r="R48" s="396">
        <v>0</v>
      </c>
      <c r="S48" s="397">
        <v>0</v>
      </c>
      <c r="T48" s="397">
        <v>0</v>
      </c>
      <c r="U48" s="397">
        <v>0</v>
      </c>
      <c r="V48" s="157">
        <v>0</v>
      </c>
      <c r="W48" s="397">
        <v>0</v>
      </c>
      <c r="X48" s="397">
        <v>0</v>
      </c>
      <c r="Y48" s="157">
        <v>0</v>
      </c>
      <c r="Z48" s="157">
        <v>0</v>
      </c>
      <c r="AA48" s="157">
        <v>51291.95</v>
      </c>
      <c r="AB48" s="157">
        <v>61625.54</v>
      </c>
      <c r="AC48" s="157">
        <v>1222358.9099999999</v>
      </c>
      <c r="AD48" s="157">
        <v>132.59</v>
      </c>
      <c r="AE48" s="157">
        <v>1139017.92</v>
      </c>
      <c r="AF48" s="398">
        <f t="shared" si="42"/>
        <v>8590.5265857153627</v>
      </c>
      <c r="AG48" s="398">
        <f t="shared" si="43"/>
        <v>9219.0882419488644</v>
      </c>
      <c r="AH48" s="399">
        <f t="shared" si="44"/>
        <v>628.55999999999995</v>
      </c>
      <c r="AI48" s="157">
        <v>6.86</v>
      </c>
      <c r="AJ48" s="157">
        <v>57138.68</v>
      </c>
      <c r="AK48" s="398">
        <f t="shared" si="45"/>
        <v>8329.2536443148692</v>
      </c>
      <c r="AL48" s="398">
        <f t="shared" si="46"/>
        <v>8983.314868804664</v>
      </c>
      <c r="AM48" s="399">
        <f t="shared" si="47"/>
        <v>654.05999999999995</v>
      </c>
      <c r="AN48" s="397">
        <v>0</v>
      </c>
      <c r="AO48" s="397">
        <v>0</v>
      </c>
      <c r="AP48" s="46"/>
      <c r="AQ48" s="402">
        <v>101757.78999999994</v>
      </c>
      <c r="AR48" s="274">
        <v>166190.19</v>
      </c>
      <c r="AS48" s="413">
        <v>57926.8</v>
      </c>
      <c r="AX48" s="2"/>
      <c r="BA48" s="342"/>
      <c r="BB48" s="342"/>
      <c r="BC48" s="342"/>
      <c r="BD48" s="386"/>
      <c r="BE48" s="386"/>
      <c r="BF48" s="386"/>
      <c r="BG48" s="386"/>
      <c r="BH48" s="386"/>
      <c r="BI48" s="386"/>
      <c r="BJ48" s="386"/>
      <c r="BK48" s="386"/>
      <c r="BL48" s="386"/>
      <c r="BM48" s="386"/>
      <c r="BN48" s="387"/>
      <c r="BO48" s="265"/>
      <c r="BP48" s="386"/>
      <c r="BQ48" s="388"/>
      <c r="BR48" s="388"/>
      <c r="BS48" s="389"/>
      <c r="BT48" s="389"/>
      <c r="BU48" s="389"/>
      <c r="BV48" s="386"/>
      <c r="BW48" s="389"/>
      <c r="BX48" s="389"/>
      <c r="BY48" s="386"/>
      <c r="BZ48" s="386"/>
      <c r="CA48" s="386"/>
      <c r="CB48" s="386"/>
      <c r="CC48" s="386"/>
      <c r="CD48" s="386"/>
      <c r="CE48" s="386"/>
      <c r="CF48" s="390"/>
      <c r="CG48" s="390"/>
      <c r="CH48" s="391"/>
      <c r="CI48" s="386"/>
      <c r="CJ48" s="386"/>
      <c r="CK48" s="390"/>
      <c r="CL48" s="390"/>
      <c r="CM48" s="391"/>
      <c r="CN48" s="389"/>
      <c r="CO48" s="389"/>
      <c r="CP48" s="135"/>
      <c r="CQ48" s="135"/>
      <c r="CR48" s="135"/>
      <c r="CS48" s="135"/>
      <c r="CT48" s="135"/>
      <c r="CU48" s="135"/>
    </row>
    <row r="49" spans="1:99">
      <c r="A49" s="342" t="s">
        <v>120</v>
      </c>
      <c r="B49" s="342" t="s">
        <v>119</v>
      </c>
      <c r="C49" s="342" t="s">
        <v>869</v>
      </c>
      <c r="D49" s="157">
        <v>0</v>
      </c>
      <c r="E49" s="157">
        <v>2791.49</v>
      </c>
      <c r="F49" s="157">
        <v>0</v>
      </c>
      <c r="G49" s="157">
        <v>211882.01</v>
      </c>
      <c r="H49" s="157">
        <v>24727.200000000001</v>
      </c>
      <c r="I49" s="157">
        <v>0</v>
      </c>
      <c r="J49" s="157">
        <v>32976.78</v>
      </c>
      <c r="K49" s="157">
        <v>0</v>
      </c>
      <c r="L49" s="157">
        <v>0</v>
      </c>
      <c r="M49" s="157">
        <v>171073.11</v>
      </c>
      <c r="N49" s="264">
        <v>3.4200000000000001E-2</v>
      </c>
      <c r="O49" s="265">
        <v>0.22539999999999999</v>
      </c>
      <c r="P49" s="157">
        <v>0</v>
      </c>
      <c r="Q49" s="396">
        <v>0</v>
      </c>
      <c r="R49" s="396">
        <v>0</v>
      </c>
      <c r="S49" s="397">
        <v>0</v>
      </c>
      <c r="T49" s="397">
        <v>0</v>
      </c>
      <c r="U49" s="397">
        <v>0</v>
      </c>
      <c r="V49" s="157">
        <v>0</v>
      </c>
      <c r="W49" s="397">
        <v>0</v>
      </c>
      <c r="X49" s="397">
        <v>0</v>
      </c>
      <c r="Y49" s="157">
        <v>0</v>
      </c>
      <c r="Z49" s="157">
        <v>0</v>
      </c>
      <c r="AA49" s="157">
        <v>0</v>
      </c>
      <c r="AB49" s="157">
        <v>3220.55</v>
      </c>
      <c r="AC49" s="157">
        <v>59464.14</v>
      </c>
      <c r="AD49" s="157">
        <v>6.35</v>
      </c>
      <c r="AE49" s="157">
        <v>55752.85</v>
      </c>
      <c r="AF49" s="398">
        <f t="shared" si="42"/>
        <v>8779.9763779527566</v>
      </c>
      <c r="AG49" s="398">
        <f t="shared" si="43"/>
        <v>9364.4314960629927</v>
      </c>
      <c r="AH49" s="399">
        <f t="shared" si="44"/>
        <v>584.46</v>
      </c>
      <c r="AI49" s="157">
        <v>0.36</v>
      </c>
      <c r="AJ49" s="157">
        <v>2982.23</v>
      </c>
      <c r="AK49" s="398">
        <f t="shared" si="45"/>
        <v>8283.9722222222226</v>
      </c>
      <c r="AL49" s="398">
        <f t="shared" si="46"/>
        <v>8945.9722222222226</v>
      </c>
      <c r="AM49" s="399">
        <f t="shared" si="47"/>
        <v>662</v>
      </c>
      <c r="AN49" s="397">
        <v>0</v>
      </c>
      <c r="AO49" s="397">
        <v>0</v>
      </c>
      <c r="AP49" s="46"/>
      <c r="AQ49" s="402">
        <v>5511.1100000000042</v>
      </c>
      <c r="AR49" s="274">
        <v>26364.93</v>
      </c>
      <c r="AS49" s="413">
        <v>14730.65</v>
      </c>
      <c r="AX49" s="2"/>
      <c r="BA49" s="342"/>
      <c r="BB49" s="342"/>
      <c r="BC49" s="342"/>
      <c r="BD49" s="386"/>
      <c r="BE49" s="386"/>
      <c r="BF49" s="386"/>
      <c r="BG49" s="386"/>
      <c r="BH49" s="386"/>
      <c r="BI49" s="386"/>
      <c r="BJ49" s="386"/>
      <c r="BK49" s="386"/>
      <c r="BL49" s="386"/>
      <c r="BM49" s="386"/>
      <c r="BN49" s="387"/>
      <c r="BO49" s="265"/>
      <c r="BP49" s="386"/>
      <c r="BQ49" s="388"/>
      <c r="BR49" s="388"/>
      <c r="BS49" s="389"/>
      <c r="BT49" s="389"/>
      <c r="BU49" s="389"/>
      <c r="BV49" s="386"/>
      <c r="BW49" s="389"/>
      <c r="BX49" s="389"/>
      <c r="BY49" s="386"/>
      <c r="BZ49" s="386"/>
      <c r="CA49" s="386"/>
      <c r="CB49" s="386"/>
      <c r="CC49" s="386"/>
      <c r="CD49" s="386"/>
      <c r="CE49" s="386"/>
      <c r="CF49" s="390"/>
      <c r="CG49" s="390"/>
      <c r="CH49" s="391"/>
      <c r="CI49" s="386"/>
      <c r="CJ49" s="386"/>
      <c r="CK49" s="390"/>
      <c r="CL49" s="390"/>
      <c r="CM49" s="391"/>
      <c r="CN49" s="389"/>
      <c r="CO49" s="389"/>
      <c r="CP49" s="135"/>
      <c r="CQ49" s="135"/>
      <c r="CR49" s="135"/>
      <c r="CS49" s="135"/>
      <c r="CT49" s="135"/>
      <c r="CU49" s="135"/>
    </row>
    <row r="50" spans="1:99">
      <c r="A50" s="342" t="s">
        <v>122</v>
      </c>
      <c r="B50" s="342" t="s">
        <v>121</v>
      </c>
      <c r="C50" s="342" t="s">
        <v>870</v>
      </c>
      <c r="D50" s="157">
        <v>0</v>
      </c>
      <c r="E50" s="157">
        <v>0</v>
      </c>
      <c r="F50" s="157">
        <v>0</v>
      </c>
      <c r="G50" s="157">
        <v>176033.74</v>
      </c>
      <c r="H50" s="157">
        <v>19126.47</v>
      </c>
      <c r="I50" s="157">
        <v>33310.629999999997</v>
      </c>
      <c r="J50" s="157">
        <v>52655.61</v>
      </c>
      <c r="K50" s="157">
        <v>0</v>
      </c>
      <c r="L50" s="157">
        <v>3931.06</v>
      </c>
      <c r="M50" s="157">
        <v>222531.24</v>
      </c>
      <c r="N50" s="264">
        <v>3.5200000000000002E-2</v>
      </c>
      <c r="O50" s="265">
        <v>0.2389</v>
      </c>
      <c r="P50" s="157">
        <v>0</v>
      </c>
      <c r="Q50" s="396">
        <v>0</v>
      </c>
      <c r="R50" s="396">
        <v>0</v>
      </c>
      <c r="S50" s="397">
        <v>0</v>
      </c>
      <c r="T50" s="397">
        <v>0</v>
      </c>
      <c r="U50" s="397">
        <v>0</v>
      </c>
      <c r="V50" s="157">
        <v>0</v>
      </c>
      <c r="W50" s="397">
        <v>0</v>
      </c>
      <c r="X50" s="397">
        <v>0</v>
      </c>
      <c r="Y50" s="157">
        <v>157.88999999999999</v>
      </c>
      <c r="Z50" s="157">
        <v>0</v>
      </c>
      <c r="AA50" s="157">
        <v>0</v>
      </c>
      <c r="AB50" s="157">
        <v>4934.45</v>
      </c>
      <c r="AC50" s="157">
        <v>61380.15</v>
      </c>
      <c r="AD50" s="157">
        <v>6.83</v>
      </c>
      <c r="AE50" s="157">
        <v>58523</v>
      </c>
      <c r="AF50" s="398">
        <f t="shared" si="42"/>
        <v>8568.5212298682291</v>
      </c>
      <c r="AG50" s="398">
        <f t="shared" si="43"/>
        <v>8986.8448023426063</v>
      </c>
      <c r="AH50" s="399">
        <f t="shared" si="44"/>
        <v>418.32</v>
      </c>
      <c r="AI50" s="157">
        <v>0.54</v>
      </c>
      <c r="AJ50" s="157">
        <v>4505.74</v>
      </c>
      <c r="AK50" s="398">
        <f t="shared" si="45"/>
        <v>8343.9629629629617</v>
      </c>
      <c r="AL50" s="398">
        <f t="shared" si="46"/>
        <v>9137.8703703703686</v>
      </c>
      <c r="AM50" s="399">
        <f t="shared" si="47"/>
        <v>793.91</v>
      </c>
      <c r="AN50" s="397">
        <v>0</v>
      </c>
      <c r="AO50" s="397">
        <v>0</v>
      </c>
      <c r="AP50" s="46"/>
      <c r="AQ50" s="402">
        <v>0</v>
      </c>
      <c r="AR50" s="274">
        <v>23738.09</v>
      </c>
      <c r="AS50" s="413">
        <v>13763.920000000002</v>
      </c>
      <c r="AX50" s="2"/>
      <c r="BA50" s="342"/>
      <c r="BB50" s="342"/>
      <c r="BC50" s="342"/>
      <c r="BD50" s="386"/>
      <c r="BE50" s="386"/>
      <c r="BF50" s="386"/>
      <c r="BG50" s="386"/>
      <c r="BH50" s="386"/>
      <c r="BI50" s="386"/>
      <c r="BJ50" s="386"/>
      <c r="BK50" s="386"/>
      <c r="BL50" s="386"/>
      <c r="BM50" s="386"/>
      <c r="BN50" s="387"/>
      <c r="BO50" s="265"/>
      <c r="BP50" s="386"/>
      <c r="BQ50" s="388"/>
      <c r="BR50" s="388"/>
      <c r="BS50" s="389"/>
      <c r="BT50" s="389"/>
      <c r="BU50" s="389"/>
      <c r="BV50" s="386"/>
      <c r="BW50" s="389"/>
      <c r="BX50" s="389"/>
      <c r="BY50" s="386"/>
      <c r="BZ50" s="386"/>
      <c r="CA50" s="386"/>
      <c r="CB50" s="386"/>
      <c r="CC50" s="386"/>
      <c r="CD50" s="386"/>
      <c r="CE50" s="386"/>
      <c r="CF50" s="390"/>
      <c r="CG50" s="390"/>
      <c r="CH50" s="391"/>
      <c r="CI50" s="386"/>
      <c r="CJ50" s="386"/>
      <c r="CK50" s="390"/>
      <c r="CL50" s="390"/>
      <c r="CM50" s="391"/>
      <c r="CN50" s="389"/>
      <c r="CO50" s="389"/>
      <c r="CP50" s="135"/>
      <c r="CQ50" s="135"/>
      <c r="CR50" s="135"/>
      <c r="CS50" s="135"/>
      <c r="CT50" s="135"/>
      <c r="CU50" s="135"/>
    </row>
    <row r="51" spans="1:99">
      <c r="A51" s="342" t="s">
        <v>871</v>
      </c>
      <c r="B51" s="342" t="s">
        <v>123</v>
      </c>
      <c r="C51" s="342" t="s">
        <v>872</v>
      </c>
      <c r="D51" s="157">
        <v>0</v>
      </c>
      <c r="E51" s="157">
        <v>0</v>
      </c>
      <c r="F51" s="157">
        <v>20585.54</v>
      </c>
      <c r="G51" s="157">
        <v>1109897.43</v>
      </c>
      <c r="H51" s="157">
        <v>141410.01999999999</v>
      </c>
      <c r="I51" s="157">
        <v>224948.77</v>
      </c>
      <c r="J51" s="157">
        <v>274628.08</v>
      </c>
      <c r="K51" s="157">
        <v>235007.15</v>
      </c>
      <c r="L51" s="157">
        <v>23233.65</v>
      </c>
      <c r="M51" s="157">
        <v>474036.74</v>
      </c>
      <c r="N51" s="264">
        <v>8.6800000000000002E-2</v>
      </c>
      <c r="O51" s="265">
        <v>0.20269999999999999</v>
      </c>
      <c r="P51" s="157">
        <v>0</v>
      </c>
      <c r="Q51" s="396">
        <v>0</v>
      </c>
      <c r="R51" s="396">
        <v>0</v>
      </c>
      <c r="S51" s="397">
        <v>0</v>
      </c>
      <c r="T51" s="397">
        <v>0</v>
      </c>
      <c r="U51" s="397">
        <v>0</v>
      </c>
      <c r="V51" s="157">
        <v>0</v>
      </c>
      <c r="W51" s="397">
        <v>0</v>
      </c>
      <c r="X51" s="397">
        <v>0</v>
      </c>
      <c r="Y51" s="157">
        <v>880.78</v>
      </c>
      <c r="Z51" s="157">
        <v>0</v>
      </c>
      <c r="AA51" s="157">
        <v>0</v>
      </c>
      <c r="AB51" s="157">
        <v>0</v>
      </c>
      <c r="AC51" s="157">
        <v>534537.37</v>
      </c>
      <c r="AD51" s="157">
        <v>57.47</v>
      </c>
      <c r="AE51" s="157">
        <v>503653.53</v>
      </c>
      <c r="AF51" s="398">
        <f t="shared" si="42"/>
        <v>8763.7642248129468</v>
      </c>
      <c r="AG51" s="398">
        <f t="shared" si="43"/>
        <v>9301.154863406995</v>
      </c>
      <c r="AH51" s="399">
        <f t="shared" si="44"/>
        <v>537.39</v>
      </c>
      <c r="AI51" s="157">
        <v>0</v>
      </c>
      <c r="AJ51" s="157">
        <v>0</v>
      </c>
      <c r="AK51" s="398">
        <f t="shared" si="45"/>
        <v>0</v>
      </c>
      <c r="AL51" s="398">
        <f t="shared" si="46"/>
        <v>0</v>
      </c>
      <c r="AM51" s="399">
        <f t="shared" si="47"/>
        <v>0</v>
      </c>
      <c r="AN51" s="397">
        <v>0</v>
      </c>
      <c r="AO51" s="397">
        <v>0</v>
      </c>
      <c r="AP51" s="46"/>
      <c r="AQ51" s="402">
        <v>19144.580000000002</v>
      </c>
      <c r="AR51" s="274">
        <v>88935.75</v>
      </c>
      <c r="AS51" s="413">
        <v>33235.79</v>
      </c>
      <c r="AX51" s="2"/>
      <c r="BA51" s="342"/>
      <c r="BB51" s="342"/>
      <c r="BC51" s="342"/>
      <c r="BD51" s="386"/>
      <c r="BE51" s="386"/>
      <c r="BF51" s="386"/>
      <c r="BG51" s="386"/>
      <c r="BH51" s="386"/>
      <c r="BI51" s="386"/>
      <c r="BJ51" s="386"/>
      <c r="BK51" s="386"/>
      <c r="BL51" s="386"/>
      <c r="BM51" s="386"/>
      <c r="BN51" s="387"/>
      <c r="BO51" s="265"/>
      <c r="BP51" s="386"/>
      <c r="BQ51" s="388"/>
      <c r="BR51" s="388"/>
      <c r="BS51" s="389"/>
      <c r="BT51" s="389"/>
      <c r="BU51" s="389"/>
      <c r="BV51" s="386"/>
      <c r="BW51" s="389"/>
      <c r="BX51" s="389"/>
      <c r="BY51" s="386"/>
      <c r="BZ51" s="386"/>
      <c r="CA51" s="386"/>
      <c r="CB51" s="386"/>
      <c r="CC51" s="386"/>
      <c r="CD51" s="386"/>
      <c r="CE51" s="386"/>
      <c r="CF51" s="390"/>
      <c r="CG51" s="390"/>
      <c r="CH51" s="391"/>
      <c r="CI51" s="386"/>
      <c r="CJ51" s="386"/>
      <c r="CK51" s="390"/>
      <c r="CL51" s="390"/>
      <c r="CM51" s="391"/>
      <c r="CN51" s="389"/>
      <c r="CO51" s="389"/>
      <c r="CP51" s="135"/>
      <c r="CQ51" s="135"/>
      <c r="CR51" s="135"/>
      <c r="CS51" s="135"/>
      <c r="CT51" s="135"/>
      <c r="CU51" s="135"/>
    </row>
    <row r="52" spans="1:99">
      <c r="A52" s="342" t="s">
        <v>126</v>
      </c>
      <c r="B52" s="342" t="s">
        <v>125</v>
      </c>
      <c r="C52" s="342" t="s">
        <v>873</v>
      </c>
      <c r="D52" s="157">
        <v>0</v>
      </c>
      <c r="E52" s="157">
        <v>0</v>
      </c>
      <c r="F52" s="157">
        <v>0</v>
      </c>
      <c r="G52" s="157">
        <v>2442474.89</v>
      </c>
      <c r="H52" s="157">
        <v>568752.79</v>
      </c>
      <c r="I52" s="157">
        <v>347541.04</v>
      </c>
      <c r="J52" s="157">
        <v>597115.31999999995</v>
      </c>
      <c r="K52" s="157">
        <v>19960.38</v>
      </c>
      <c r="L52" s="157">
        <v>52141.86</v>
      </c>
      <c r="M52" s="157">
        <v>1570935.91</v>
      </c>
      <c r="N52" s="264">
        <v>2.3699999999999999E-2</v>
      </c>
      <c r="O52" s="265">
        <v>0.1802</v>
      </c>
      <c r="P52" s="157">
        <v>0</v>
      </c>
      <c r="Q52" s="396">
        <v>0</v>
      </c>
      <c r="R52" s="396">
        <v>0</v>
      </c>
      <c r="S52" s="397">
        <v>0</v>
      </c>
      <c r="T52" s="397">
        <v>0</v>
      </c>
      <c r="U52" s="397">
        <v>0</v>
      </c>
      <c r="V52" s="157">
        <v>0</v>
      </c>
      <c r="W52" s="397">
        <v>0</v>
      </c>
      <c r="X52" s="397">
        <v>0</v>
      </c>
      <c r="Y52" s="157">
        <v>1899.15</v>
      </c>
      <c r="Z52" s="157">
        <v>0</v>
      </c>
      <c r="AA52" s="157">
        <v>0</v>
      </c>
      <c r="AB52" s="157">
        <v>118092.03</v>
      </c>
      <c r="AC52" s="157">
        <v>1057694.71</v>
      </c>
      <c r="AD52" s="157">
        <v>110.88</v>
      </c>
      <c r="AE52" s="157">
        <v>971594.18</v>
      </c>
      <c r="AF52" s="398">
        <f t="shared" si="42"/>
        <v>8762.5737734487739</v>
      </c>
      <c r="AG52" s="398">
        <f t="shared" si="43"/>
        <v>9539.0937049062049</v>
      </c>
      <c r="AH52" s="399">
        <f t="shared" si="44"/>
        <v>776.52</v>
      </c>
      <c r="AI52" s="157">
        <v>12.88</v>
      </c>
      <c r="AJ52" s="157">
        <v>109537.62</v>
      </c>
      <c r="AK52" s="398">
        <f t="shared" si="45"/>
        <v>8504.4736024844715</v>
      </c>
      <c r="AL52" s="398">
        <f t="shared" si="46"/>
        <v>9168.6358695652161</v>
      </c>
      <c r="AM52" s="399">
        <f t="shared" si="47"/>
        <v>664.16</v>
      </c>
      <c r="AN52" s="397">
        <v>0</v>
      </c>
      <c r="AO52" s="397">
        <v>0</v>
      </c>
      <c r="AP52" s="46"/>
      <c r="AQ52" s="402">
        <v>0</v>
      </c>
      <c r="AR52" s="274">
        <v>175770.70000000004</v>
      </c>
      <c r="AS52" s="413">
        <v>36117.9</v>
      </c>
      <c r="AX52" s="2"/>
      <c r="BA52" s="342"/>
      <c r="BB52" s="342"/>
      <c r="BC52" s="342"/>
      <c r="BD52" s="386"/>
      <c r="BE52" s="386"/>
      <c r="BF52" s="386"/>
      <c r="BG52" s="386"/>
      <c r="BH52" s="386"/>
      <c r="BI52" s="386"/>
      <c r="BJ52" s="386"/>
      <c r="BK52" s="386"/>
      <c r="BL52" s="386"/>
      <c r="BM52" s="386"/>
      <c r="BN52" s="387"/>
      <c r="BO52" s="265"/>
      <c r="BP52" s="386"/>
      <c r="BQ52" s="388"/>
      <c r="BR52" s="388"/>
      <c r="BS52" s="389"/>
      <c r="BT52" s="389"/>
      <c r="BU52" s="389"/>
      <c r="BV52" s="386"/>
      <c r="BW52" s="389"/>
      <c r="BX52" s="389"/>
      <c r="BY52" s="386"/>
      <c r="BZ52" s="386"/>
      <c r="CA52" s="386"/>
      <c r="CB52" s="386"/>
      <c r="CC52" s="386"/>
      <c r="CD52" s="386"/>
      <c r="CE52" s="386"/>
      <c r="CF52" s="390"/>
      <c r="CG52" s="390"/>
      <c r="CH52" s="391"/>
      <c r="CI52" s="386"/>
      <c r="CJ52" s="386"/>
      <c r="CK52" s="390"/>
      <c r="CL52" s="390"/>
      <c r="CM52" s="391"/>
      <c r="CN52" s="389"/>
      <c r="CO52" s="389"/>
      <c r="CP52" s="135"/>
      <c r="CQ52" s="135"/>
      <c r="CR52" s="135"/>
      <c r="CS52" s="135"/>
      <c r="CT52" s="135"/>
      <c r="CU52" s="135"/>
    </row>
    <row r="53" spans="1:99">
      <c r="A53" s="342" t="s">
        <v>128</v>
      </c>
      <c r="B53" s="342" t="s">
        <v>127</v>
      </c>
      <c r="C53" s="342" t="s">
        <v>874</v>
      </c>
      <c r="D53" s="157">
        <v>0</v>
      </c>
      <c r="E53" s="157">
        <v>14951.67</v>
      </c>
      <c r="F53" s="157">
        <v>15703.84</v>
      </c>
      <c r="G53" s="157">
        <v>790784.4</v>
      </c>
      <c r="H53" s="157">
        <v>180012.28</v>
      </c>
      <c r="I53" s="157">
        <v>162499.95000000001</v>
      </c>
      <c r="J53" s="157">
        <v>249524.91</v>
      </c>
      <c r="K53" s="157">
        <v>0</v>
      </c>
      <c r="L53" s="157">
        <v>16238.57</v>
      </c>
      <c r="M53" s="157">
        <v>765311.85</v>
      </c>
      <c r="N53" s="264">
        <v>5.3100000000000001E-2</v>
      </c>
      <c r="O53" s="265">
        <v>0.22289999999999999</v>
      </c>
      <c r="P53" s="157">
        <v>0</v>
      </c>
      <c r="Q53" s="396">
        <v>0</v>
      </c>
      <c r="R53" s="396">
        <v>0</v>
      </c>
      <c r="S53" s="397">
        <v>0</v>
      </c>
      <c r="T53" s="397">
        <v>0</v>
      </c>
      <c r="U53" s="397">
        <v>0</v>
      </c>
      <c r="V53" s="157">
        <v>0</v>
      </c>
      <c r="W53" s="397">
        <v>0</v>
      </c>
      <c r="X53" s="397">
        <v>0</v>
      </c>
      <c r="Y53" s="157">
        <v>0</v>
      </c>
      <c r="Z53" s="157">
        <v>1584.58</v>
      </c>
      <c r="AA53" s="157">
        <v>496.28</v>
      </c>
      <c r="AB53" s="157">
        <v>48825.23</v>
      </c>
      <c r="AC53" s="157">
        <v>336484.18</v>
      </c>
      <c r="AD53" s="157">
        <v>30.7</v>
      </c>
      <c r="AE53" s="157">
        <v>285748.42</v>
      </c>
      <c r="AF53" s="398">
        <f t="shared" si="42"/>
        <v>9307.7661237785014</v>
      </c>
      <c r="AG53" s="398">
        <f t="shared" si="43"/>
        <v>10960.39674267101</v>
      </c>
      <c r="AH53" s="399">
        <f t="shared" si="44"/>
        <v>1652.63</v>
      </c>
      <c r="AI53" s="157">
        <v>5.01</v>
      </c>
      <c r="AJ53" s="157">
        <v>45342.9</v>
      </c>
      <c r="AK53" s="398">
        <f t="shared" si="45"/>
        <v>9050.4790419161691</v>
      </c>
      <c r="AL53" s="398">
        <f t="shared" si="46"/>
        <v>9745.5548902195624</v>
      </c>
      <c r="AM53" s="399">
        <f t="shared" si="47"/>
        <v>695.08</v>
      </c>
      <c r="AN53" s="397">
        <v>3391.15</v>
      </c>
      <c r="AO53" s="397">
        <v>0</v>
      </c>
      <c r="AP53" s="46"/>
      <c r="AQ53" s="402">
        <v>9298.1800000000294</v>
      </c>
      <c r="AR53" s="274">
        <v>67374.430000000008</v>
      </c>
      <c r="AS53" s="413">
        <v>29081.16</v>
      </c>
      <c r="AX53" s="2"/>
      <c r="BA53" s="342"/>
      <c r="BB53" s="342"/>
      <c r="BC53" s="342"/>
      <c r="BD53" s="386"/>
      <c r="BE53" s="386"/>
      <c r="BF53" s="386"/>
      <c r="BG53" s="386"/>
      <c r="BH53" s="386"/>
      <c r="BI53" s="386"/>
      <c r="BJ53" s="386"/>
      <c r="BK53" s="386"/>
      <c r="BL53" s="386"/>
      <c r="BM53" s="386"/>
      <c r="BN53" s="387"/>
      <c r="BO53" s="265"/>
      <c r="BP53" s="386"/>
      <c r="BQ53" s="388"/>
      <c r="BR53" s="388"/>
      <c r="BS53" s="389"/>
      <c r="BT53" s="389"/>
      <c r="BU53" s="389"/>
      <c r="BV53" s="386"/>
      <c r="BW53" s="389"/>
      <c r="BX53" s="389"/>
      <c r="BY53" s="386"/>
      <c r="BZ53" s="386"/>
      <c r="CA53" s="386"/>
      <c r="CB53" s="386"/>
      <c r="CC53" s="386"/>
      <c r="CD53" s="386"/>
      <c r="CE53" s="386"/>
      <c r="CF53" s="390"/>
      <c r="CG53" s="390"/>
      <c r="CH53" s="391"/>
      <c r="CI53" s="386"/>
      <c r="CJ53" s="386"/>
      <c r="CK53" s="390"/>
      <c r="CL53" s="390"/>
      <c r="CM53" s="391"/>
      <c r="CN53" s="389"/>
      <c r="CO53" s="389"/>
      <c r="CP53" s="135"/>
      <c r="CQ53" s="135"/>
      <c r="CR53" s="135"/>
      <c r="CS53" s="135"/>
      <c r="CT53" s="135"/>
      <c r="CU53" s="135"/>
    </row>
    <row r="54" spans="1:99">
      <c r="A54" s="342" t="s">
        <v>130</v>
      </c>
      <c r="B54" s="342" t="s">
        <v>129</v>
      </c>
      <c r="C54" s="342" t="s">
        <v>875</v>
      </c>
      <c r="D54" s="157">
        <v>0</v>
      </c>
      <c r="E54" s="157">
        <v>0</v>
      </c>
      <c r="F54" s="157">
        <v>0</v>
      </c>
      <c r="G54" s="157">
        <v>462721.5</v>
      </c>
      <c r="H54" s="157">
        <v>51977.56</v>
      </c>
      <c r="I54" s="157">
        <v>0</v>
      </c>
      <c r="J54" s="157">
        <v>63962.46</v>
      </c>
      <c r="K54" s="157">
        <v>52356.52</v>
      </c>
      <c r="L54" s="157">
        <v>14405.95</v>
      </c>
      <c r="M54" s="157">
        <v>283716.63</v>
      </c>
      <c r="N54" s="264">
        <v>2.8400000000000002E-2</v>
      </c>
      <c r="O54" s="265">
        <v>0.18049999999999999</v>
      </c>
      <c r="P54" s="157">
        <v>0</v>
      </c>
      <c r="Q54" s="396">
        <v>0</v>
      </c>
      <c r="R54" s="396">
        <v>0</v>
      </c>
      <c r="S54" s="397">
        <v>0</v>
      </c>
      <c r="T54" s="397">
        <v>0</v>
      </c>
      <c r="U54" s="397">
        <v>0</v>
      </c>
      <c r="V54" s="157">
        <v>0</v>
      </c>
      <c r="W54" s="397">
        <v>0</v>
      </c>
      <c r="X54" s="397">
        <v>0</v>
      </c>
      <c r="Y54" s="157">
        <v>528.91999999999996</v>
      </c>
      <c r="Z54" s="157">
        <v>0</v>
      </c>
      <c r="AA54" s="157">
        <v>0</v>
      </c>
      <c r="AB54" s="157">
        <v>0</v>
      </c>
      <c r="AC54" s="157">
        <v>0</v>
      </c>
      <c r="AD54" s="157">
        <v>0</v>
      </c>
      <c r="AE54" s="157">
        <v>0</v>
      </c>
      <c r="AF54" s="398">
        <f t="shared" si="42"/>
        <v>0</v>
      </c>
      <c r="AG54" s="398">
        <f t="shared" si="43"/>
        <v>0</v>
      </c>
      <c r="AH54" s="399">
        <f t="shared" si="44"/>
        <v>0</v>
      </c>
      <c r="AI54" s="157">
        <v>0</v>
      </c>
      <c r="AJ54" s="157">
        <v>0</v>
      </c>
      <c r="AK54" s="398">
        <f t="shared" si="45"/>
        <v>0</v>
      </c>
      <c r="AL54" s="398">
        <f t="shared" si="46"/>
        <v>0</v>
      </c>
      <c r="AM54" s="399">
        <f t="shared" si="47"/>
        <v>0</v>
      </c>
      <c r="AN54" s="397">
        <v>0</v>
      </c>
      <c r="AO54" s="397">
        <v>0</v>
      </c>
      <c r="AP54" s="46"/>
      <c r="AQ54" s="402">
        <v>0</v>
      </c>
      <c r="AR54" s="274">
        <v>47456.54</v>
      </c>
      <c r="AS54" s="413">
        <v>24528.66</v>
      </c>
      <c r="AX54" s="2"/>
      <c r="BA54" s="342"/>
      <c r="BB54" s="342"/>
      <c r="BC54" s="342"/>
      <c r="BD54" s="386"/>
      <c r="BE54" s="386"/>
      <c r="BF54" s="386"/>
      <c r="BG54" s="386"/>
      <c r="BH54" s="386"/>
      <c r="BI54" s="386"/>
      <c r="BJ54" s="386"/>
      <c r="BK54" s="386"/>
      <c r="BL54" s="386"/>
      <c r="BM54" s="386"/>
      <c r="BN54" s="387"/>
      <c r="BO54" s="265"/>
      <c r="BP54" s="386"/>
      <c r="BQ54" s="388"/>
      <c r="BR54" s="388"/>
      <c r="BS54" s="389"/>
      <c r="BT54" s="389"/>
      <c r="BU54" s="389"/>
      <c r="BV54" s="386"/>
      <c r="BW54" s="389"/>
      <c r="BX54" s="389"/>
      <c r="BY54" s="386"/>
      <c r="BZ54" s="386"/>
      <c r="CA54" s="386"/>
      <c r="CB54" s="386"/>
      <c r="CC54" s="386"/>
      <c r="CD54" s="386"/>
      <c r="CE54" s="386"/>
      <c r="CF54" s="390"/>
      <c r="CG54" s="390"/>
      <c r="CH54" s="391"/>
      <c r="CI54" s="386"/>
      <c r="CJ54" s="386"/>
      <c r="CK54" s="390"/>
      <c r="CL54" s="390"/>
      <c r="CM54" s="391"/>
      <c r="CN54" s="389"/>
      <c r="CO54" s="389"/>
      <c r="CP54" s="135"/>
      <c r="CQ54" s="135"/>
      <c r="CR54" s="135"/>
      <c r="CS54" s="135"/>
      <c r="CT54" s="135"/>
      <c r="CU54" s="135"/>
    </row>
    <row r="55" spans="1:99">
      <c r="A55" s="342" t="s">
        <v>132</v>
      </c>
      <c r="B55" s="342" t="s">
        <v>131</v>
      </c>
      <c r="C55" s="342" t="s">
        <v>876</v>
      </c>
      <c r="D55" s="157">
        <v>0</v>
      </c>
      <c r="E55" s="157">
        <v>1971.16</v>
      </c>
      <c r="F55" s="157">
        <v>0</v>
      </c>
      <c r="G55" s="157">
        <v>390985.62</v>
      </c>
      <c r="H55" s="157">
        <v>45011.3</v>
      </c>
      <c r="I55" s="157">
        <v>0</v>
      </c>
      <c r="J55" s="157">
        <v>45621.07</v>
      </c>
      <c r="K55" s="157">
        <v>1319.55</v>
      </c>
      <c r="L55" s="157">
        <v>5275.91</v>
      </c>
      <c r="M55" s="157">
        <v>51876.160000000003</v>
      </c>
      <c r="N55" s="264">
        <v>4.3900000000000002E-2</v>
      </c>
      <c r="O55" s="265">
        <v>0.29210000000000003</v>
      </c>
      <c r="P55" s="157">
        <v>0</v>
      </c>
      <c r="Q55" s="396">
        <v>0</v>
      </c>
      <c r="R55" s="396">
        <v>0</v>
      </c>
      <c r="S55" s="397">
        <v>0</v>
      </c>
      <c r="T55" s="397">
        <v>0</v>
      </c>
      <c r="U55" s="397">
        <v>0</v>
      </c>
      <c r="V55" s="157">
        <v>0</v>
      </c>
      <c r="W55" s="397">
        <v>0</v>
      </c>
      <c r="X55" s="397">
        <v>0</v>
      </c>
      <c r="Y55" s="157">
        <v>0</v>
      </c>
      <c r="Z55" s="157">
        <v>0</v>
      </c>
      <c r="AA55" s="157">
        <v>0</v>
      </c>
      <c r="AB55" s="157">
        <v>0</v>
      </c>
      <c r="AC55" s="157">
        <v>0</v>
      </c>
      <c r="AD55" s="157">
        <v>0</v>
      </c>
      <c r="AE55" s="157">
        <v>0</v>
      </c>
      <c r="AF55" s="398">
        <f t="shared" si="42"/>
        <v>0</v>
      </c>
      <c r="AG55" s="398">
        <f t="shared" si="43"/>
        <v>0</v>
      </c>
      <c r="AH55" s="399">
        <f t="shared" si="44"/>
        <v>0</v>
      </c>
      <c r="AI55" s="157">
        <v>0</v>
      </c>
      <c r="AJ55" s="157">
        <v>0</v>
      </c>
      <c r="AK55" s="398">
        <f t="shared" si="45"/>
        <v>0</v>
      </c>
      <c r="AL55" s="398">
        <f t="shared" si="46"/>
        <v>0</v>
      </c>
      <c r="AM55" s="399">
        <f t="shared" si="47"/>
        <v>0</v>
      </c>
      <c r="AN55" s="397">
        <v>4500</v>
      </c>
      <c r="AO55" s="397">
        <v>0</v>
      </c>
      <c r="AP55" s="46"/>
      <c r="AQ55" s="402">
        <v>11956.489999999998</v>
      </c>
      <c r="AR55" s="274">
        <v>20557.11</v>
      </c>
      <c r="AS55" s="413">
        <v>15204.77</v>
      </c>
      <c r="AX55" s="2"/>
      <c r="BA55" s="342"/>
      <c r="BB55" s="342"/>
      <c r="BC55" s="342"/>
      <c r="BD55" s="386"/>
      <c r="BE55" s="386"/>
      <c r="BF55" s="386"/>
      <c r="BG55" s="386"/>
      <c r="BH55" s="386"/>
      <c r="BI55" s="386"/>
      <c r="BJ55" s="386"/>
      <c r="BK55" s="386"/>
      <c r="BL55" s="386"/>
      <c r="BM55" s="386"/>
      <c r="BN55" s="387"/>
      <c r="BO55" s="265"/>
      <c r="BP55" s="386"/>
      <c r="BQ55" s="388"/>
      <c r="BR55" s="388"/>
      <c r="BS55" s="389"/>
      <c r="BT55" s="389"/>
      <c r="BU55" s="389"/>
      <c r="BV55" s="386"/>
      <c r="BW55" s="389"/>
      <c r="BX55" s="389"/>
      <c r="BY55" s="386"/>
      <c r="BZ55" s="386"/>
      <c r="CA55" s="386"/>
      <c r="CB55" s="386"/>
      <c r="CC55" s="386"/>
      <c r="CD55" s="386"/>
      <c r="CE55" s="386"/>
      <c r="CF55" s="390"/>
      <c r="CG55" s="390"/>
      <c r="CH55" s="391"/>
      <c r="CI55" s="386"/>
      <c r="CJ55" s="386"/>
      <c r="CK55" s="390"/>
      <c r="CL55" s="390"/>
      <c r="CM55" s="391"/>
      <c r="CN55" s="389"/>
      <c r="CO55" s="389"/>
      <c r="CP55" s="135"/>
      <c r="CQ55" s="135"/>
      <c r="CR55" s="135"/>
      <c r="CS55" s="135"/>
      <c r="CT55" s="135"/>
      <c r="CU55" s="135"/>
    </row>
    <row r="56" spans="1:99">
      <c r="A56" s="342" t="s">
        <v>877</v>
      </c>
      <c r="B56" s="342" t="s">
        <v>133</v>
      </c>
      <c r="C56" s="342" t="s">
        <v>878</v>
      </c>
      <c r="D56" s="157">
        <v>0</v>
      </c>
      <c r="E56" s="157">
        <v>5860.3</v>
      </c>
      <c r="F56" s="157">
        <v>0</v>
      </c>
      <c r="G56" s="157">
        <v>244262.3</v>
      </c>
      <c r="H56" s="157">
        <v>54471.34</v>
      </c>
      <c r="I56" s="157">
        <v>0</v>
      </c>
      <c r="J56" s="157">
        <v>57207.38</v>
      </c>
      <c r="K56" s="157">
        <v>0</v>
      </c>
      <c r="L56" s="157">
        <v>5896.6</v>
      </c>
      <c r="M56" s="157">
        <v>380920.19</v>
      </c>
      <c r="N56" s="264">
        <v>4.2000000000000003E-2</v>
      </c>
      <c r="O56" s="265">
        <v>0.18940000000000001</v>
      </c>
      <c r="P56" s="157">
        <v>0</v>
      </c>
      <c r="Q56" s="396">
        <v>0</v>
      </c>
      <c r="R56" s="396">
        <v>0</v>
      </c>
      <c r="S56" s="397">
        <v>0</v>
      </c>
      <c r="T56" s="397">
        <v>0</v>
      </c>
      <c r="U56" s="397">
        <v>0</v>
      </c>
      <c r="V56" s="157">
        <v>0</v>
      </c>
      <c r="W56" s="397">
        <v>0</v>
      </c>
      <c r="X56" s="397">
        <v>0</v>
      </c>
      <c r="Y56" s="157">
        <v>201.87</v>
      </c>
      <c r="Z56" s="157">
        <v>0</v>
      </c>
      <c r="AA56" s="157">
        <v>0</v>
      </c>
      <c r="AB56" s="157">
        <v>0</v>
      </c>
      <c r="AC56" s="157">
        <v>121230.43</v>
      </c>
      <c r="AD56" s="157">
        <v>13.49</v>
      </c>
      <c r="AE56" s="157">
        <v>115795.1</v>
      </c>
      <c r="AF56" s="398">
        <f t="shared" si="42"/>
        <v>8583.7731653076353</v>
      </c>
      <c r="AG56" s="398">
        <f t="shared" si="43"/>
        <v>8986.6886582653806</v>
      </c>
      <c r="AH56" s="399">
        <f t="shared" si="44"/>
        <v>402.92</v>
      </c>
      <c r="AI56" s="157">
        <v>0</v>
      </c>
      <c r="AJ56" s="157">
        <v>0</v>
      </c>
      <c r="AK56" s="398">
        <f t="shared" si="45"/>
        <v>0</v>
      </c>
      <c r="AL56" s="398">
        <f t="shared" si="46"/>
        <v>0</v>
      </c>
      <c r="AM56" s="399">
        <f t="shared" si="47"/>
        <v>0</v>
      </c>
      <c r="AN56" s="397">
        <v>500</v>
      </c>
      <c r="AO56" s="397">
        <v>0</v>
      </c>
      <c r="AP56" s="46"/>
      <c r="AQ56" s="402">
        <v>379.55999999999767</v>
      </c>
      <c r="AR56" s="274">
        <v>27724.01</v>
      </c>
      <c r="AS56" s="413">
        <v>15723.650000000001</v>
      </c>
      <c r="AX56" s="2"/>
      <c r="BA56" s="342"/>
      <c r="BB56" s="342"/>
      <c r="BC56" s="342"/>
      <c r="BD56" s="386"/>
      <c r="BE56" s="386"/>
      <c r="BF56" s="386"/>
      <c r="BG56" s="386"/>
      <c r="BH56" s="386"/>
      <c r="BI56" s="386"/>
      <c r="BJ56" s="386"/>
      <c r="BK56" s="386"/>
      <c r="BL56" s="386"/>
      <c r="BM56" s="386"/>
      <c r="BN56" s="387"/>
      <c r="BO56" s="265"/>
      <c r="BP56" s="386"/>
      <c r="BQ56" s="388"/>
      <c r="BR56" s="388"/>
      <c r="BS56" s="389"/>
      <c r="BT56" s="389"/>
      <c r="BU56" s="389"/>
      <c r="BV56" s="386"/>
      <c r="BW56" s="389"/>
      <c r="BX56" s="389"/>
      <c r="BY56" s="386"/>
      <c r="BZ56" s="386"/>
      <c r="CA56" s="386"/>
      <c r="CB56" s="386"/>
      <c r="CC56" s="386"/>
      <c r="CD56" s="386"/>
      <c r="CE56" s="386"/>
      <c r="CF56" s="390"/>
      <c r="CG56" s="390"/>
      <c r="CH56" s="391"/>
      <c r="CI56" s="386"/>
      <c r="CJ56" s="386"/>
      <c r="CK56" s="390"/>
      <c r="CL56" s="390"/>
      <c r="CM56" s="391"/>
      <c r="CN56" s="389"/>
      <c r="CO56" s="389"/>
      <c r="CP56" s="135"/>
      <c r="CQ56" s="135"/>
      <c r="CR56" s="135"/>
      <c r="CS56" s="135"/>
      <c r="CT56" s="135"/>
      <c r="CU56" s="135"/>
    </row>
    <row r="57" spans="1:99">
      <c r="A57" s="342" t="s">
        <v>136</v>
      </c>
      <c r="B57" s="342" t="s">
        <v>135</v>
      </c>
      <c r="C57" s="342" t="s">
        <v>879</v>
      </c>
      <c r="D57" s="157">
        <v>0</v>
      </c>
      <c r="E57" s="157">
        <v>0</v>
      </c>
      <c r="F57" s="157">
        <v>0</v>
      </c>
      <c r="G57" s="157">
        <v>1849980.77</v>
      </c>
      <c r="H57" s="157">
        <v>321943.96999999997</v>
      </c>
      <c r="I57" s="157">
        <v>0</v>
      </c>
      <c r="J57" s="157">
        <v>242083.44</v>
      </c>
      <c r="K57" s="157">
        <v>62508.49</v>
      </c>
      <c r="L57" s="157">
        <v>34566.49</v>
      </c>
      <c r="M57" s="157">
        <v>625171.56000000006</v>
      </c>
      <c r="N57" s="264">
        <v>5.7599999999999998E-2</v>
      </c>
      <c r="O57" s="265">
        <v>0.21590000000000001</v>
      </c>
      <c r="P57" s="157">
        <v>0</v>
      </c>
      <c r="Q57" s="396">
        <v>0</v>
      </c>
      <c r="R57" s="396">
        <v>0</v>
      </c>
      <c r="S57" s="397">
        <v>156080.17000000001</v>
      </c>
      <c r="T57" s="397">
        <v>0</v>
      </c>
      <c r="U57" s="397">
        <v>6240.84</v>
      </c>
      <c r="V57" s="157">
        <v>0</v>
      </c>
      <c r="W57" s="397">
        <v>0</v>
      </c>
      <c r="X57" s="397">
        <v>0</v>
      </c>
      <c r="Y57" s="157">
        <v>791.69</v>
      </c>
      <c r="Z57" s="157">
        <v>0</v>
      </c>
      <c r="AA57" s="157">
        <v>0</v>
      </c>
      <c r="AB57" s="157">
        <v>49262.73</v>
      </c>
      <c r="AC57" s="157">
        <v>154672.9</v>
      </c>
      <c r="AD57" s="157">
        <v>13.75</v>
      </c>
      <c r="AE57" s="157">
        <v>130163.67</v>
      </c>
      <c r="AF57" s="398">
        <f t="shared" si="42"/>
        <v>9466.4487272727274</v>
      </c>
      <c r="AG57" s="398">
        <f t="shared" si="43"/>
        <v>11248.938181818181</v>
      </c>
      <c r="AH57" s="399">
        <f t="shared" si="44"/>
        <v>1782.49</v>
      </c>
      <c r="AI57" s="157">
        <v>4.95</v>
      </c>
      <c r="AJ57" s="157">
        <v>45669.06</v>
      </c>
      <c r="AK57" s="398">
        <f t="shared" si="45"/>
        <v>9226.0727272727272</v>
      </c>
      <c r="AL57" s="398">
        <f t="shared" si="46"/>
        <v>9952.0666666666675</v>
      </c>
      <c r="AM57" s="399">
        <f t="shared" si="47"/>
        <v>725.99</v>
      </c>
      <c r="AN57" s="397">
        <v>0</v>
      </c>
      <c r="AO57" s="397">
        <v>0</v>
      </c>
      <c r="AP57" s="46"/>
      <c r="AQ57" s="402">
        <v>33404.969999999958</v>
      </c>
      <c r="AR57" s="274">
        <v>107589.47</v>
      </c>
      <c r="AS57" s="413">
        <v>39375.18</v>
      </c>
      <c r="AX57" s="2"/>
      <c r="BA57" s="342"/>
      <c r="BB57" s="342"/>
      <c r="BC57" s="342"/>
      <c r="BD57" s="386"/>
      <c r="BE57" s="386"/>
      <c r="BF57" s="386"/>
      <c r="BG57" s="386"/>
      <c r="BH57" s="386"/>
      <c r="BI57" s="386"/>
      <c r="BJ57" s="386"/>
      <c r="BK57" s="386"/>
      <c r="BL57" s="386"/>
      <c r="BM57" s="386"/>
      <c r="BN57" s="387"/>
      <c r="BO57" s="265"/>
      <c r="BP57" s="386"/>
      <c r="BQ57" s="388"/>
      <c r="BR57" s="388"/>
      <c r="BS57" s="389"/>
      <c r="BT57" s="389"/>
      <c r="BU57" s="389"/>
      <c r="BV57" s="386"/>
      <c r="BW57" s="389"/>
      <c r="BX57" s="389"/>
      <c r="BY57" s="386"/>
      <c r="BZ57" s="386"/>
      <c r="CA57" s="386"/>
      <c r="CB57" s="386"/>
      <c r="CC57" s="386"/>
      <c r="CD57" s="386"/>
      <c r="CE57" s="386"/>
      <c r="CF57" s="390"/>
      <c r="CG57" s="390"/>
      <c r="CH57" s="391"/>
      <c r="CI57" s="386"/>
      <c r="CJ57" s="386"/>
      <c r="CK57" s="390"/>
      <c r="CL57" s="390"/>
      <c r="CM57" s="391"/>
      <c r="CN57" s="389"/>
      <c r="CO57" s="389"/>
      <c r="CP57" s="135"/>
      <c r="CQ57" s="135"/>
      <c r="CR57" s="135"/>
      <c r="CS57" s="135"/>
      <c r="CT57" s="135"/>
      <c r="CU57" s="135"/>
    </row>
    <row r="58" spans="1:99">
      <c r="A58" s="342" t="s">
        <v>138</v>
      </c>
      <c r="B58" s="342" t="s">
        <v>137</v>
      </c>
      <c r="C58" s="342" t="s">
        <v>880</v>
      </c>
      <c r="D58" s="157">
        <v>0</v>
      </c>
      <c r="E58" s="157">
        <v>0</v>
      </c>
      <c r="F58" s="157">
        <v>0</v>
      </c>
      <c r="G58" s="157">
        <v>341138.21</v>
      </c>
      <c r="H58" s="157">
        <v>55628.12</v>
      </c>
      <c r="I58" s="157">
        <v>66931.600000000006</v>
      </c>
      <c r="J58" s="157">
        <v>121345.84</v>
      </c>
      <c r="K58" s="157">
        <v>0</v>
      </c>
      <c r="L58" s="157">
        <v>9931.11</v>
      </c>
      <c r="M58" s="157">
        <v>157635.34</v>
      </c>
      <c r="N58" s="264">
        <v>1.8100000000000002E-2</v>
      </c>
      <c r="O58" s="265">
        <v>0.2233</v>
      </c>
      <c r="P58" s="157">
        <v>0</v>
      </c>
      <c r="Q58" s="396">
        <v>0</v>
      </c>
      <c r="R58" s="396">
        <v>0</v>
      </c>
      <c r="S58" s="397">
        <v>0</v>
      </c>
      <c r="T58" s="397">
        <v>0</v>
      </c>
      <c r="U58" s="397">
        <v>0</v>
      </c>
      <c r="V58" s="157">
        <v>0</v>
      </c>
      <c r="W58" s="397">
        <v>0</v>
      </c>
      <c r="X58" s="397">
        <v>0</v>
      </c>
      <c r="Y58" s="157">
        <v>382.31</v>
      </c>
      <c r="Z58" s="157">
        <v>0</v>
      </c>
      <c r="AA58" s="157">
        <v>1717.63</v>
      </c>
      <c r="AB58" s="157">
        <v>0</v>
      </c>
      <c r="AC58" s="157">
        <v>54133.89</v>
      </c>
      <c r="AD58" s="157">
        <v>5.44</v>
      </c>
      <c r="AE58" s="157">
        <v>46704.959999999999</v>
      </c>
      <c r="AF58" s="398">
        <f t="shared" si="42"/>
        <v>8585.4705882352937</v>
      </c>
      <c r="AG58" s="398">
        <f t="shared" si="43"/>
        <v>9951.0827205882342</v>
      </c>
      <c r="AH58" s="399">
        <f t="shared" si="44"/>
        <v>1365.61</v>
      </c>
      <c r="AI58" s="157">
        <v>0</v>
      </c>
      <c r="AJ58" s="157">
        <v>0</v>
      </c>
      <c r="AK58" s="398">
        <f t="shared" si="45"/>
        <v>0</v>
      </c>
      <c r="AL58" s="398">
        <f t="shared" si="46"/>
        <v>0</v>
      </c>
      <c r="AM58" s="399">
        <f t="shared" si="47"/>
        <v>0</v>
      </c>
      <c r="AN58" s="397">
        <v>0</v>
      </c>
      <c r="AO58" s="397">
        <v>0</v>
      </c>
      <c r="AP58" s="46"/>
      <c r="AQ58" s="402">
        <v>0</v>
      </c>
      <c r="AR58" s="274">
        <v>31417.78</v>
      </c>
      <c r="AS58" s="413">
        <v>16665.259999999998</v>
      </c>
      <c r="AX58" s="2"/>
      <c r="BA58" s="342"/>
      <c r="BB58" s="342"/>
      <c r="BC58" s="342"/>
      <c r="BD58" s="386"/>
      <c r="BE58" s="386"/>
      <c r="BF58" s="386"/>
      <c r="BG58" s="386"/>
      <c r="BH58" s="386"/>
      <c r="BI58" s="386"/>
      <c r="BJ58" s="386"/>
      <c r="BK58" s="386"/>
      <c r="BL58" s="386"/>
      <c r="BM58" s="386"/>
      <c r="BN58" s="387"/>
      <c r="BO58" s="265"/>
      <c r="BP58" s="386"/>
      <c r="BQ58" s="388"/>
      <c r="BR58" s="388"/>
      <c r="BS58" s="389"/>
      <c r="BT58" s="389"/>
      <c r="BU58" s="389"/>
      <c r="BV58" s="386"/>
      <c r="BW58" s="389"/>
      <c r="BX58" s="389"/>
      <c r="BY58" s="386"/>
      <c r="BZ58" s="386"/>
      <c r="CA58" s="386"/>
      <c r="CB58" s="386"/>
      <c r="CC58" s="386"/>
      <c r="CD58" s="386"/>
      <c r="CE58" s="386"/>
      <c r="CF58" s="390"/>
      <c r="CG58" s="390"/>
      <c r="CH58" s="391"/>
      <c r="CI58" s="386"/>
      <c r="CJ58" s="386"/>
      <c r="CK58" s="390"/>
      <c r="CL58" s="390"/>
      <c r="CM58" s="391"/>
      <c r="CN58" s="389"/>
      <c r="CO58" s="389"/>
      <c r="CP58" s="135"/>
      <c r="CQ58" s="135"/>
      <c r="CR58" s="135"/>
      <c r="CS58" s="135"/>
      <c r="CT58" s="135"/>
      <c r="CU58" s="135"/>
    </row>
    <row r="59" spans="1:99">
      <c r="A59" s="342" t="s">
        <v>140</v>
      </c>
      <c r="B59" s="342" t="s">
        <v>139</v>
      </c>
      <c r="C59" s="342" t="s">
        <v>881</v>
      </c>
      <c r="D59" s="157">
        <v>0</v>
      </c>
      <c r="E59" s="157">
        <v>0</v>
      </c>
      <c r="F59" s="157">
        <v>0</v>
      </c>
      <c r="G59" s="157">
        <v>134530.60999999999</v>
      </c>
      <c r="H59" s="157">
        <v>25793</v>
      </c>
      <c r="I59" s="157">
        <v>0</v>
      </c>
      <c r="J59" s="157">
        <v>29122.36</v>
      </c>
      <c r="K59" s="157">
        <v>0</v>
      </c>
      <c r="L59" s="157">
        <v>0</v>
      </c>
      <c r="M59" s="157">
        <v>566496.28</v>
      </c>
      <c r="N59" s="264">
        <v>6.9199999999999998E-2</v>
      </c>
      <c r="O59" s="265">
        <v>0.2944</v>
      </c>
      <c r="P59" s="157">
        <v>0</v>
      </c>
      <c r="Q59" s="396">
        <v>0</v>
      </c>
      <c r="R59" s="396">
        <v>0</v>
      </c>
      <c r="S59" s="397">
        <v>0</v>
      </c>
      <c r="T59" s="397">
        <v>0</v>
      </c>
      <c r="U59" s="397">
        <v>0</v>
      </c>
      <c r="V59" s="157">
        <v>0</v>
      </c>
      <c r="W59" s="397">
        <v>0</v>
      </c>
      <c r="X59" s="397">
        <v>0</v>
      </c>
      <c r="Y59" s="157">
        <v>0</v>
      </c>
      <c r="Z59" s="157">
        <v>0</v>
      </c>
      <c r="AA59" s="157">
        <v>4061.91</v>
      </c>
      <c r="AB59" s="157">
        <v>13487.48</v>
      </c>
      <c r="AC59" s="157">
        <v>43544.04</v>
      </c>
      <c r="AD59" s="157">
        <v>4.74</v>
      </c>
      <c r="AE59" s="157">
        <v>41618.160000000003</v>
      </c>
      <c r="AF59" s="398">
        <f t="shared" si="42"/>
        <v>8780.2025316455693</v>
      </c>
      <c r="AG59" s="398">
        <f t="shared" si="43"/>
        <v>9186.5063291139231</v>
      </c>
      <c r="AH59" s="399">
        <f t="shared" si="44"/>
        <v>406.3</v>
      </c>
      <c r="AI59" s="157">
        <v>1.47</v>
      </c>
      <c r="AJ59" s="157">
        <v>12559.57</v>
      </c>
      <c r="AK59" s="398">
        <f t="shared" si="45"/>
        <v>8543.925170068027</v>
      </c>
      <c r="AL59" s="398">
        <f t="shared" si="46"/>
        <v>9175.1564625850333</v>
      </c>
      <c r="AM59" s="399">
        <f t="shared" si="47"/>
        <v>631.23</v>
      </c>
      <c r="AN59" s="397">
        <v>1438.91</v>
      </c>
      <c r="AO59" s="397">
        <v>0</v>
      </c>
      <c r="AP59" s="46"/>
      <c r="AQ59" s="402">
        <v>13483.209999999997</v>
      </c>
      <c r="AR59" s="274">
        <v>21305.05</v>
      </c>
      <c r="AS59" s="413">
        <v>12812.720000000001</v>
      </c>
      <c r="AX59" s="2"/>
      <c r="BA59" s="342"/>
      <c r="BB59" s="342"/>
      <c r="BC59" s="342"/>
      <c r="BD59" s="386"/>
      <c r="BE59" s="386"/>
      <c r="BF59" s="386"/>
      <c r="BG59" s="386"/>
      <c r="BH59" s="386"/>
      <c r="BI59" s="386"/>
      <c r="BJ59" s="386"/>
      <c r="BK59" s="386"/>
      <c r="BL59" s="386"/>
      <c r="BM59" s="386"/>
      <c r="BN59" s="387"/>
      <c r="BO59" s="265"/>
      <c r="BP59" s="386"/>
      <c r="BQ59" s="388"/>
      <c r="BR59" s="388"/>
      <c r="BS59" s="389"/>
      <c r="BT59" s="389"/>
      <c r="BU59" s="389"/>
      <c r="BV59" s="386"/>
      <c r="BW59" s="389"/>
      <c r="BX59" s="389"/>
      <c r="BY59" s="386"/>
      <c r="BZ59" s="386"/>
      <c r="CA59" s="386"/>
      <c r="CB59" s="386"/>
      <c r="CC59" s="386"/>
      <c r="CD59" s="386"/>
      <c r="CE59" s="386"/>
      <c r="CF59" s="390"/>
      <c r="CG59" s="390"/>
      <c r="CH59" s="391"/>
      <c r="CI59" s="386"/>
      <c r="CJ59" s="386"/>
      <c r="CK59" s="390"/>
      <c r="CL59" s="390"/>
      <c r="CM59" s="391"/>
      <c r="CN59" s="389"/>
      <c r="CO59" s="389"/>
      <c r="CP59" s="135"/>
      <c r="CQ59" s="135"/>
      <c r="CR59" s="135"/>
      <c r="CS59" s="135"/>
      <c r="CT59" s="135"/>
      <c r="CU59" s="135"/>
    </row>
    <row r="60" spans="1:99">
      <c r="A60" s="342" t="s">
        <v>142</v>
      </c>
      <c r="B60" s="342" t="s">
        <v>141</v>
      </c>
      <c r="C60" s="342" t="s">
        <v>882</v>
      </c>
      <c r="D60" s="157">
        <v>0</v>
      </c>
      <c r="E60" s="157">
        <v>0</v>
      </c>
      <c r="F60" s="157">
        <v>0</v>
      </c>
      <c r="G60" s="157">
        <v>281161.18</v>
      </c>
      <c r="H60" s="157">
        <v>30419.200000000001</v>
      </c>
      <c r="I60" s="157">
        <v>71092.81</v>
      </c>
      <c r="J60" s="157">
        <v>96681.93</v>
      </c>
      <c r="K60" s="157">
        <v>0</v>
      </c>
      <c r="L60" s="157">
        <v>0</v>
      </c>
      <c r="M60" s="157">
        <v>208450.31</v>
      </c>
      <c r="N60" s="264">
        <v>4.2599999999999999E-2</v>
      </c>
      <c r="O60" s="265">
        <v>0.24210000000000001</v>
      </c>
      <c r="P60" s="157">
        <v>0</v>
      </c>
      <c r="Q60" s="396">
        <v>0</v>
      </c>
      <c r="R60" s="396">
        <v>0</v>
      </c>
      <c r="S60" s="397">
        <v>0</v>
      </c>
      <c r="T60" s="397">
        <v>0</v>
      </c>
      <c r="U60" s="397">
        <v>0</v>
      </c>
      <c r="V60" s="157">
        <v>0</v>
      </c>
      <c r="W60" s="397">
        <v>0</v>
      </c>
      <c r="X60" s="397">
        <v>0</v>
      </c>
      <c r="Y60" s="157">
        <v>287.58</v>
      </c>
      <c r="Z60" s="157">
        <v>0</v>
      </c>
      <c r="AA60" s="157">
        <v>0</v>
      </c>
      <c r="AB60" s="157">
        <v>0</v>
      </c>
      <c r="AC60" s="157">
        <v>51356.63</v>
      </c>
      <c r="AD60" s="157">
        <v>5.41</v>
      </c>
      <c r="AE60" s="157">
        <v>47407.45</v>
      </c>
      <c r="AF60" s="398">
        <f t="shared" si="42"/>
        <v>8762.9297597042514</v>
      </c>
      <c r="AG60" s="398">
        <f t="shared" si="43"/>
        <v>9492.9075785582245</v>
      </c>
      <c r="AH60" s="399">
        <f t="shared" si="44"/>
        <v>729.98</v>
      </c>
      <c r="AI60" s="157">
        <v>0</v>
      </c>
      <c r="AJ60" s="157">
        <v>0</v>
      </c>
      <c r="AK60" s="398">
        <f t="shared" si="45"/>
        <v>0</v>
      </c>
      <c r="AL60" s="398">
        <f t="shared" si="46"/>
        <v>0</v>
      </c>
      <c r="AM60" s="399">
        <f t="shared" si="47"/>
        <v>0</v>
      </c>
      <c r="AN60" s="397">
        <v>2421.64</v>
      </c>
      <c r="AO60" s="397">
        <v>0</v>
      </c>
      <c r="AP60" s="46"/>
      <c r="AQ60" s="402">
        <v>20232.519999999997</v>
      </c>
      <c r="AR60" s="274">
        <v>27265.760000000002</v>
      </c>
      <c r="AS60" s="413">
        <v>15910.4</v>
      </c>
      <c r="AX60" s="2"/>
      <c r="BA60" s="342"/>
      <c r="BB60" s="342"/>
      <c r="BC60" s="342"/>
      <c r="BD60" s="386"/>
      <c r="BE60" s="386"/>
      <c r="BF60" s="386"/>
      <c r="BG60" s="386"/>
      <c r="BH60" s="386"/>
      <c r="BI60" s="386"/>
      <c r="BJ60" s="386"/>
      <c r="BK60" s="386"/>
      <c r="BL60" s="386"/>
      <c r="BM60" s="386"/>
      <c r="BN60" s="387"/>
      <c r="BO60" s="265"/>
      <c r="BP60" s="386"/>
      <c r="BQ60" s="388"/>
      <c r="BR60" s="388"/>
      <c r="BS60" s="389"/>
      <c r="BT60" s="389"/>
      <c r="BU60" s="389"/>
      <c r="BV60" s="386"/>
      <c r="BW60" s="389"/>
      <c r="BX60" s="389"/>
      <c r="BY60" s="386"/>
      <c r="BZ60" s="386"/>
      <c r="CA60" s="386"/>
      <c r="CB60" s="386"/>
      <c r="CC60" s="386"/>
      <c r="CD60" s="386"/>
      <c r="CE60" s="386"/>
      <c r="CF60" s="390"/>
      <c r="CG60" s="390"/>
      <c r="CH60" s="391"/>
      <c r="CI60" s="386"/>
      <c r="CJ60" s="386"/>
      <c r="CK60" s="390"/>
      <c r="CL60" s="390"/>
      <c r="CM60" s="391"/>
      <c r="CN60" s="389"/>
      <c r="CO60" s="389"/>
      <c r="CP60" s="135"/>
      <c r="CQ60" s="135"/>
      <c r="CR60" s="135"/>
      <c r="CS60" s="135"/>
      <c r="CT60" s="135"/>
      <c r="CU60" s="135"/>
    </row>
    <row r="61" spans="1:99">
      <c r="A61" s="342" t="s">
        <v>144</v>
      </c>
      <c r="B61" s="342" t="s">
        <v>143</v>
      </c>
      <c r="C61" s="342" t="s">
        <v>883</v>
      </c>
      <c r="D61" s="157">
        <v>40160.9</v>
      </c>
      <c r="E61" s="157">
        <v>0</v>
      </c>
      <c r="F61" s="157">
        <v>6476.66</v>
      </c>
      <c r="G61" s="157">
        <v>467920.97</v>
      </c>
      <c r="H61" s="157">
        <v>61687.77</v>
      </c>
      <c r="I61" s="157">
        <v>73035.11</v>
      </c>
      <c r="J61" s="157">
        <v>149690.91</v>
      </c>
      <c r="K61" s="157">
        <v>0</v>
      </c>
      <c r="L61" s="157">
        <v>0</v>
      </c>
      <c r="M61" s="157">
        <v>279503.5</v>
      </c>
      <c r="N61" s="264">
        <v>3.7400000000000003E-2</v>
      </c>
      <c r="O61" s="265">
        <v>0.2079</v>
      </c>
      <c r="P61" s="157">
        <v>0</v>
      </c>
      <c r="Q61" s="396">
        <v>0</v>
      </c>
      <c r="R61" s="396">
        <v>0</v>
      </c>
      <c r="S61" s="397">
        <v>0</v>
      </c>
      <c r="T61" s="397">
        <v>0</v>
      </c>
      <c r="U61" s="397">
        <v>0</v>
      </c>
      <c r="V61" s="157">
        <v>0</v>
      </c>
      <c r="W61" s="397">
        <v>0</v>
      </c>
      <c r="X61" s="397">
        <v>0</v>
      </c>
      <c r="Y61" s="157">
        <v>0</v>
      </c>
      <c r="Z61" s="157">
        <v>0</v>
      </c>
      <c r="AA61" s="157">
        <v>3007.53</v>
      </c>
      <c r="AB61" s="157">
        <v>0</v>
      </c>
      <c r="AC61" s="157">
        <v>96440.55</v>
      </c>
      <c r="AD61" s="157">
        <v>10.74</v>
      </c>
      <c r="AE61" s="157">
        <v>92290.28</v>
      </c>
      <c r="AF61" s="398">
        <f t="shared" si="42"/>
        <v>8593.1359404096838</v>
      </c>
      <c r="AG61" s="398">
        <f t="shared" si="43"/>
        <v>8979.5670391061449</v>
      </c>
      <c r="AH61" s="399">
        <f t="shared" si="44"/>
        <v>386.43</v>
      </c>
      <c r="AI61" s="157">
        <v>0</v>
      </c>
      <c r="AJ61" s="157">
        <v>0</v>
      </c>
      <c r="AK61" s="398">
        <f t="shared" si="45"/>
        <v>0</v>
      </c>
      <c r="AL61" s="398">
        <f t="shared" si="46"/>
        <v>0</v>
      </c>
      <c r="AM61" s="399">
        <f t="shared" si="47"/>
        <v>0</v>
      </c>
      <c r="AN61" s="397">
        <v>871.37</v>
      </c>
      <c r="AO61" s="397">
        <v>0</v>
      </c>
      <c r="AP61" s="46"/>
      <c r="AQ61" s="402">
        <v>35276.300000000003</v>
      </c>
      <c r="AR61" s="274">
        <v>35640.879999999997</v>
      </c>
      <c r="AS61" s="413">
        <v>17662.379999999997</v>
      </c>
      <c r="AX61" s="2"/>
      <c r="BA61" s="342"/>
      <c r="BB61" s="342"/>
      <c r="BC61" s="342"/>
      <c r="BD61" s="386"/>
      <c r="BE61" s="386"/>
      <c r="BF61" s="386"/>
      <c r="BG61" s="386"/>
      <c r="BH61" s="386"/>
      <c r="BI61" s="386"/>
      <c r="BJ61" s="386"/>
      <c r="BK61" s="386"/>
      <c r="BL61" s="386"/>
      <c r="BM61" s="386"/>
      <c r="BN61" s="387"/>
      <c r="BO61" s="265"/>
      <c r="BP61" s="386"/>
      <c r="BQ61" s="388"/>
      <c r="BR61" s="388"/>
      <c r="BS61" s="389"/>
      <c r="BT61" s="389"/>
      <c r="BU61" s="389"/>
      <c r="BV61" s="386"/>
      <c r="BW61" s="389"/>
      <c r="BX61" s="389"/>
      <c r="BY61" s="386"/>
      <c r="BZ61" s="386"/>
      <c r="CA61" s="386"/>
      <c r="CB61" s="386"/>
      <c r="CC61" s="386"/>
      <c r="CD61" s="386"/>
      <c r="CE61" s="386"/>
      <c r="CF61" s="390"/>
      <c r="CG61" s="390"/>
      <c r="CH61" s="391"/>
      <c r="CI61" s="386"/>
      <c r="CJ61" s="386"/>
      <c r="CK61" s="390"/>
      <c r="CL61" s="390"/>
      <c r="CM61" s="391"/>
      <c r="CN61" s="389"/>
      <c r="CO61" s="389"/>
      <c r="CP61" s="135"/>
      <c r="CQ61" s="135"/>
      <c r="CR61" s="135"/>
      <c r="CS61" s="135"/>
      <c r="CT61" s="135"/>
      <c r="CU61" s="135"/>
    </row>
    <row r="62" spans="1:99">
      <c r="A62" s="342" t="s">
        <v>146</v>
      </c>
      <c r="B62" s="342" t="s">
        <v>145</v>
      </c>
      <c r="C62" s="342" t="s">
        <v>884</v>
      </c>
      <c r="D62" s="157">
        <v>0</v>
      </c>
      <c r="E62" s="157">
        <v>0</v>
      </c>
      <c r="F62" s="157">
        <v>0</v>
      </c>
      <c r="G62" s="157">
        <v>61741.55</v>
      </c>
      <c r="H62" s="157">
        <v>4457.78</v>
      </c>
      <c r="I62" s="157">
        <v>0</v>
      </c>
      <c r="J62" s="157">
        <v>0</v>
      </c>
      <c r="K62" s="157">
        <v>0</v>
      </c>
      <c r="L62" s="157">
        <v>0</v>
      </c>
      <c r="M62" s="157">
        <v>0</v>
      </c>
      <c r="N62" s="264">
        <v>3.8300000000000001E-2</v>
      </c>
      <c r="O62" s="265">
        <v>0.38450000000000001</v>
      </c>
      <c r="P62" s="157">
        <v>0</v>
      </c>
      <c r="Q62" s="396">
        <v>0</v>
      </c>
      <c r="R62" s="396">
        <v>0</v>
      </c>
      <c r="S62" s="397">
        <v>0</v>
      </c>
      <c r="T62" s="397">
        <v>0</v>
      </c>
      <c r="U62" s="397">
        <v>0</v>
      </c>
      <c r="V62" s="157">
        <v>0</v>
      </c>
      <c r="W62" s="397">
        <v>0</v>
      </c>
      <c r="X62" s="397">
        <v>0</v>
      </c>
      <c r="Y62" s="157">
        <v>48.49</v>
      </c>
      <c r="Z62" s="157">
        <v>0</v>
      </c>
      <c r="AA62" s="157">
        <v>0</v>
      </c>
      <c r="AB62" s="157">
        <v>0</v>
      </c>
      <c r="AC62" s="157">
        <v>0</v>
      </c>
      <c r="AD62" s="157">
        <v>0</v>
      </c>
      <c r="AE62" s="157">
        <v>0</v>
      </c>
      <c r="AF62" s="398">
        <f t="shared" si="42"/>
        <v>0</v>
      </c>
      <c r="AG62" s="398">
        <f t="shared" si="43"/>
        <v>0</v>
      </c>
      <c r="AH62" s="399">
        <f t="shared" si="44"/>
        <v>0</v>
      </c>
      <c r="AI62" s="157">
        <v>0</v>
      </c>
      <c r="AJ62" s="157">
        <v>0</v>
      </c>
      <c r="AK62" s="398">
        <f t="shared" si="45"/>
        <v>0</v>
      </c>
      <c r="AL62" s="398">
        <f t="shared" si="46"/>
        <v>0</v>
      </c>
      <c r="AM62" s="399">
        <f t="shared" si="47"/>
        <v>0</v>
      </c>
      <c r="AN62" s="397">
        <v>1295</v>
      </c>
      <c r="AO62" s="397">
        <v>0</v>
      </c>
      <c r="AP62" s="46"/>
      <c r="AQ62" s="402">
        <v>3574.4699999999993</v>
      </c>
      <c r="AR62" s="274">
        <v>4532.4000000000005</v>
      </c>
      <c r="AS62" s="413"/>
      <c r="AX62" s="2"/>
      <c r="BA62" s="342"/>
      <c r="BB62" s="342"/>
      <c r="BC62" s="342"/>
      <c r="BD62" s="386"/>
      <c r="BE62" s="386"/>
      <c r="BF62" s="386"/>
      <c r="BG62" s="386"/>
      <c r="BH62" s="386"/>
      <c r="BI62" s="386"/>
      <c r="BJ62" s="386"/>
      <c r="BK62" s="386"/>
      <c r="BL62" s="386"/>
      <c r="BM62" s="386"/>
      <c r="BN62" s="387"/>
      <c r="BO62" s="265"/>
      <c r="BP62" s="386"/>
      <c r="BQ62" s="388"/>
      <c r="BR62" s="388"/>
      <c r="BS62" s="389"/>
      <c r="BT62" s="389"/>
      <c r="BU62" s="389"/>
      <c r="BV62" s="386"/>
      <c r="BW62" s="389"/>
      <c r="BX62" s="389"/>
      <c r="BY62" s="386"/>
      <c r="BZ62" s="386"/>
      <c r="CA62" s="386"/>
      <c r="CB62" s="386"/>
      <c r="CC62" s="386"/>
      <c r="CD62" s="386"/>
      <c r="CE62" s="386"/>
      <c r="CF62" s="390"/>
      <c r="CG62" s="390"/>
      <c r="CH62" s="391"/>
      <c r="CI62" s="386"/>
      <c r="CJ62" s="386"/>
      <c r="CK62" s="390"/>
      <c r="CL62" s="390"/>
      <c r="CM62" s="391"/>
      <c r="CN62" s="389"/>
      <c r="CO62" s="389"/>
      <c r="CP62" s="135"/>
      <c r="CQ62" s="135"/>
      <c r="CR62" s="135"/>
      <c r="CS62" s="135"/>
      <c r="CT62" s="135"/>
      <c r="CU62" s="135"/>
    </row>
    <row r="63" spans="1:99">
      <c r="A63" s="342" t="s">
        <v>148</v>
      </c>
      <c r="B63" s="342" t="s">
        <v>147</v>
      </c>
      <c r="C63" s="342" t="s">
        <v>885</v>
      </c>
      <c r="D63" s="157">
        <v>0</v>
      </c>
      <c r="E63" s="157">
        <v>0</v>
      </c>
      <c r="F63" s="157">
        <v>0</v>
      </c>
      <c r="G63" s="157">
        <v>610575.61</v>
      </c>
      <c r="H63" s="157">
        <v>75146.31</v>
      </c>
      <c r="I63" s="157">
        <v>99604.12</v>
      </c>
      <c r="J63" s="157">
        <v>135397.57</v>
      </c>
      <c r="K63" s="157">
        <v>0</v>
      </c>
      <c r="L63" s="157">
        <v>13951.44</v>
      </c>
      <c r="M63" s="157">
        <v>311080.99</v>
      </c>
      <c r="N63" s="264">
        <v>7.5499999999999998E-2</v>
      </c>
      <c r="O63" s="265">
        <v>0.26450000000000001</v>
      </c>
      <c r="P63" s="157">
        <v>0</v>
      </c>
      <c r="Q63" s="396">
        <v>0</v>
      </c>
      <c r="R63" s="396">
        <v>0</v>
      </c>
      <c r="S63" s="397">
        <v>0</v>
      </c>
      <c r="T63" s="397">
        <v>0</v>
      </c>
      <c r="U63" s="397">
        <v>0</v>
      </c>
      <c r="V63" s="157">
        <v>0</v>
      </c>
      <c r="W63" s="397">
        <v>0</v>
      </c>
      <c r="X63" s="397">
        <v>0</v>
      </c>
      <c r="Y63" s="157">
        <v>505.24</v>
      </c>
      <c r="Z63" s="157">
        <v>0</v>
      </c>
      <c r="AA63" s="157">
        <v>0</v>
      </c>
      <c r="AB63" s="157">
        <v>0</v>
      </c>
      <c r="AC63" s="157">
        <v>184502.75</v>
      </c>
      <c r="AD63" s="157">
        <v>18.29</v>
      </c>
      <c r="AE63" s="157">
        <v>170273.66</v>
      </c>
      <c r="AF63" s="398">
        <f t="shared" si="42"/>
        <v>9309.6588299617288</v>
      </c>
      <c r="AG63" s="398">
        <f t="shared" si="43"/>
        <v>10087.62985237835</v>
      </c>
      <c r="AH63" s="399">
        <f t="shared" si="44"/>
        <v>777.97</v>
      </c>
      <c r="AI63" s="157">
        <v>0</v>
      </c>
      <c r="AJ63" s="157">
        <v>0</v>
      </c>
      <c r="AK63" s="398">
        <f t="shared" si="45"/>
        <v>0</v>
      </c>
      <c r="AL63" s="398">
        <f t="shared" si="46"/>
        <v>0</v>
      </c>
      <c r="AM63" s="399">
        <f t="shared" si="47"/>
        <v>0</v>
      </c>
      <c r="AN63" s="397">
        <v>0</v>
      </c>
      <c r="AO63" s="397">
        <v>0</v>
      </c>
      <c r="AP63" s="46"/>
      <c r="AQ63" s="402">
        <v>0</v>
      </c>
      <c r="AR63" s="274">
        <v>56322.14</v>
      </c>
      <c r="AS63" s="413">
        <v>23022.6</v>
      </c>
      <c r="AX63" s="2"/>
      <c r="BA63" s="342"/>
      <c r="BB63" s="342"/>
      <c r="BC63" s="342"/>
      <c r="BD63" s="386"/>
      <c r="BE63" s="386"/>
      <c r="BF63" s="386"/>
      <c r="BG63" s="386"/>
      <c r="BH63" s="386"/>
      <c r="BI63" s="386"/>
      <c r="BJ63" s="386"/>
      <c r="BK63" s="386"/>
      <c r="BL63" s="386"/>
      <c r="BM63" s="386"/>
      <c r="BN63" s="387"/>
      <c r="BO63" s="265"/>
      <c r="BP63" s="386"/>
      <c r="BQ63" s="388"/>
      <c r="BR63" s="388"/>
      <c r="BS63" s="389"/>
      <c r="BT63" s="389"/>
      <c r="BU63" s="389"/>
      <c r="BV63" s="386"/>
      <c r="BW63" s="389"/>
      <c r="BX63" s="389"/>
      <c r="BY63" s="386"/>
      <c r="BZ63" s="386"/>
      <c r="CA63" s="386"/>
      <c r="CB63" s="386"/>
      <c r="CC63" s="386"/>
      <c r="CD63" s="386"/>
      <c r="CE63" s="386"/>
      <c r="CF63" s="390"/>
      <c r="CG63" s="390"/>
      <c r="CH63" s="391"/>
      <c r="CI63" s="386"/>
      <c r="CJ63" s="386"/>
      <c r="CK63" s="390"/>
      <c r="CL63" s="390"/>
      <c r="CM63" s="391"/>
      <c r="CN63" s="389"/>
      <c r="CO63" s="389"/>
      <c r="CP63" s="135"/>
      <c r="CQ63" s="135"/>
      <c r="CR63" s="135"/>
      <c r="CS63" s="135"/>
      <c r="CT63" s="135"/>
      <c r="CU63" s="135"/>
    </row>
    <row r="64" spans="1:99">
      <c r="A64" s="342" t="s">
        <v>150</v>
      </c>
      <c r="B64" s="342" t="s">
        <v>149</v>
      </c>
      <c r="C64" s="342" t="s">
        <v>886</v>
      </c>
      <c r="D64" s="157">
        <v>0</v>
      </c>
      <c r="E64" s="157">
        <v>0</v>
      </c>
      <c r="F64" s="157">
        <v>0</v>
      </c>
      <c r="G64" s="157">
        <v>767382.27</v>
      </c>
      <c r="H64" s="157">
        <v>100552.75</v>
      </c>
      <c r="I64" s="157">
        <v>0</v>
      </c>
      <c r="J64" s="157">
        <v>184139.48</v>
      </c>
      <c r="K64" s="157">
        <v>0</v>
      </c>
      <c r="L64" s="157">
        <v>0</v>
      </c>
      <c r="M64" s="157">
        <v>473360.5</v>
      </c>
      <c r="N64" s="264">
        <v>2.5600000000000001E-2</v>
      </c>
      <c r="O64" s="265">
        <v>0.22170000000000001</v>
      </c>
      <c r="P64" s="157">
        <v>0</v>
      </c>
      <c r="Q64" s="396">
        <v>0</v>
      </c>
      <c r="R64" s="396">
        <v>0</v>
      </c>
      <c r="S64" s="397">
        <v>0</v>
      </c>
      <c r="T64" s="397">
        <v>0</v>
      </c>
      <c r="U64" s="397">
        <v>0</v>
      </c>
      <c r="V64" s="157">
        <v>0</v>
      </c>
      <c r="W64" s="397">
        <v>0</v>
      </c>
      <c r="X64" s="397">
        <v>0</v>
      </c>
      <c r="Y64" s="157">
        <v>0</v>
      </c>
      <c r="Z64" s="157">
        <v>20354.05</v>
      </c>
      <c r="AA64" s="157">
        <v>51147.61</v>
      </c>
      <c r="AB64" s="157">
        <v>223104.71</v>
      </c>
      <c r="AC64" s="157">
        <v>523016.1</v>
      </c>
      <c r="AD64" s="157">
        <v>57.96</v>
      </c>
      <c r="AE64" s="157">
        <v>497923.52</v>
      </c>
      <c r="AF64" s="398">
        <f t="shared" si="42"/>
        <v>8590.8129744651487</v>
      </c>
      <c r="AG64" s="398">
        <f t="shared" si="43"/>
        <v>9023.7422360248438</v>
      </c>
      <c r="AH64" s="399">
        <f t="shared" si="44"/>
        <v>432.93</v>
      </c>
      <c r="AI64" s="157">
        <v>24.86</v>
      </c>
      <c r="AJ64" s="157">
        <v>207298.06</v>
      </c>
      <c r="AK64" s="398">
        <f t="shared" si="45"/>
        <v>8338.6186645213202</v>
      </c>
      <c r="AL64" s="398">
        <f t="shared" si="46"/>
        <v>8974.4452936444086</v>
      </c>
      <c r="AM64" s="399">
        <f t="shared" si="47"/>
        <v>635.83000000000004</v>
      </c>
      <c r="AN64" s="397">
        <v>0</v>
      </c>
      <c r="AO64" s="397">
        <v>0</v>
      </c>
      <c r="AP64" s="46"/>
      <c r="AQ64" s="402">
        <v>18202.71</v>
      </c>
      <c r="AR64" s="274">
        <v>62881.27</v>
      </c>
      <c r="AS64" s="413">
        <v>28668.480000000003</v>
      </c>
      <c r="AX64" s="2"/>
      <c r="BB64" s="342"/>
      <c r="BC64" s="342"/>
      <c r="BD64" s="386"/>
      <c r="BE64" s="386"/>
      <c r="BF64" s="386"/>
      <c r="BG64" s="386"/>
      <c r="BH64" s="386"/>
      <c r="BI64" s="386"/>
      <c r="BJ64" s="386"/>
      <c r="BK64" s="386"/>
      <c r="BL64" s="386"/>
      <c r="BM64" s="386"/>
      <c r="BN64" s="387"/>
      <c r="BO64" s="265"/>
      <c r="BP64" s="386"/>
      <c r="BQ64" s="388"/>
      <c r="BR64" s="388"/>
      <c r="BS64" s="389"/>
      <c r="BT64" s="389"/>
      <c r="BU64" s="389"/>
      <c r="BV64" s="386"/>
      <c r="BW64" s="389"/>
      <c r="BX64" s="389"/>
      <c r="BY64" s="386"/>
      <c r="BZ64" s="386"/>
      <c r="CA64" s="386"/>
      <c r="CB64" s="386"/>
      <c r="CC64" s="386"/>
      <c r="CD64" s="386"/>
      <c r="CE64" s="386"/>
      <c r="CF64" s="390"/>
      <c r="CG64" s="390"/>
      <c r="CH64" s="391"/>
      <c r="CI64" s="386"/>
      <c r="CJ64" s="386"/>
      <c r="CK64" s="390"/>
      <c r="CL64" s="390"/>
      <c r="CM64" s="391"/>
      <c r="CN64" s="389"/>
      <c r="CO64" s="389"/>
      <c r="CP64" s="135"/>
      <c r="CQ64" s="135"/>
      <c r="CR64" s="135"/>
      <c r="CS64" s="135"/>
      <c r="CT64" s="135"/>
      <c r="CU64" s="135"/>
    </row>
    <row r="65" spans="1:99">
      <c r="A65" s="342" t="s">
        <v>152</v>
      </c>
      <c r="B65" s="342" t="s">
        <v>151</v>
      </c>
      <c r="C65" s="342" t="s">
        <v>887</v>
      </c>
      <c r="D65" s="157">
        <v>0</v>
      </c>
      <c r="E65" s="157">
        <v>0</v>
      </c>
      <c r="F65" s="157">
        <v>5384.43</v>
      </c>
      <c r="G65" s="157">
        <v>0</v>
      </c>
      <c r="H65" s="157">
        <v>0</v>
      </c>
      <c r="I65" s="157">
        <v>105621.58</v>
      </c>
      <c r="J65" s="157">
        <v>123621.73</v>
      </c>
      <c r="K65" s="157">
        <v>2740.62</v>
      </c>
      <c r="L65" s="157">
        <v>10655.26</v>
      </c>
      <c r="M65" s="157">
        <v>264052.99</v>
      </c>
      <c r="N65" s="264">
        <v>2.75E-2</v>
      </c>
      <c r="O65" s="265">
        <v>0.2109</v>
      </c>
      <c r="P65" s="157">
        <v>0</v>
      </c>
      <c r="Q65" s="396">
        <v>0</v>
      </c>
      <c r="R65" s="396">
        <v>0</v>
      </c>
      <c r="S65" s="397">
        <v>0</v>
      </c>
      <c r="T65" s="397">
        <v>0</v>
      </c>
      <c r="U65" s="397">
        <v>0</v>
      </c>
      <c r="V65" s="157">
        <v>0</v>
      </c>
      <c r="W65" s="397">
        <v>0</v>
      </c>
      <c r="X65" s="397">
        <v>0</v>
      </c>
      <c r="Y65" s="157">
        <v>0</v>
      </c>
      <c r="Z65" s="157">
        <v>0</v>
      </c>
      <c r="AA65" s="157">
        <v>0</v>
      </c>
      <c r="AB65" s="157">
        <v>36480.99</v>
      </c>
      <c r="AC65" s="157">
        <v>235950.32</v>
      </c>
      <c r="AD65" s="157">
        <v>25.51</v>
      </c>
      <c r="AE65" s="157">
        <v>219144.33</v>
      </c>
      <c r="AF65" s="398">
        <f t="shared" si="42"/>
        <v>8590.5264602116804</v>
      </c>
      <c r="AG65" s="398">
        <f t="shared" si="43"/>
        <v>9249.3265386123094</v>
      </c>
      <c r="AH65" s="399">
        <f t="shared" si="44"/>
        <v>658.8</v>
      </c>
      <c r="AI65" s="157">
        <v>4.0599999999999996</v>
      </c>
      <c r="AJ65" s="157">
        <v>33909.120000000003</v>
      </c>
      <c r="AK65" s="398">
        <f t="shared" si="45"/>
        <v>8352.0000000000018</v>
      </c>
      <c r="AL65" s="398">
        <f t="shared" si="46"/>
        <v>8985.4655172413804</v>
      </c>
      <c r="AM65" s="399">
        <f t="shared" si="47"/>
        <v>633.47</v>
      </c>
      <c r="AN65" s="397">
        <v>3455.63</v>
      </c>
      <c r="AO65" s="397">
        <v>100</v>
      </c>
      <c r="AP65" s="46"/>
      <c r="AQ65" s="402">
        <v>15592.999999999993</v>
      </c>
      <c r="AR65" s="274">
        <v>39625.21</v>
      </c>
      <c r="AS65" s="413">
        <v>21655.300000000003</v>
      </c>
      <c r="AX65" s="2"/>
      <c r="BA65" s="342"/>
      <c r="BB65" s="342"/>
      <c r="BC65" s="342"/>
      <c r="BD65" s="386"/>
      <c r="BE65" s="386"/>
      <c r="BF65" s="386"/>
      <c r="BG65" s="386"/>
      <c r="BH65" s="386"/>
      <c r="BI65" s="386"/>
      <c r="BJ65" s="386"/>
      <c r="BK65" s="386"/>
      <c r="BL65" s="386"/>
      <c r="BM65" s="386"/>
      <c r="BN65" s="387"/>
      <c r="BO65" s="265"/>
      <c r="BP65" s="386"/>
      <c r="BQ65" s="388"/>
      <c r="BR65" s="388"/>
      <c r="BS65" s="389"/>
      <c r="BT65" s="389"/>
      <c r="BU65" s="389"/>
      <c r="BV65" s="386"/>
      <c r="BW65" s="389"/>
      <c r="BX65" s="389"/>
      <c r="BY65" s="386"/>
      <c r="BZ65" s="386"/>
      <c r="CA65" s="386"/>
      <c r="CB65" s="386"/>
      <c r="CC65" s="386"/>
      <c r="CD65" s="386"/>
      <c r="CE65" s="386"/>
      <c r="CF65" s="390"/>
      <c r="CG65" s="390"/>
      <c r="CH65" s="391"/>
      <c r="CI65" s="386"/>
      <c r="CJ65" s="386"/>
      <c r="CK65" s="390"/>
      <c r="CL65" s="390"/>
      <c r="CM65" s="391"/>
      <c r="CN65" s="389"/>
      <c r="CO65" s="389"/>
      <c r="CP65" s="135"/>
      <c r="CQ65" s="135"/>
      <c r="CR65" s="135"/>
      <c r="CS65" s="135"/>
      <c r="CT65" s="135"/>
      <c r="CU65" s="135"/>
    </row>
    <row r="66" spans="1:99">
      <c r="A66" s="342" t="s">
        <v>154</v>
      </c>
      <c r="B66" s="342" t="s">
        <v>153</v>
      </c>
      <c r="C66" s="342" t="s">
        <v>888</v>
      </c>
      <c r="D66" s="157">
        <v>0</v>
      </c>
      <c r="E66" s="157">
        <v>36205.32</v>
      </c>
      <c r="F66" s="157">
        <v>0</v>
      </c>
      <c r="G66" s="157">
        <v>3164588.14</v>
      </c>
      <c r="H66" s="157">
        <v>558048.49</v>
      </c>
      <c r="I66" s="157">
        <v>401072.33</v>
      </c>
      <c r="J66" s="157">
        <v>798834.28</v>
      </c>
      <c r="K66" s="157">
        <v>40703.24</v>
      </c>
      <c r="L66" s="157">
        <v>78724.800000000003</v>
      </c>
      <c r="M66" s="157">
        <v>1685863.11</v>
      </c>
      <c r="N66" s="264">
        <v>4.7500000000000001E-2</v>
      </c>
      <c r="O66" s="265">
        <v>0.1633</v>
      </c>
      <c r="P66" s="157">
        <v>0</v>
      </c>
      <c r="Q66" s="396">
        <v>0</v>
      </c>
      <c r="R66" s="396">
        <v>0</v>
      </c>
      <c r="S66" s="397">
        <v>0</v>
      </c>
      <c r="T66" s="397">
        <v>0</v>
      </c>
      <c r="U66" s="397">
        <v>0</v>
      </c>
      <c r="V66" s="157">
        <v>0</v>
      </c>
      <c r="W66" s="397">
        <v>0</v>
      </c>
      <c r="X66" s="397">
        <v>0</v>
      </c>
      <c r="Y66" s="157">
        <v>3138.57</v>
      </c>
      <c r="Z66" s="157">
        <v>0</v>
      </c>
      <c r="AA66" s="157">
        <v>41383.25</v>
      </c>
      <c r="AB66" s="157">
        <v>0</v>
      </c>
      <c r="AC66" s="157">
        <v>1034357.16</v>
      </c>
      <c r="AD66" s="157">
        <v>107.66</v>
      </c>
      <c r="AE66" s="157">
        <v>924653.53</v>
      </c>
      <c r="AF66" s="398">
        <f t="shared" si="42"/>
        <v>8588.6450863830578</v>
      </c>
      <c r="AG66" s="398">
        <f t="shared" si="43"/>
        <v>9607.6273453464619</v>
      </c>
      <c r="AH66" s="399">
        <f t="shared" si="44"/>
        <v>1018.98</v>
      </c>
      <c r="AI66" s="157">
        <v>0</v>
      </c>
      <c r="AJ66" s="157">
        <v>0</v>
      </c>
      <c r="AK66" s="398">
        <f t="shared" si="45"/>
        <v>0</v>
      </c>
      <c r="AL66" s="398">
        <f t="shared" si="46"/>
        <v>0</v>
      </c>
      <c r="AM66" s="399">
        <f t="shared" si="47"/>
        <v>0</v>
      </c>
      <c r="AN66" s="397">
        <v>0</v>
      </c>
      <c r="AO66" s="397">
        <v>0</v>
      </c>
      <c r="AP66" s="46"/>
      <c r="AQ66" s="402">
        <v>65887.489999999991</v>
      </c>
      <c r="AR66" s="274">
        <v>207463.96000000002</v>
      </c>
      <c r="AS66" s="413">
        <v>75288.87</v>
      </c>
      <c r="AX66" s="2"/>
      <c r="BA66" s="342"/>
      <c r="BB66" s="342"/>
      <c r="BC66" s="342"/>
      <c r="BD66" s="386"/>
      <c r="BE66" s="386"/>
      <c r="BF66" s="386"/>
      <c r="BG66" s="386"/>
      <c r="BH66" s="386"/>
      <c r="BI66" s="386"/>
      <c r="BJ66" s="386"/>
      <c r="BK66" s="386"/>
      <c r="BL66" s="386"/>
      <c r="BM66" s="386"/>
      <c r="BN66" s="387"/>
      <c r="BO66" s="265"/>
      <c r="BP66" s="386"/>
      <c r="BQ66" s="388"/>
      <c r="BR66" s="388"/>
      <c r="BS66" s="389"/>
      <c r="BT66" s="389"/>
      <c r="BU66" s="389"/>
      <c r="BV66" s="386"/>
      <c r="BW66" s="389"/>
      <c r="BX66" s="389"/>
      <c r="BY66" s="386"/>
      <c r="BZ66" s="386"/>
      <c r="CA66" s="386"/>
      <c r="CB66" s="386"/>
      <c r="CC66" s="386"/>
      <c r="CD66" s="386"/>
      <c r="CE66" s="386"/>
      <c r="CF66" s="390"/>
      <c r="CG66" s="390"/>
      <c r="CH66" s="391"/>
      <c r="CI66" s="386"/>
      <c r="CJ66" s="386"/>
      <c r="CK66" s="390"/>
      <c r="CL66" s="390"/>
      <c r="CM66" s="391"/>
      <c r="CN66" s="389"/>
      <c r="CO66" s="389"/>
      <c r="CP66" s="135"/>
      <c r="CQ66" s="135"/>
      <c r="CR66" s="135"/>
      <c r="CS66" s="135"/>
      <c r="CT66" s="135"/>
      <c r="CU66" s="135"/>
    </row>
    <row r="67" spans="1:99">
      <c r="A67" s="342" t="s">
        <v>156</v>
      </c>
      <c r="B67" s="342" t="s">
        <v>155</v>
      </c>
      <c r="C67" s="342" t="s">
        <v>889</v>
      </c>
      <c r="D67" s="157">
        <v>0</v>
      </c>
      <c r="E67" s="157">
        <v>0</v>
      </c>
      <c r="F67" s="157">
        <v>0</v>
      </c>
      <c r="G67" s="157">
        <v>2122680.35</v>
      </c>
      <c r="H67" s="157">
        <v>361398.85</v>
      </c>
      <c r="I67" s="157">
        <v>0</v>
      </c>
      <c r="J67" s="157">
        <v>179674.98</v>
      </c>
      <c r="K67" s="157">
        <v>161017.25</v>
      </c>
      <c r="L67" s="157">
        <v>48015.57</v>
      </c>
      <c r="M67" s="157">
        <v>1505754.48</v>
      </c>
      <c r="N67" s="264">
        <v>1.4800000000000001E-2</v>
      </c>
      <c r="O67" s="265">
        <v>0.15570000000000001</v>
      </c>
      <c r="P67" s="157">
        <v>0</v>
      </c>
      <c r="Q67" s="396">
        <v>0</v>
      </c>
      <c r="R67" s="396">
        <v>0</v>
      </c>
      <c r="S67" s="397">
        <v>0</v>
      </c>
      <c r="T67" s="397">
        <v>0</v>
      </c>
      <c r="U67" s="397">
        <v>0</v>
      </c>
      <c r="V67" s="157">
        <v>0</v>
      </c>
      <c r="W67" s="397">
        <v>0</v>
      </c>
      <c r="X67" s="397">
        <v>0</v>
      </c>
      <c r="Y67" s="157">
        <v>1629.62</v>
      </c>
      <c r="Z67" s="157">
        <v>3360.38</v>
      </c>
      <c r="AA67" s="157">
        <v>0</v>
      </c>
      <c r="AB67" s="157">
        <v>253924.97</v>
      </c>
      <c r="AC67" s="157">
        <v>0</v>
      </c>
      <c r="AD67" s="157">
        <v>0</v>
      </c>
      <c r="AE67" s="157">
        <v>0</v>
      </c>
      <c r="AF67" s="398">
        <f t="shared" si="42"/>
        <v>0</v>
      </c>
      <c r="AG67" s="398">
        <f t="shared" si="43"/>
        <v>0</v>
      </c>
      <c r="AH67" s="399">
        <f t="shared" si="44"/>
        <v>0</v>
      </c>
      <c r="AI67" s="157">
        <v>25.57</v>
      </c>
      <c r="AJ67" s="157">
        <v>235570.16</v>
      </c>
      <c r="AK67" s="398">
        <f t="shared" si="45"/>
        <v>9212.755572937036</v>
      </c>
      <c r="AL67" s="398">
        <f t="shared" si="46"/>
        <v>9930.5815408682047</v>
      </c>
      <c r="AM67" s="399">
        <f t="shared" si="47"/>
        <v>717.83</v>
      </c>
      <c r="AN67" s="397">
        <v>0</v>
      </c>
      <c r="AO67" s="397">
        <v>0</v>
      </c>
      <c r="AP67" s="46"/>
      <c r="AQ67" s="402">
        <v>43344.419999999984</v>
      </c>
      <c r="AR67" s="274">
        <v>164257.54999999999</v>
      </c>
      <c r="AS67" s="413">
        <v>53699.86</v>
      </c>
      <c r="AX67" s="2"/>
      <c r="BA67" s="342"/>
      <c r="BB67" s="342"/>
      <c r="BC67" s="342"/>
      <c r="BD67" s="386"/>
      <c r="BE67" s="386"/>
      <c r="BF67" s="386"/>
      <c r="BG67" s="386"/>
      <c r="BH67" s="386"/>
      <c r="BI67" s="386"/>
      <c r="BJ67" s="386"/>
      <c r="BK67" s="386"/>
      <c r="BL67" s="386"/>
      <c r="BM67" s="386"/>
      <c r="BN67" s="387"/>
      <c r="BO67" s="265"/>
      <c r="BP67" s="386"/>
      <c r="BQ67" s="388"/>
      <c r="BR67" s="388"/>
      <c r="BS67" s="389"/>
      <c r="BT67" s="389"/>
      <c r="BU67" s="389"/>
      <c r="BV67" s="386"/>
      <c r="BW67" s="389"/>
      <c r="BX67" s="389"/>
      <c r="BY67" s="386"/>
      <c r="BZ67" s="386"/>
      <c r="CA67" s="386"/>
      <c r="CB67" s="386"/>
      <c r="CC67" s="386"/>
      <c r="CD67" s="386"/>
      <c r="CE67" s="386"/>
      <c r="CF67" s="390"/>
      <c r="CG67" s="390"/>
      <c r="CH67" s="391"/>
      <c r="CI67" s="386"/>
      <c r="CJ67" s="386"/>
      <c r="CK67" s="390"/>
      <c r="CL67" s="390"/>
      <c r="CM67" s="391"/>
      <c r="CN67" s="389"/>
      <c r="CO67" s="389"/>
      <c r="CP67" s="135"/>
      <c r="CQ67" s="135"/>
      <c r="CR67" s="135"/>
      <c r="CS67" s="135"/>
      <c r="CT67" s="135"/>
      <c r="CU67" s="135"/>
    </row>
    <row r="68" spans="1:99">
      <c r="A68" s="342" t="s">
        <v>158</v>
      </c>
      <c r="B68" s="342" t="s">
        <v>157</v>
      </c>
      <c r="C68" s="342" t="s">
        <v>890</v>
      </c>
      <c r="D68" s="157">
        <v>0</v>
      </c>
      <c r="E68" s="157">
        <v>0</v>
      </c>
      <c r="F68" s="157">
        <v>0</v>
      </c>
      <c r="G68" s="157">
        <v>0</v>
      </c>
      <c r="H68" s="157">
        <v>0</v>
      </c>
      <c r="I68" s="157">
        <v>5275.91</v>
      </c>
      <c r="J68" s="157">
        <v>11482.86</v>
      </c>
      <c r="K68" s="157">
        <v>0</v>
      </c>
      <c r="L68" s="157">
        <v>0</v>
      </c>
      <c r="M68" s="157">
        <v>99016.44</v>
      </c>
      <c r="N68" s="264">
        <v>0.1857</v>
      </c>
      <c r="O68" s="265">
        <v>0.47589999999999999</v>
      </c>
      <c r="P68" s="157">
        <v>0</v>
      </c>
      <c r="Q68" s="396">
        <v>0</v>
      </c>
      <c r="R68" s="396">
        <v>0</v>
      </c>
      <c r="S68" s="397">
        <v>0</v>
      </c>
      <c r="T68" s="397">
        <v>0</v>
      </c>
      <c r="U68" s="397">
        <v>0</v>
      </c>
      <c r="V68" s="157">
        <v>0</v>
      </c>
      <c r="W68" s="397">
        <v>0</v>
      </c>
      <c r="X68" s="397">
        <v>0</v>
      </c>
      <c r="Y68" s="157">
        <v>20.3</v>
      </c>
      <c r="Z68" s="157">
        <v>0</v>
      </c>
      <c r="AA68" s="157">
        <v>0</v>
      </c>
      <c r="AB68" s="157">
        <v>0</v>
      </c>
      <c r="AC68" s="157">
        <v>0</v>
      </c>
      <c r="AD68" s="157">
        <v>0</v>
      </c>
      <c r="AE68" s="157">
        <v>0</v>
      </c>
      <c r="AF68" s="398">
        <f t="shared" si="42"/>
        <v>0</v>
      </c>
      <c r="AG68" s="398">
        <f t="shared" si="43"/>
        <v>0</v>
      </c>
      <c r="AH68" s="399">
        <f t="shared" si="44"/>
        <v>0</v>
      </c>
      <c r="AI68" s="157">
        <v>0</v>
      </c>
      <c r="AJ68" s="157">
        <v>0</v>
      </c>
      <c r="AK68" s="398">
        <f t="shared" si="45"/>
        <v>0</v>
      </c>
      <c r="AL68" s="398">
        <f t="shared" si="46"/>
        <v>0</v>
      </c>
      <c r="AM68" s="399">
        <f t="shared" si="47"/>
        <v>0</v>
      </c>
      <c r="AN68" s="397">
        <v>0</v>
      </c>
      <c r="AO68" s="397">
        <v>0</v>
      </c>
      <c r="AP68" s="46"/>
      <c r="AQ68" s="402">
        <v>738.85999999999967</v>
      </c>
      <c r="AR68" s="274">
        <v>3682.1000000000004</v>
      </c>
      <c r="AS68" s="413">
        <v>10519.69</v>
      </c>
      <c r="AX68" s="2"/>
      <c r="BA68" s="342"/>
      <c r="BB68" s="342"/>
      <c r="BC68" s="342"/>
      <c r="BD68" s="386"/>
      <c r="BE68" s="386"/>
      <c r="BF68" s="386"/>
      <c r="BG68" s="386"/>
      <c r="BH68" s="386"/>
      <c r="BI68" s="386"/>
      <c r="BJ68" s="386"/>
      <c r="BK68" s="386"/>
      <c r="BL68" s="386"/>
      <c r="BM68" s="386"/>
      <c r="BN68" s="387"/>
      <c r="BO68" s="265"/>
      <c r="BP68" s="386"/>
      <c r="BQ68" s="388"/>
      <c r="BR68" s="388"/>
      <c r="BS68" s="389"/>
      <c r="BT68" s="389"/>
      <c r="BU68" s="389"/>
      <c r="BV68" s="386"/>
      <c r="BW68" s="389"/>
      <c r="BX68" s="389"/>
      <c r="BY68" s="386"/>
      <c r="BZ68" s="386"/>
      <c r="CA68" s="386"/>
      <c r="CB68" s="386"/>
      <c r="CC68" s="386"/>
      <c r="CD68" s="386"/>
      <c r="CE68" s="386"/>
      <c r="CF68" s="390"/>
      <c r="CG68" s="390"/>
      <c r="CH68" s="391"/>
      <c r="CI68" s="386"/>
      <c r="CJ68" s="386"/>
      <c r="CK68" s="390"/>
      <c r="CL68" s="390"/>
      <c r="CM68" s="391"/>
      <c r="CN68" s="389"/>
      <c r="CO68" s="389"/>
      <c r="CP68" s="135"/>
      <c r="CQ68" s="135"/>
      <c r="CR68" s="135"/>
      <c r="CS68" s="135"/>
      <c r="CT68" s="135"/>
      <c r="CU68" s="135"/>
    </row>
    <row r="69" spans="1:99">
      <c r="A69" s="342" t="s">
        <v>891</v>
      </c>
      <c r="B69" s="342" t="s">
        <v>159</v>
      </c>
      <c r="C69" s="342" t="s">
        <v>892</v>
      </c>
      <c r="D69" s="157">
        <v>0</v>
      </c>
      <c r="E69" s="157">
        <v>71771.47</v>
      </c>
      <c r="F69" s="157">
        <v>0</v>
      </c>
      <c r="G69" s="157">
        <v>5334996.01</v>
      </c>
      <c r="H69" s="157">
        <v>1266256.44</v>
      </c>
      <c r="I69" s="157">
        <v>594652.77</v>
      </c>
      <c r="J69" s="157">
        <v>1306972.69</v>
      </c>
      <c r="K69" s="157">
        <v>251290.62</v>
      </c>
      <c r="L69" s="157">
        <v>106425.07</v>
      </c>
      <c r="M69" s="157">
        <v>2273392.37</v>
      </c>
      <c r="N69" s="264">
        <v>3.4799999999999998E-2</v>
      </c>
      <c r="O69" s="265">
        <v>0.16619999999999999</v>
      </c>
      <c r="P69" s="157">
        <v>0</v>
      </c>
      <c r="Q69" s="396">
        <v>0</v>
      </c>
      <c r="R69" s="396">
        <v>0</v>
      </c>
      <c r="S69" s="397">
        <v>0</v>
      </c>
      <c r="T69" s="397">
        <v>0</v>
      </c>
      <c r="U69" s="397">
        <v>0</v>
      </c>
      <c r="V69" s="157">
        <v>0</v>
      </c>
      <c r="W69" s="397">
        <v>0</v>
      </c>
      <c r="X69" s="397">
        <v>0</v>
      </c>
      <c r="Y69" s="157">
        <v>4145.66</v>
      </c>
      <c r="Z69" s="157">
        <v>0</v>
      </c>
      <c r="AA69" s="157">
        <v>108551.26</v>
      </c>
      <c r="AB69" s="157">
        <v>324954.83</v>
      </c>
      <c r="AC69" s="157">
        <v>1755743.01</v>
      </c>
      <c r="AD69" s="157">
        <v>181.97</v>
      </c>
      <c r="AE69" s="157">
        <v>1594662.73</v>
      </c>
      <c r="AF69" s="398">
        <f t="shared" si="42"/>
        <v>8763.3276364235862</v>
      </c>
      <c r="AG69" s="398">
        <f t="shared" si="43"/>
        <v>9648.5300324229265</v>
      </c>
      <c r="AH69" s="399">
        <f t="shared" si="44"/>
        <v>885.2</v>
      </c>
      <c r="AI69" s="157">
        <v>35.44</v>
      </c>
      <c r="AJ69" s="157">
        <v>301483.67</v>
      </c>
      <c r="AK69" s="398">
        <f t="shared" si="45"/>
        <v>8506.8755643340864</v>
      </c>
      <c r="AL69" s="398">
        <f t="shared" si="46"/>
        <v>9169.1543453724607</v>
      </c>
      <c r="AM69" s="399">
        <f t="shared" si="47"/>
        <v>662.28</v>
      </c>
      <c r="AN69" s="397">
        <v>0</v>
      </c>
      <c r="AO69" s="397">
        <v>0</v>
      </c>
      <c r="AP69" s="46"/>
      <c r="AQ69" s="402">
        <v>0</v>
      </c>
      <c r="AR69" s="274">
        <v>354027.85</v>
      </c>
      <c r="AS69" s="413">
        <v>122976.12</v>
      </c>
      <c r="AX69" s="2"/>
      <c r="BA69" s="342"/>
      <c r="BB69" s="342"/>
      <c r="BC69" s="342"/>
      <c r="BD69" s="386"/>
      <c r="BE69" s="386"/>
      <c r="BF69" s="386"/>
      <c r="BG69" s="386"/>
      <c r="BH69" s="386"/>
      <c r="BI69" s="386"/>
      <c r="BJ69" s="386"/>
      <c r="BK69" s="386"/>
      <c r="BL69" s="386"/>
      <c r="BM69" s="386"/>
      <c r="BN69" s="387"/>
      <c r="BO69" s="265"/>
      <c r="BP69" s="386"/>
      <c r="BQ69" s="388"/>
      <c r="BR69" s="388"/>
      <c r="BS69" s="389"/>
      <c r="BT69" s="389"/>
      <c r="BU69" s="389"/>
      <c r="BV69" s="386"/>
      <c r="BW69" s="389"/>
      <c r="BX69" s="389"/>
      <c r="BY69" s="386"/>
      <c r="BZ69" s="386"/>
      <c r="CA69" s="386"/>
      <c r="CB69" s="386"/>
      <c r="CC69" s="386"/>
      <c r="CD69" s="386"/>
      <c r="CE69" s="386"/>
      <c r="CF69" s="390"/>
      <c r="CG69" s="390"/>
      <c r="CH69" s="391"/>
      <c r="CI69" s="386"/>
      <c r="CJ69" s="386"/>
      <c r="CK69" s="390"/>
      <c r="CL69" s="390"/>
      <c r="CM69" s="391"/>
      <c r="CN69" s="389"/>
      <c r="CO69" s="389"/>
      <c r="CP69" s="135"/>
      <c r="CQ69" s="135"/>
      <c r="CR69" s="135"/>
      <c r="CS69" s="135"/>
      <c r="CT69" s="135"/>
      <c r="CU69" s="135"/>
    </row>
    <row r="70" spans="1:99">
      <c r="A70" s="342" t="s">
        <v>162</v>
      </c>
      <c r="B70" s="342" t="s">
        <v>161</v>
      </c>
      <c r="C70" s="342" t="s">
        <v>893</v>
      </c>
      <c r="D70" s="157">
        <v>0</v>
      </c>
      <c r="E70" s="157">
        <v>108802.06</v>
      </c>
      <c r="F70" s="157">
        <v>89900.38</v>
      </c>
      <c r="G70" s="157">
        <v>4119030.27</v>
      </c>
      <c r="H70" s="157">
        <v>859735.08</v>
      </c>
      <c r="I70" s="157">
        <v>993422.12</v>
      </c>
      <c r="J70" s="157">
        <v>1265803.71</v>
      </c>
      <c r="K70" s="157">
        <v>653992.19999999995</v>
      </c>
      <c r="L70" s="157">
        <v>100035.32</v>
      </c>
      <c r="M70" s="157">
        <v>2027625.8</v>
      </c>
      <c r="N70" s="264">
        <v>4.7399999999999998E-2</v>
      </c>
      <c r="O70" s="265">
        <v>0.1595</v>
      </c>
      <c r="P70" s="157">
        <v>0</v>
      </c>
      <c r="Q70" s="396">
        <v>0</v>
      </c>
      <c r="R70" s="396">
        <v>0</v>
      </c>
      <c r="S70" s="397">
        <v>0</v>
      </c>
      <c r="T70" s="397">
        <v>0</v>
      </c>
      <c r="U70" s="397">
        <v>0</v>
      </c>
      <c r="V70" s="157">
        <v>0</v>
      </c>
      <c r="W70" s="397">
        <v>0</v>
      </c>
      <c r="X70" s="397">
        <v>0</v>
      </c>
      <c r="Y70" s="157">
        <v>3757.71</v>
      </c>
      <c r="Z70" s="157">
        <v>20474.240000000002</v>
      </c>
      <c r="AA70" s="157">
        <v>87558.84</v>
      </c>
      <c r="AB70" s="157">
        <v>216454.88</v>
      </c>
      <c r="AC70" s="157">
        <v>1606249.58</v>
      </c>
      <c r="AD70" s="157">
        <v>173.07</v>
      </c>
      <c r="AE70" s="157">
        <v>1486565.44</v>
      </c>
      <c r="AF70" s="398">
        <f t="shared" si="42"/>
        <v>8589.3883399780443</v>
      </c>
      <c r="AG70" s="398">
        <f t="shared" si="43"/>
        <v>9280.9243658635241</v>
      </c>
      <c r="AH70" s="399">
        <f t="shared" si="44"/>
        <v>691.54</v>
      </c>
      <c r="AI70" s="157">
        <v>24.12</v>
      </c>
      <c r="AJ70" s="157">
        <v>201096.94</v>
      </c>
      <c r="AK70" s="398">
        <f t="shared" si="45"/>
        <v>8337.3524046434486</v>
      </c>
      <c r="AL70" s="398">
        <f t="shared" si="46"/>
        <v>8974.0829187396357</v>
      </c>
      <c r="AM70" s="399">
        <f t="shared" si="47"/>
        <v>636.73</v>
      </c>
      <c r="AN70" s="397">
        <v>0</v>
      </c>
      <c r="AO70" s="397">
        <v>0</v>
      </c>
      <c r="AP70" s="46"/>
      <c r="AQ70" s="402">
        <v>48295.669999999809</v>
      </c>
      <c r="AR70" s="274">
        <v>345469.72000000003</v>
      </c>
      <c r="AS70" s="413">
        <v>111590.06</v>
      </c>
      <c r="AX70" s="2"/>
      <c r="BA70" s="342"/>
      <c r="BB70" s="342"/>
      <c r="BC70" s="342"/>
      <c r="BD70" s="386"/>
      <c r="BE70" s="386"/>
      <c r="BF70" s="386"/>
      <c r="BG70" s="386"/>
      <c r="BH70" s="386"/>
      <c r="BI70" s="386"/>
      <c r="BJ70" s="386"/>
      <c r="BK70" s="386"/>
      <c r="BL70" s="386"/>
      <c r="BM70" s="386"/>
      <c r="BN70" s="387"/>
      <c r="BO70" s="265"/>
      <c r="BP70" s="386"/>
      <c r="BQ70" s="388"/>
      <c r="BR70" s="388"/>
      <c r="BS70" s="389"/>
      <c r="BT70" s="389"/>
      <c r="BU70" s="389"/>
      <c r="BV70" s="386"/>
      <c r="BW70" s="389"/>
      <c r="BX70" s="389"/>
      <c r="BY70" s="386"/>
      <c r="BZ70" s="386"/>
      <c r="CA70" s="386"/>
      <c r="CB70" s="386"/>
      <c r="CC70" s="386"/>
      <c r="CD70" s="386"/>
      <c r="CE70" s="386"/>
      <c r="CF70" s="390"/>
      <c r="CG70" s="390"/>
      <c r="CH70" s="391"/>
      <c r="CI70" s="386"/>
      <c r="CJ70" s="386"/>
      <c r="CK70" s="390"/>
      <c r="CL70" s="390"/>
      <c r="CM70" s="391"/>
      <c r="CN70" s="389"/>
      <c r="CO70" s="389"/>
      <c r="CP70" s="135"/>
      <c r="CQ70" s="135"/>
      <c r="CR70" s="135"/>
      <c r="CS70" s="135"/>
      <c r="CT70" s="135"/>
      <c r="CU70" s="135"/>
    </row>
    <row r="71" spans="1:99">
      <c r="A71" s="342" t="s">
        <v>164</v>
      </c>
      <c r="B71" s="342" t="s">
        <v>163</v>
      </c>
      <c r="C71" s="342" t="s">
        <v>894</v>
      </c>
      <c r="D71" s="157">
        <v>0</v>
      </c>
      <c r="E71" s="157">
        <v>213728.46</v>
      </c>
      <c r="F71" s="157">
        <v>134672.03</v>
      </c>
      <c r="G71" s="157">
        <v>6937541.3300000001</v>
      </c>
      <c r="H71" s="157">
        <v>1196374.1000000001</v>
      </c>
      <c r="I71" s="157">
        <v>1580599.46</v>
      </c>
      <c r="J71" s="157">
        <v>2220846.21</v>
      </c>
      <c r="K71" s="157">
        <v>1768509.4</v>
      </c>
      <c r="L71" s="157">
        <v>175035.96</v>
      </c>
      <c r="M71" s="157">
        <v>2114970.4700000002</v>
      </c>
      <c r="N71" s="264">
        <v>4.4600000000000001E-2</v>
      </c>
      <c r="O71" s="265">
        <v>0.13739999999999999</v>
      </c>
      <c r="P71" s="157">
        <v>0</v>
      </c>
      <c r="Q71" s="396">
        <v>0</v>
      </c>
      <c r="R71" s="396">
        <v>0</v>
      </c>
      <c r="S71" s="397">
        <v>150087.77000000002</v>
      </c>
      <c r="T71" s="397">
        <v>14224.135000000002</v>
      </c>
      <c r="U71" s="397">
        <v>5526.23</v>
      </c>
      <c r="V71" s="157">
        <v>0</v>
      </c>
      <c r="W71" s="397">
        <v>0</v>
      </c>
      <c r="X71" s="397">
        <v>0</v>
      </c>
      <c r="Y71" s="157">
        <v>6841.01</v>
      </c>
      <c r="Z71" s="157">
        <v>11415.18</v>
      </c>
      <c r="AA71" s="157">
        <v>57733.98</v>
      </c>
      <c r="AB71" s="157">
        <v>1232283.55</v>
      </c>
      <c r="AC71" s="157">
        <v>3344166.48</v>
      </c>
      <c r="AD71" s="157">
        <v>364.81</v>
      </c>
      <c r="AE71" s="157">
        <v>3133799.54</v>
      </c>
      <c r="AF71" s="398">
        <f t="shared" ref="AF71:AF134" si="48">IFERROR(AE71/AD71,0)</f>
        <v>8590.2237877251173</v>
      </c>
      <c r="AG71" s="398">
        <f t="shared" ref="AG71:AG134" si="49">IFERROR(AC71/AD71,0)</f>
        <v>9166.8717414544553</v>
      </c>
      <c r="AH71" s="399">
        <f t="shared" ref="AH71:AH134" si="50">ROUND(AG71-AF71,2)</f>
        <v>576.65</v>
      </c>
      <c r="AI71" s="157">
        <v>137.28</v>
      </c>
      <c r="AJ71" s="157">
        <v>1144234.42</v>
      </c>
      <c r="AK71" s="398">
        <f t="shared" ref="AK71:AK134" si="51">IFERROR(AJ71/AI71,0)</f>
        <v>8335.0409382284379</v>
      </c>
      <c r="AL71" s="398">
        <f t="shared" ref="AL71:AL134" si="52">IFERROR(AB71/AI71,0)</f>
        <v>8976.4244609557118</v>
      </c>
      <c r="AM71" s="399">
        <f t="shared" ref="AM71:AM134" si="53">ROUND(AL71-AK71,2)</f>
        <v>641.38</v>
      </c>
      <c r="AN71" s="397">
        <v>0</v>
      </c>
      <c r="AO71" s="397">
        <v>0</v>
      </c>
      <c r="AP71" s="46"/>
      <c r="AQ71" s="402">
        <v>0</v>
      </c>
      <c r="AR71" s="274">
        <v>591453.89999999991</v>
      </c>
      <c r="AS71" s="413">
        <v>189111.7</v>
      </c>
      <c r="AX71" s="2"/>
      <c r="BA71" s="342"/>
      <c r="BB71" s="342"/>
      <c r="BC71" s="342"/>
      <c r="BD71" s="386"/>
      <c r="BE71" s="386"/>
      <c r="BF71" s="386"/>
      <c r="BG71" s="386"/>
      <c r="BH71" s="386"/>
      <c r="BI71" s="386"/>
      <c r="BJ71" s="386"/>
      <c r="BK71" s="386"/>
      <c r="BL71" s="386"/>
      <c r="BM71" s="386"/>
      <c r="BN71" s="387"/>
      <c r="BO71" s="265"/>
      <c r="BP71" s="386"/>
      <c r="BQ71" s="388"/>
      <c r="BR71" s="388"/>
      <c r="BS71" s="389"/>
      <c r="BT71" s="389"/>
      <c r="BU71" s="389"/>
      <c r="BV71" s="386"/>
      <c r="BW71" s="389"/>
      <c r="BX71" s="389"/>
      <c r="BY71" s="386"/>
      <c r="BZ71" s="386"/>
      <c r="CA71" s="386"/>
      <c r="CB71" s="386"/>
      <c r="CC71" s="386"/>
      <c r="CD71" s="386"/>
      <c r="CE71" s="386"/>
      <c r="CF71" s="390"/>
      <c r="CG71" s="390"/>
      <c r="CH71" s="391"/>
      <c r="CI71" s="386"/>
      <c r="CJ71" s="386"/>
      <c r="CK71" s="390"/>
      <c r="CL71" s="390"/>
      <c r="CM71" s="391"/>
      <c r="CN71" s="389"/>
      <c r="CO71" s="389"/>
      <c r="CP71" s="135"/>
      <c r="CQ71" s="135"/>
      <c r="CR71" s="135"/>
      <c r="CS71" s="135"/>
      <c r="CT71" s="135"/>
      <c r="CU71" s="135"/>
    </row>
    <row r="72" spans="1:99">
      <c r="A72" s="342" t="s">
        <v>166</v>
      </c>
      <c r="B72" s="342" t="s">
        <v>165</v>
      </c>
      <c r="C72" s="342" t="s">
        <v>895</v>
      </c>
      <c r="D72" s="157">
        <v>0</v>
      </c>
      <c r="E72" s="157">
        <v>3248.26</v>
      </c>
      <c r="F72" s="157">
        <v>277.7</v>
      </c>
      <c r="G72" s="157">
        <v>141228.37</v>
      </c>
      <c r="H72" s="157">
        <v>13698.55</v>
      </c>
      <c r="I72" s="157">
        <v>12310.43</v>
      </c>
      <c r="J72" s="157">
        <v>42517.62</v>
      </c>
      <c r="K72" s="157">
        <v>10860.96</v>
      </c>
      <c r="L72" s="157">
        <v>2482.77</v>
      </c>
      <c r="M72" s="157">
        <v>118648.46</v>
      </c>
      <c r="N72" s="264">
        <v>0.4042</v>
      </c>
      <c r="O72" s="265">
        <v>0.42270000000000002</v>
      </c>
      <c r="P72" s="157">
        <v>0</v>
      </c>
      <c r="Q72" s="396">
        <v>0</v>
      </c>
      <c r="R72" s="396">
        <v>0</v>
      </c>
      <c r="S72" s="397">
        <v>0</v>
      </c>
      <c r="T72" s="397">
        <v>0</v>
      </c>
      <c r="U72" s="397">
        <v>0</v>
      </c>
      <c r="V72" s="157">
        <v>0</v>
      </c>
      <c r="W72" s="397">
        <v>0</v>
      </c>
      <c r="X72" s="397">
        <v>0</v>
      </c>
      <c r="Y72" s="157">
        <v>104.88</v>
      </c>
      <c r="Z72" s="157">
        <v>0</v>
      </c>
      <c r="AA72" s="157">
        <v>0</v>
      </c>
      <c r="AB72" s="157">
        <v>0</v>
      </c>
      <c r="AC72" s="157">
        <v>0</v>
      </c>
      <c r="AD72" s="157">
        <v>0</v>
      </c>
      <c r="AE72" s="157">
        <v>0</v>
      </c>
      <c r="AF72" s="398">
        <f t="shared" si="48"/>
        <v>0</v>
      </c>
      <c r="AG72" s="398">
        <f t="shared" si="49"/>
        <v>0</v>
      </c>
      <c r="AH72" s="399">
        <f t="shared" si="50"/>
        <v>0</v>
      </c>
      <c r="AI72" s="157">
        <v>0</v>
      </c>
      <c r="AJ72" s="157">
        <v>0</v>
      </c>
      <c r="AK72" s="398">
        <f t="shared" si="51"/>
        <v>0</v>
      </c>
      <c r="AL72" s="398">
        <f t="shared" si="52"/>
        <v>0</v>
      </c>
      <c r="AM72" s="399">
        <f t="shared" si="53"/>
        <v>0</v>
      </c>
      <c r="AN72" s="397">
        <v>6000</v>
      </c>
      <c r="AO72" s="397">
        <v>2500</v>
      </c>
      <c r="AP72" s="46"/>
      <c r="AQ72" s="402">
        <v>24206.53</v>
      </c>
      <c r="AR72" s="274">
        <v>21056.86</v>
      </c>
      <c r="AS72" s="413">
        <v>12709.119999999999</v>
      </c>
      <c r="AX72" s="2"/>
      <c r="BA72" s="342"/>
      <c r="BB72" s="342"/>
      <c r="BC72" s="342"/>
      <c r="BD72" s="386"/>
      <c r="BE72" s="386"/>
      <c r="BF72" s="386"/>
      <c r="BG72" s="386"/>
      <c r="BH72" s="386"/>
      <c r="BI72" s="386"/>
      <c r="BJ72" s="386"/>
      <c r="BK72" s="386"/>
      <c r="BL72" s="386"/>
      <c r="BM72" s="386"/>
      <c r="BN72" s="387"/>
      <c r="BO72" s="265"/>
      <c r="BP72" s="386"/>
      <c r="BQ72" s="388"/>
      <c r="BR72" s="388"/>
      <c r="BS72" s="389"/>
      <c r="BT72" s="389"/>
      <c r="BU72" s="389"/>
      <c r="BV72" s="386"/>
      <c r="BW72" s="389"/>
      <c r="BX72" s="389"/>
      <c r="BY72" s="386"/>
      <c r="BZ72" s="386"/>
      <c r="CA72" s="386"/>
      <c r="CB72" s="386"/>
      <c r="CC72" s="386"/>
      <c r="CD72" s="386"/>
      <c r="CE72" s="386"/>
      <c r="CF72" s="390"/>
      <c r="CG72" s="390"/>
      <c r="CH72" s="391"/>
      <c r="CI72" s="386"/>
      <c r="CJ72" s="386"/>
      <c r="CK72" s="390"/>
      <c r="CL72" s="390"/>
      <c r="CM72" s="391"/>
      <c r="CN72" s="389"/>
      <c r="CO72" s="389"/>
      <c r="CP72" s="135"/>
      <c r="CQ72" s="135"/>
      <c r="CR72" s="135"/>
      <c r="CS72" s="135"/>
      <c r="CT72" s="135"/>
      <c r="CU72" s="135"/>
    </row>
    <row r="73" spans="1:99">
      <c r="A73" s="342" t="s">
        <v>168</v>
      </c>
      <c r="B73" s="342" t="s">
        <v>167</v>
      </c>
      <c r="C73" s="342" t="s">
        <v>896</v>
      </c>
      <c r="D73" s="157">
        <v>0</v>
      </c>
      <c r="E73" s="157">
        <v>45181.23</v>
      </c>
      <c r="F73" s="157">
        <v>0</v>
      </c>
      <c r="G73" s="157">
        <v>2244472.7200000002</v>
      </c>
      <c r="H73" s="157">
        <v>397498.41</v>
      </c>
      <c r="I73" s="157">
        <v>44586.59</v>
      </c>
      <c r="J73" s="157">
        <v>475348.81</v>
      </c>
      <c r="K73" s="157">
        <v>22330.94</v>
      </c>
      <c r="L73" s="157">
        <v>58241.85</v>
      </c>
      <c r="M73" s="157">
        <v>1274869.3999999999</v>
      </c>
      <c r="N73" s="264">
        <v>3.2199999999999999E-2</v>
      </c>
      <c r="O73" s="265">
        <v>0.18970000000000001</v>
      </c>
      <c r="P73" s="157">
        <v>0</v>
      </c>
      <c r="Q73" s="396">
        <v>0</v>
      </c>
      <c r="R73" s="396">
        <v>0</v>
      </c>
      <c r="S73" s="397">
        <v>0</v>
      </c>
      <c r="T73" s="397">
        <v>0</v>
      </c>
      <c r="U73" s="397">
        <v>0</v>
      </c>
      <c r="V73" s="157">
        <v>0</v>
      </c>
      <c r="W73" s="397">
        <v>0</v>
      </c>
      <c r="X73" s="397">
        <v>0</v>
      </c>
      <c r="Y73" s="157">
        <v>602.23</v>
      </c>
      <c r="Z73" s="157">
        <v>0</v>
      </c>
      <c r="AA73" s="157">
        <v>0</v>
      </c>
      <c r="AB73" s="157">
        <v>664999.34</v>
      </c>
      <c r="AC73" s="157">
        <v>1140963.3899999999</v>
      </c>
      <c r="AD73" s="157">
        <v>124.97</v>
      </c>
      <c r="AE73" s="157">
        <v>1073571.75</v>
      </c>
      <c r="AF73" s="398">
        <f t="shared" si="48"/>
        <v>8590.6357525806197</v>
      </c>
      <c r="AG73" s="398">
        <f t="shared" si="49"/>
        <v>9129.8982955909414</v>
      </c>
      <c r="AH73" s="399">
        <f t="shared" si="50"/>
        <v>539.26</v>
      </c>
      <c r="AI73" s="157">
        <v>74.069999999999993</v>
      </c>
      <c r="AJ73" s="157">
        <v>617389.85</v>
      </c>
      <c r="AK73" s="398">
        <f t="shared" si="51"/>
        <v>8335.2214121776706</v>
      </c>
      <c r="AL73" s="398">
        <f t="shared" si="52"/>
        <v>8977.9848791683544</v>
      </c>
      <c r="AM73" s="399">
        <f t="shared" si="53"/>
        <v>642.76</v>
      </c>
      <c r="AN73" s="397">
        <v>7000</v>
      </c>
      <c r="AO73" s="397">
        <v>0</v>
      </c>
      <c r="AP73" s="46"/>
      <c r="AQ73" s="402">
        <v>0</v>
      </c>
      <c r="AR73" s="274">
        <v>182508.17</v>
      </c>
      <c r="AS73" s="413">
        <v>70816.56</v>
      </c>
      <c r="AX73" s="2"/>
      <c r="BA73" s="342"/>
      <c r="BB73" s="342"/>
      <c r="BC73" s="342"/>
      <c r="BD73" s="386"/>
      <c r="BE73" s="386"/>
      <c r="BF73" s="386"/>
      <c r="BG73" s="386"/>
      <c r="BH73" s="386"/>
      <c r="BI73" s="386"/>
      <c r="BJ73" s="386"/>
      <c r="BK73" s="386"/>
      <c r="BL73" s="386"/>
      <c r="BM73" s="386"/>
      <c r="BN73" s="387"/>
      <c r="BO73" s="265"/>
      <c r="BP73" s="386"/>
      <c r="BQ73" s="388"/>
      <c r="BR73" s="388"/>
      <c r="BS73" s="389"/>
      <c r="BT73" s="389"/>
      <c r="BU73" s="389"/>
      <c r="BV73" s="386"/>
      <c r="BW73" s="389"/>
      <c r="BX73" s="389"/>
      <c r="BY73" s="386"/>
      <c r="BZ73" s="386"/>
      <c r="CA73" s="386"/>
      <c r="CB73" s="386"/>
      <c r="CC73" s="386"/>
      <c r="CD73" s="386"/>
      <c r="CE73" s="386"/>
      <c r="CF73" s="390"/>
      <c r="CG73" s="390"/>
      <c r="CH73" s="391"/>
      <c r="CI73" s="386"/>
      <c r="CJ73" s="386"/>
      <c r="CK73" s="390"/>
      <c r="CL73" s="390"/>
      <c r="CM73" s="391"/>
      <c r="CN73" s="389"/>
      <c r="CO73" s="389"/>
      <c r="CP73" s="135"/>
      <c r="CQ73" s="135"/>
      <c r="CR73" s="135"/>
      <c r="CS73" s="135"/>
      <c r="CT73" s="135"/>
      <c r="CU73" s="135"/>
    </row>
    <row r="74" spans="1:99">
      <c r="A74" s="342" t="s">
        <v>170</v>
      </c>
      <c r="B74" s="342" t="s">
        <v>169</v>
      </c>
      <c r="C74" s="342" t="s">
        <v>897</v>
      </c>
      <c r="D74" s="157">
        <v>0</v>
      </c>
      <c r="E74" s="157">
        <v>492591.43</v>
      </c>
      <c r="F74" s="157">
        <v>49818.73</v>
      </c>
      <c r="G74" s="157">
        <v>33985060.18</v>
      </c>
      <c r="H74" s="157">
        <v>8402856.6799999997</v>
      </c>
      <c r="I74" s="157">
        <v>622889.62</v>
      </c>
      <c r="J74" s="157">
        <v>5277249.3</v>
      </c>
      <c r="K74" s="157">
        <v>6668308.1900000004</v>
      </c>
      <c r="L74" s="157">
        <v>684351.9</v>
      </c>
      <c r="M74" s="157">
        <v>15974498.68</v>
      </c>
      <c r="N74" s="264">
        <v>4.2299999999999997E-2</v>
      </c>
      <c r="O74" s="265">
        <v>0.1197</v>
      </c>
      <c r="P74" s="157">
        <v>0</v>
      </c>
      <c r="Q74" s="396">
        <v>0</v>
      </c>
      <c r="R74" s="396">
        <v>0</v>
      </c>
      <c r="S74" s="397">
        <v>0</v>
      </c>
      <c r="T74" s="397">
        <v>0</v>
      </c>
      <c r="U74" s="397">
        <v>0</v>
      </c>
      <c r="V74" s="157">
        <v>0</v>
      </c>
      <c r="W74" s="397">
        <v>0</v>
      </c>
      <c r="X74" s="397">
        <v>0</v>
      </c>
      <c r="Y74" s="157">
        <v>22219.200000000001</v>
      </c>
      <c r="Z74" s="157">
        <v>50534.54</v>
      </c>
      <c r="AA74" s="157">
        <v>432970.17</v>
      </c>
      <c r="AB74" s="157">
        <v>1131101.56</v>
      </c>
      <c r="AC74" s="157">
        <v>9595798.2799999993</v>
      </c>
      <c r="AD74" s="157">
        <v>896.31</v>
      </c>
      <c r="AE74" s="157">
        <v>8663953.7699999996</v>
      </c>
      <c r="AF74" s="398">
        <f t="shared" si="48"/>
        <v>9666.2469123405972</v>
      </c>
      <c r="AG74" s="398">
        <f t="shared" si="49"/>
        <v>10705.892247102007</v>
      </c>
      <c r="AH74" s="399">
        <f t="shared" si="50"/>
        <v>1039.6500000000001</v>
      </c>
      <c r="AI74" s="157">
        <v>111.75</v>
      </c>
      <c r="AJ74" s="157">
        <v>1050747.96</v>
      </c>
      <c r="AK74" s="398">
        <f t="shared" si="51"/>
        <v>9402.6663087248326</v>
      </c>
      <c r="AL74" s="398">
        <f t="shared" si="52"/>
        <v>10121.71418344519</v>
      </c>
      <c r="AM74" s="399">
        <f t="shared" si="53"/>
        <v>719.05</v>
      </c>
      <c r="AN74" s="397">
        <v>0</v>
      </c>
      <c r="AO74" s="397">
        <v>0</v>
      </c>
      <c r="AP74" s="46"/>
      <c r="AQ74" s="402">
        <v>355083.81999999937</v>
      </c>
      <c r="AR74" s="274">
        <v>2304116.17</v>
      </c>
      <c r="AS74" s="413">
        <v>609508.41</v>
      </c>
      <c r="AX74" s="2"/>
      <c r="BA74" s="342"/>
      <c r="BB74" s="342"/>
      <c r="BC74" s="342"/>
      <c r="BD74" s="386"/>
      <c r="BE74" s="386"/>
      <c r="BF74" s="386"/>
      <c r="BG74" s="386"/>
      <c r="BH74" s="386"/>
      <c r="BI74" s="386"/>
      <c r="BJ74" s="386"/>
      <c r="BK74" s="386"/>
      <c r="BL74" s="386"/>
      <c r="BM74" s="386"/>
      <c r="BN74" s="387"/>
      <c r="BO74" s="265"/>
      <c r="BP74" s="386"/>
      <c r="BQ74" s="388"/>
      <c r="BR74" s="388"/>
      <c r="BS74" s="389"/>
      <c r="BT74" s="389"/>
      <c r="BU74" s="389"/>
      <c r="BV74" s="386"/>
      <c r="BW74" s="389"/>
      <c r="BX74" s="389"/>
      <c r="BY74" s="386"/>
      <c r="BZ74" s="386"/>
      <c r="CA74" s="386"/>
      <c r="CB74" s="386"/>
      <c r="CC74" s="386"/>
      <c r="CD74" s="386"/>
      <c r="CE74" s="386"/>
      <c r="CF74" s="390"/>
      <c r="CG74" s="390"/>
      <c r="CH74" s="391"/>
      <c r="CI74" s="386"/>
      <c r="CJ74" s="386"/>
      <c r="CK74" s="390"/>
      <c r="CL74" s="390"/>
      <c r="CM74" s="391"/>
      <c r="CN74" s="389"/>
      <c r="CO74" s="389"/>
      <c r="CP74" s="135"/>
      <c r="CQ74" s="135"/>
      <c r="CR74" s="135"/>
      <c r="CS74" s="135"/>
      <c r="CT74" s="135"/>
      <c r="CU74" s="135"/>
    </row>
    <row r="75" spans="1:99">
      <c r="A75" s="342" t="s">
        <v>172</v>
      </c>
      <c r="B75" s="342" t="s">
        <v>171</v>
      </c>
      <c r="C75" s="342" t="s">
        <v>898</v>
      </c>
      <c r="D75" s="157">
        <v>0</v>
      </c>
      <c r="E75" s="157">
        <v>57259.42</v>
      </c>
      <c r="F75" s="157">
        <v>14205.61</v>
      </c>
      <c r="G75" s="157">
        <v>4222518.45</v>
      </c>
      <c r="H75" s="157">
        <v>766843.18</v>
      </c>
      <c r="I75" s="157">
        <v>173484.22</v>
      </c>
      <c r="J75" s="157">
        <v>870214.2</v>
      </c>
      <c r="K75" s="157">
        <v>386731.38</v>
      </c>
      <c r="L75" s="157">
        <v>95380.12</v>
      </c>
      <c r="M75" s="157">
        <v>2007246.05</v>
      </c>
      <c r="N75" s="264">
        <v>4.9500000000000002E-2</v>
      </c>
      <c r="O75" s="265">
        <v>0.16139999999999999</v>
      </c>
      <c r="P75" s="157">
        <v>0</v>
      </c>
      <c r="Q75" s="396">
        <v>0</v>
      </c>
      <c r="R75" s="396">
        <v>0</v>
      </c>
      <c r="S75" s="397">
        <v>0</v>
      </c>
      <c r="T75" s="397">
        <v>0</v>
      </c>
      <c r="U75" s="397">
        <v>0</v>
      </c>
      <c r="V75" s="157">
        <v>0</v>
      </c>
      <c r="W75" s="397">
        <v>0</v>
      </c>
      <c r="X75" s="397">
        <v>0</v>
      </c>
      <c r="Y75" s="157">
        <v>3348.33</v>
      </c>
      <c r="Z75" s="157">
        <v>23504.92</v>
      </c>
      <c r="AA75" s="157">
        <v>166594.10999999999</v>
      </c>
      <c r="AB75" s="157">
        <v>276305.18</v>
      </c>
      <c r="AC75" s="157">
        <v>1840717.33</v>
      </c>
      <c r="AD75" s="157">
        <v>204.8</v>
      </c>
      <c r="AE75" s="157">
        <v>1759363.38</v>
      </c>
      <c r="AF75" s="398">
        <f t="shared" si="48"/>
        <v>8590.6415039062485</v>
      </c>
      <c r="AG75" s="398">
        <f t="shared" si="49"/>
        <v>8987.8775878906254</v>
      </c>
      <c r="AH75" s="399">
        <f t="shared" si="50"/>
        <v>397.24</v>
      </c>
      <c r="AI75" s="157">
        <v>30.78</v>
      </c>
      <c r="AJ75" s="157">
        <v>256517.76000000001</v>
      </c>
      <c r="AK75" s="398">
        <f t="shared" si="51"/>
        <v>8333.9103313840151</v>
      </c>
      <c r="AL75" s="398">
        <f t="shared" si="52"/>
        <v>8976.7764782326176</v>
      </c>
      <c r="AM75" s="399">
        <f t="shared" si="53"/>
        <v>642.87</v>
      </c>
      <c r="AN75" s="397">
        <v>0</v>
      </c>
      <c r="AO75" s="397">
        <v>0</v>
      </c>
      <c r="AP75" s="46"/>
      <c r="AQ75" s="402">
        <v>35886.679999999935</v>
      </c>
      <c r="AR75" s="274">
        <v>310588.04000000004</v>
      </c>
      <c r="AS75" s="413">
        <v>110276.68000000001</v>
      </c>
      <c r="AX75" s="2"/>
      <c r="BA75" s="342"/>
      <c r="BB75" s="342"/>
      <c r="BC75" s="342"/>
      <c r="BD75" s="386"/>
      <c r="BE75" s="386"/>
      <c r="BF75" s="386"/>
      <c r="BG75" s="386"/>
      <c r="BH75" s="386"/>
      <c r="BI75" s="386"/>
      <c r="BJ75" s="386"/>
      <c r="BK75" s="386"/>
      <c r="BL75" s="386"/>
      <c r="BM75" s="386"/>
      <c r="BN75" s="387"/>
      <c r="BO75" s="265"/>
      <c r="BP75" s="386"/>
      <c r="BQ75" s="388"/>
      <c r="BR75" s="388"/>
      <c r="BS75" s="389"/>
      <c r="BT75" s="389"/>
      <c r="BU75" s="389"/>
      <c r="BV75" s="386"/>
      <c r="BW75" s="389"/>
      <c r="BX75" s="389"/>
      <c r="BY75" s="386"/>
      <c r="BZ75" s="386"/>
      <c r="CA75" s="386"/>
      <c r="CB75" s="386"/>
      <c r="CC75" s="386"/>
      <c r="CD75" s="386"/>
      <c r="CE75" s="386"/>
      <c r="CF75" s="390"/>
      <c r="CG75" s="390"/>
      <c r="CH75" s="391"/>
      <c r="CI75" s="386"/>
      <c r="CJ75" s="386"/>
      <c r="CK75" s="390"/>
      <c r="CL75" s="390"/>
      <c r="CM75" s="391"/>
      <c r="CN75" s="389"/>
      <c r="CO75" s="389"/>
      <c r="CP75" s="135"/>
      <c r="CQ75" s="135"/>
      <c r="CR75" s="135"/>
      <c r="CS75" s="135"/>
      <c r="CT75" s="135"/>
      <c r="CU75" s="135"/>
    </row>
    <row r="76" spans="1:99">
      <c r="A76" s="342" t="s">
        <v>174</v>
      </c>
      <c r="B76" s="342" t="s">
        <v>173</v>
      </c>
      <c r="C76" s="342" t="s">
        <v>899</v>
      </c>
      <c r="D76" s="157">
        <v>0</v>
      </c>
      <c r="E76" s="157">
        <v>68804.09</v>
      </c>
      <c r="F76" s="157">
        <v>44168.28</v>
      </c>
      <c r="G76" s="157">
        <v>2360544.12</v>
      </c>
      <c r="H76" s="157">
        <v>550675.06999999995</v>
      </c>
      <c r="I76" s="157">
        <v>492510.39</v>
      </c>
      <c r="J76" s="157">
        <v>829344.68</v>
      </c>
      <c r="K76" s="157">
        <v>214311.4</v>
      </c>
      <c r="L76" s="157">
        <v>52141.86</v>
      </c>
      <c r="M76" s="157">
        <v>950654.68</v>
      </c>
      <c r="N76" s="264">
        <v>6.3799999999999996E-2</v>
      </c>
      <c r="O76" s="265">
        <v>0.1585</v>
      </c>
      <c r="P76" s="157">
        <v>0</v>
      </c>
      <c r="Q76" s="396">
        <v>0</v>
      </c>
      <c r="R76" s="396">
        <v>0</v>
      </c>
      <c r="S76" s="397">
        <v>0</v>
      </c>
      <c r="T76" s="397">
        <v>0</v>
      </c>
      <c r="U76" s="397">
        <v>0</v>
      </c>
      <c r="V76" s="157">
        <v>0</v>
      </c>
      <c r="W76" s="397">
        <v>0</v>
      </c>
      <c r="X76" s="397">
        <v>0</v>
      </c>
      <c r="Y76" s="157">
        <v>0</v>
      </c>
      <c r="Z76" s="157">
        <v>0</v>
      </c>
      <c r="AA76" s="157">
        <v>172089.67</v>
      </c>
      <c r="AB76" s="157">
        <v>727967.36</v>
      </c>
      <c r="AC76" s="157">
        <v>2474393.9700000002</v>
      </c>
      <c r="AD76" s="157">
        <v>265.58</v>
      </c>
      <c r="AE76" s="157">
        <v>2327319.9500000002</v>
      </c>
      <c r="AF76" s="398">
        <f t="shared" si="48"/>
        <v>8763.1596882295362</v>
      </c>
      <c r="AG76" s="398">
        <f t="shared" si="49"/>
        <v>9316.9439340311783</v>
      </c>
      <c r="AH76" s="399">
        <f t="shared" si="50"/>
        <v>553.78</v>
      </c>
      <c r="AI76" s="157">
        <v>79.400000000000006</v>
      </c>
      <c r="AJ76" s="157">
        <v>675592.76</v>
      </c>
      <c r="AK76" s="398">
        <f t="shared" si="51"/>
        <v>8508.7249370277077</v>
      </c>
      <c r="AL76" s="398">
        <f t="shared" si="52"/>
        <v>9168.3546599496221</v>
      </c>
      <c r="AM76" s="399">
        <f t="shared" si="53"/>
        <v>659.63</v>
      </c>
      <c r="AN76" s="397">
        <v>2290.17</v>
      </c>
      <c r="AO76" s="397">
        <v>0</v>
      </c>
      <c r="AP76" s="46"/>
      <c r="AQ76" s="402">
        <v>19550.24000000002</v>
      </c>
      <c r="AR76" s="274">
        <v>175382.52</v>
      </c>
      <c r="AS76" s="413">
        <v>57998.44</v>
      </c>
      <c r="AX76" s="2"/>
      <c r="BA76" s="342"/>
      <c r="BB76" s="342"/>
      <c r="BC76" s="342"/>
      <c r="BD76" s="386"/>
      <c r="BE76" s="386"/>
      <c r="BF76" s="386"/>
      <c r="BG76" s="386"/>
      <c r="BH76" s="386"/>
      <c r="BI76" s="386"/>
      <c r="BJ76" s="386"/>
      <c r="BK76" s="386"/>
      <c r="BL76" s="386"/>
      <c r="BM76" s="386"/>
      <c r="BN76" s="387"/>
      <c r="BO76" s="265"/>
      <c r="BP76" s="386"/>
      <c r="BQ76" s="388"/>
      <c r="BR76" s="388"/>
      <c r="BS76" s="389"/>
      <c r="BT76" s="389"/>
      <c r="BU76" s="389"/>
      <c r="BV76" s="386"/>
      <c r="BW76" s="389"/>
      <c r="BX76" s="389"/>
      <c r="BY76" s="386"/>
      <c r="BZ76" s="386"/>
      <c r="CA76" s="386"/>
      <c r="CB76" s="386"/>
      <c r="CC76" s="386"/>
      <c r="CD76" s="386"/>
      <c r="CE76" s="386"/>
      <c r="CF76" s="390"/>
      <c r="CG76" s="390"/>
      <c r="CH76" s="391"/>
      <c r="CI76" s="386"/>
      <c r="CJ76" s="386"/>
      <c r="CK76" s="390"/>
      <c r="CL76" s="390"/>
      <c r="CM76" s="391"/>
      <c r="CN76" s="389"/>
      <c r="CO76" s="389"/>
      <c r="CP76" s="135"/>
      <c r="CQ76" s="135"/>
      <c r="CR76" s="135"/>
      <c r="CS76" s="135"/>
      <c r="CT76" s="135"/>
      <c r="CU76" s="135"/>
    </row>
    <row r="77" spans="1:99">
      <c r="A77" s="342" t="s">
        <v>176</v>
      </c>
      <c r="B77" s="342" t="s">
        <v>175</v>
      </c>
      <c r="C77" s="342" t="s">
        <v>900</v>
      </c>
      <c r="D77" s="157">
        <v>0</v>
      </c>
      <c r="E77" s="157">
        <v>0</v>
      </c>
      <c r="F77" s="157">
        <v>2289.33</v>
      </c>
      <c r="G77" s="157">
        <v>98271.46</v>
      </c>
      <c r="H77" s="157">
        <v>29013.88</v>
      </c>
      <c r="I77" s="157">
        <v>22551.919999999998</v>
      </c>
      <c r="J77" s="157">
        <v>27620.93</v>
      </c>
      <c r="K77" s="157">
        <v>0</v>
      </c>
      <c r="L77" s="157">
        <v>2068.98</v>
      </c>
      <c r="M77" s="157">
        <v>199020.15</v>
      </c>
      <c r="N77" s="264">
        <v>2.8400000000000002E-2</v>
      </c>
      <c r="O77" s="265">
        <v>0.26600000000000001</v>
      </c>
      <c r="P77" s="157">
        <v>0</v>
      </c>
      <c r="Q77" s="396">
        <v>0</v>
      </c>
      <c r="R77" s="396">
        <v>0</v>
      </c>
      <c r="S77" s="397">
        <v>0</v>
      </c>
      <c r="T77" s="397">
        <v>0</v>
      </c>
      <c r="U77" s="397">
        <v>0</v>
      </c>
      <c r="V77" s="157">
        <v>0</v>
      </c>
      <c r="W77" s="397">
        <v>0</v>
      </c>
      <c r="X77" s="397">
        <v>0</v>
      </c>
      <c r="Y77" s="157">
        <v>96.99</v>
      </c>
      <c r="Z77" s="157">
        <v>0</v>
      </c>
      <c r="AA77" s="157">
        <v>0</v>
      </c>
      <c r="AB77" s="157">
        <v>0</v>
      </c>
      <c r="AC77" s="157">
        <v>0</v>
      </c>
      <c r="AD77" s="157">
        <v>0</v>
      </c>
      <c r="AE77" s="157">
        <v>0</v>
      </c>
      <c r="AF77" s="398">
        <f t="shared" si="48"/>
        <v>0</v>
      </c>
      <c r="AG77" s="398">
        <f t="shared" si="49"/>
        <v>0</v>
      </c>
      <c r="AH77" s="399">
        <f t="shared" si="50"/>
        <v>0</v>
      </c>
      <c r="AI77" s="157">
        <v>0</v>
      </c>
      <c r="AJ77" s="157">
        <v>0</v>
      </c>
      <c r="AK77" s="398">
        <f t="shared" si="51"/>
        <v>0</v>
      </c>
      <c r="AL77" s="398">
        <f t="shared" si="52"/>
        <v>0</v>
      </c>
      <c r="AM77" s="399">
        <f t="shared" si="53"/>
        <v>0</v>
      </c>
      <c r="AN77" s="397">
        <v>0</v>
      </c>
      <c r="AO77" s="397">
        <v>0</v>
      </c>
      <c r="AP77" s="46"/>
      <c r="AQ77" s="402">
        <v>0</v>
      </c>
      <c r="AR77" s="274">
        <v>20504.09</v>
      </c>
      <c r="AS77" s="413">
        <v>12655.66</v>
      </c>
      <c r="AX77" s="2"/>
      <c r="BA77" s="342"/>
      <c r="BB77" s="342"/>
      <c r="BC77" s="342"/>
      <c r="BD77" s="386"/>
      <c r="BE77" s="386"/>
      <c r="BF77" s="386"/>
      <c r="BG77" s="386"/>
      <c r="BH77" s="386"/>
      <c r="BI77" s="386"/>
      <c r="BJ77" s="386"/>
      <c r="BK77" s="386"/>
      <c r="BL77" s="386"/>
      <c r="BM77" s="386"/>
      <c r="BN77" s="387"/>
      <c r="BO77" s="265"/>
      <c r="BP77" s="386"/>
      <c r="BQ77" s="388"/>
      <c r="BR77" s="388"/>
      <c r="BS77" s="389"/>
      <c r="BT77" s="389"/>
      <c r="BU77" s="389"/>
      <c r="BV77" s="386"/>
      <c r="BW77" s="389"/>
      <c r="BX77" s="389"/>
      <c r="BY77" s="386"/>
      <c r="BZ77" s="386"/>
      <c r="CA77" s="386"/>
      <c r="CB77" s="386"/>
      <c r="CC77" s="386"/>
      <c r="CD77" s="386"/>
      <c r="CE77" s="386"/>
      <c r="CF77" s="390"/>
      <c r="CG77" s="390"/>
      <c r="CH77" s="391"/>
      <c r="CI77" s="386"/>
      <c r="CJ77" s="386"/>
      <c r="CK77" s="390"/>
      <c r="CL77" s="390"/>
      <c r="CM77" s="391"/>
      <c r="CN77" s="389"/>
      <c r="CO77" s="389"/>
      <c r="CP77" s="135"/>
      <c r="CQ77" s="135"/>
      <c r="CR77" s="135"/>
      <c r="CS77" s="135"/>
      <c r="CT77" s="135"/>
      <c r="CU77" s="135"/>
    </row>
    <row r="78" spans="1:99">
      <c r="A78" s="342" t="s">
        <v>178</v>
      </c>
      <c r="B78" s="342" t="s">
        <v>177</v>
      </c>
      <c r="C78" s="342" t="s">
        <v>901</v>
      </c>
      <c r="D78" s="157">
        <v>0</v>
      </c>
      <c r="E78" s="157">
        <v>0</v>
      </c>
      <c r="F78" s="157">
        <v>0</v>
      </c>
      <c r="G78" s="157">
        <v>265762.32</v>
      </c>
      <c r="H78" s="157">
        <v>26485.919999999998</v>
      </c>
      <c r="I78" s="157">
        <v>97324.33</v>
      </c>
      <c r="J78" s="157">
        <v>137474.63</v>
      </c>
      <c r="K78" s="157">
        <v>121548.19</v>
      </c>
      <c r="L78" s="157">
        <v>10278.48</v>
      </c>
      <c r="M78" s="157">
        <v>295013.78000000003</v>
      </c>
      <c r="N78" s="264">
        <v>7.8100000000000003E-2</v>
      </c>
      <c r="O78" s="265">
        <v>0.22539999999999999</v>
      </c>
      <c r="P78" s="157">
        <v>0</v>
      </c>
      <c r="Q78" s="396">
        <v>0</v>
      </c>
      <c r="R78" s="396">
        <v>0</v>
      </c>
      <c r="S78" s="397">
        <v>0</v>
      </c>
      <c r="T78" s="397">
        <v>0</v>
      </c>
      <c r="U78" s="397">
        <v>0</v>
      </c>
      <c r="V78" s="157">
        <v>0</v>
      </c>
      <c r="W78" s="397">
        <v>0</v>
      </c>
      <c r="X78" s="397">
        <v>0</v>
      </c>
      <c r="Y78" s="157">
        <v>0</v>
      </c>
      <c r="Z78" s="157">
        <v>0</v>
      </c>
      <c r="AA78" s="157">
        <v>0</v>
      </c>
      <c r="AB78" s="157">
        <v>0</v>
      </c>
      <c r="AC78" s="157">
        <v>6599.44</v>
      </c>
      <c r="AD78" s="157">
        <v>0</v>
      </c>
      <c r="AE78" s="157">
        <v>0</v>
      </c>
      <c r="AF78" s="398">
        <f t="shared" si="48"/>
        <v>0</v>
      </c>
      <c r="AG78" s="398">
        <f t="shared" si="49"/>
        <v>0</v>
      </c>
      <c r="AH78" s="399">
        <f t="shared" si="50"/>
        <v>0</v>
      </c>
      <c r="AI78" s="157">
        <v>0</v>
      </c>
      <c r="AJ78" s="157">
        <v>0</v>
      </c>
      <c r="AK78" s="398">
        <f t="shared" si="51"/>
        <v>0</v>
      </c>
      <c r="AL78" s="398">
        <f t="shared" si="52"/>
        <v>0</v>
      </c>
      <c r="AM78" s="399">
        <f t="shared" si="53"/>
        <v>0</v>
      </c>
      <c r="AN78" s="397">
        <v>1925.64</v>
      </c>
      <c r="AO78" s="397">
        <v>0</v>
      </c>
      <c r="AP78" s="46"/>
      <c r="AQ78" s="402">
        <v>13764.64</v>
      </c>
      <c r="AR78" s="274">
        <v>45510.19</v>
      </c>
      <c r="AS78" s="413">
        <v>20513.580000000002</v>
      </c>
      <c r="AX78" s="2"/>
      <c r="BA78" s="342"/>
      <c r="BB78" s="342"/>
      <c r="BC78" s="342"/>
      <c r="BD78" s="386"/>
      <c r="BE78" s="386"/>
      <c r="BF78" s="386"/>
      <c r="BG78" s="386"/>
      <c r="BH78" s="386"/>
      <c r="BI78" s="386"/>
      <c r="BJ78" s="386"/>
      <c r="BK78" s="386"/>
      <c r="BL78" s="386"/>
      <c r="BM78" s="386"/>
      <c r="BN78" s="387"/>
      <c r="BO78" s="265"/>
      <c r="BP78" s="386"/>
      <c r="BQ78" s="388"/>
      <c r="BR78" s="388"/>
      <c r="BS78" s="389"/>
      <c r="BT78" s="389"/>
      <c r="BU78" s="389"/>
      <c r="BV78" s="386"/>
      <c r="BW78" s="389"/>
      <c r="BX78" s="389"/>
      <c r="BY78" s="386"/>
      <c r="BZ78" s="386"/>
      <c r="CA78" s="386"/>
      <c r="CB78" s="386"/>
      <c r="CC78" s="386"/>
      <c r="CD78" s="386"/>
      <c r="CE78" s="386"/>
      <c r="CF78" s="390"/>
      <c r="CG78" s="390"/>
      <c r="CH78" s="391"/>
      <c r="CI78" s="386"/>
      <c r="CJ78" s="386"/>
      <c r="CK78" s="390"/>
      <c r="CL78" s="390"/>
      <c r="CM78" s="391"/>
      <c r="CN78" s="389"/>
      <c r="CO78" s="389"/>
      <c r="CP78" s="135"/>
      <c r="CQ78" s="135"/>
      <c r="CR78" s="135"/>
      <c r="CS78" s="135"/>
      <c r="CT78" s="135"/>
      <c r="CU78" s="135"/>
    </row>
    <row r="79" spans="1:99">
      <c r="A79" s="342" t="s">
        <v>180</v>
      </c>
      <c r="B79" s="342" t="s">
        <v>179</v>
      </c>
      <c r="C79" s="342" t="s">
        <v>902</v>
      </c>
      <c r="D79" s="157">
        <v>0</v>
      </c>
      <c r="E79" s="157">
        <v>0</v>
      </c>
      <c r="F79" s="157">
        <v>0</v>
      </c>
      <c r="G79" s="157">
        <v>7529499.1100000003</v>
      </c>
      <c r="H79" s="157">
        <v>1424548.62</v>
      </c>
      <c r="I79" s="157">
        <v>0</v>
      </c>
      <c r="J79" s="157">
        <v>904863.53</v>
      </c>
      <c r="K79" s="157">
        <v>584454.41</v>
      </c>
      <c r="L79" s="157">
        <v>144400.65</v>
      </c>
      <c r="M79" s="157">
        <v>2818218.96</v>
      </c>
      <c r="N79" s="264">
        <v>4.2000000000000003E-2</v>
      </c>
      <c r="O79" s="265">
        <v>0.1673</v>
      </c>
      <c r="P79" s="157">
        <v>0</v>
      </c>
      <c r="Q79" s="396">
        <v>0</v>
      </c>
      <c r="R79" s="396">
        <v>0</v>
      </c>
      <c r="S79" s="397">
        <v>0</v>
      </c>
      <c r="T79" s="397">
        <v>0</v>
      </c>
      <c r="U79" s="397">
        <v>0</v>
      </c>
      <c r="V79" s="157">
        <v>0</v>
      </c>
      <c r="W79" s="397">
        <v>0</v>
      </c>
      <c r="X79" s="397">
        <v>0</v>
      </c>
      <c r="Y79" s="157">
        <v>5010.6499999999996</v>
      </c>
      <c r="Z79" s="157">
        <v>0</v>
      </c>
      <c r="AA79" s="157">
        <v>387078.53</v>
      </c>
      <c r="AB79" s="157">
        <v>501539.62</v>
      </c>
      <c r="AC79" s="157">
        <v>4134859.59</v>
      </c>
      <c r="AD79" s="157">
        <v>408.52</v>
      </c>
      <c r="AE79" s="157">
        <v>3872979.26</v>
      </c>
      <c r="AF79" s="398">
        <f t="shared" si="48"/>
        <v>9480.5132184470767</v>
      </c>
      <c r="AG79" s="398">
        <f t="shared" si="49"/>
        <v>10121.559752276511</v>
      </c>
      <c r="AH79" s="399">
        <f t="shared" si="50"/>
        <v>641.04999999999995</v>
      </c>
      <c r="AI79" s="157">
        <v>50.5</v>
      </c>
      <c r="AJ79" s="157">
        <v>465477.68</v>
      </c>
      <c r="AK79" s="398">
        <f t="shared" si="51"/>
        <v>9217.379801980198</v>
      </c>
      <c r="AL79" s="398">
        <f t="shared" si="52"/>
        <v>9931.4776237623755</v>
      </c>
      <c r="AM79" s="399">
        <f t="shared" si="53"/>
        <v>714.1</v>
      </c>
      <c r="AN79" s="397">
        <v>5000</v>
      </c>
      <c r="AO79" s="397">
        <v>0</v>
      </c>
      <c r="AP79" s="46"/>
      <c r="AQ79" s="402">
        <v>230610.86999999982</v>
      </c>
      <c r="AR79" s="274">
        <v>486490.75</v>
      </c>
      <c r="AS79" s="413">
        <v>138676.94</v>
      </c>
      <c r="AX79" s="2"/>
      <c r="BA79" s="342"/>
      <c r="BB79" s="342"/>
      <c r="BC79" s="342"/>
      <c r="BD79" s="386"/>
      <c r="BE79" s="386"/>
      <c r="BF79" s="386"/>
      <c r="BG79" s="386"/>
      <c r="BH79" s="386"/>
      <c r="BI79" s="386"/>
      <c r="BJ79" s="386"/>
      <c r="BK79" s="386"/>
      <c r="BL79" s="386"/>
      <c r="BM79" s="386"/>
      <c r="BN79" s="387"/>
      <c r="BO79" s="265"/>
      <c r="BP79" s="386"/>
      <c r="BQ79" s="388"/>
      <c r="BR79" s="388"/>
      <c r="BS79" s="389"/>
      <c r="BT79" s="389"/>
      <c r="BU79" s="389"/>
      <c r="BV79" s="386"/>
      <c r="BW79" s="389"/>
      <c r="BX79" s="389"/>
      <c r="BY79" s="386"/>
      <c r="BZ79" s="386"/>
      <c r="CA79" s="386"/>
      <c r="CB79" s="386"/>
      <c r="CC79" s="386"/>
      <c r="CD79" s="386"/>
      <c r="CE79" s="386"/>
      <c r="CF79" s="390"/>
      <c r="CG79" s="390"/>
      <c r="CH79" s="391"/>
      <c r="CI79" s="386"/>
      <c r="CJ79" s="386"/>
      <c r="CK79" s="390"/>
      <c r="CL79" s="390"/>
      <c r="CM79" s="391"/>
      <c r="CN79" s="389"/>
      <c r="CO79" s="389"/>
      <c r="CP79" s="135"/>
      <c r="CQ79" s="135"/>
      <c r="CR79" s="135"/>
      <c r="CS79" s="135"/>
      <c r="CT79" s="135"/>
      <c r="CU79" s="135"/>
    </row>
    <row r="80" spans="1:99">
      <c r="A80" s="342" t="s">
        <v>182</v>
      </c>
      <c r="B80" s="342" t="s">
        <v>181</v>
      </c>
      <c r="C80" s="342" t="s">
        <v>903</v>
      </c>
      <c r="D80" s="157">
        <v>298019.15000000002</v>
      </c>
      <c r="E80" s="157">
        <v>83481.39</v>
      </c>
      <c r="F80" s="157">
        <v>33403.54</v>
      </c>
      <c r="G80" s="157">
        <v>3203149.74</v>
      </c>
      <c r="H80" s="157">
        <v>591157.22</v>
      </c>
      <c r="I80" s="157">
        <v>550969.24</v>
      </c>
      <c r="J80" s="157">
        <v>987804.55</v>
      </c>
      <c r="K80" s="157">
        <v>626440.63</v>
      </c>
      <c r="L80" s="157">
        <v>82227.83</v>
      </c>
      <c r="M80" s="157">
        <v>1830363.65</v>
      </c>
      <c r="N80" s="264">
        <v>5.1999999999999998E-2</v>
      </c>
      <c r="O80" s="265">
        <v>0.14380000000000001</v>
      </c>
      <c r="P80" s="157">
        <v>0</v>
      </c>
      <c r="Q80" s="396">
        <v>0</v>
      </c>
      <c r="R80" s="396">
        <v>0</v>
      </c>
      <c r="S80" s="397">
        <v>0</v>
      </c>
      <c r="T80" s="397">
        <v>0</v>
      </c>
      <c r="U80" s="397">
        <v>0</v>
      </c>
      <c r="V80" s="157">
        <v>0</v>
      </c>
      <c r="W80" s="397">
        <v>0</v>
      </c>
      <c r="X80" s="397">
        <v>0</v>
      </c>
      <c r="Y80" s="157">
        <v>0</v>
      </c>
      <c r="Z80" s="157">
        <v>35729.160000000003</v>
      </c>
      <c r="AA80" s="157">
        <v>137263.79</v>
      </c>
      <c r="AB80" s="157">
        <v>407452.15999999997</v>
      </c>
      <c r="AC80" s="157">
        <v>1993333.12</v>
      </c>
      <c r="AD80" s="157">
        <v>213.36</v>
      </c>
      <c r="AE80" s="157">
        <v>1869750.94</v>
      </c>
      <c r="AF80" s="398">
        <f t="shared" si="48"/>
        <v>8763.3621109861251</v>
      </c>
      <c r="AG80" s="398">
        <f t="shared" si="49"/>
        <v>9342.5811773528312</v>
      </c>
      <c r="AH80" s="399">
        <f t="shared" si="50"/>
        <v>579.22</v>
      </c>
      <c r="AI80" s="157">
        <v>44.43</v>
      </c>
      <c r="AJ80" s="157">
        <v>378058.23999999999</v>
      </c>
      <c r="AK80" s="398">
        <f t="shared" si="51"/>
        <v>8509.0758496511371</v>
      </c>
      <c r="AL80" s="398">
        <f t="shared" si="52"/>
        <v>9170.6540625703346</v>
      </c>
      <c r="AM80" s="399">
        <f t="shared" si="53"/>
        <v>661.58</v>
      </c>
      <c r="AN80" s="397">
        <v>3177.82</v>
      </c>
      <c r="AO80" s="397">
        <v>0</v>
      </c>
      <c r="AP80" s="46"/>
      <c r="AQ80" s="402">
        <v>0</v>
      </c>
      <c r="AR80" s="274">
        <v>279159.19999999995</v>
      </c>
      <c r="AS80" s="413">
        <v>93298.74</v>
      </c>
      <c r="AX80" s="2"/>
      <c r="BA80" s="342"/>
      <c r="BB80" s="342"/>
      <c r="BC80" s="342"/>
      <c r="BD80" s="386"/>
      <c r="BE80" s="386"/>
      <c r="BF80" s="386"/>
      <c r="BG80" s="386"/>
      <c r="BH80" s="386"/>
      <c r="BI80" s="386"/>
      <c r="BJ80" s="386"/>
      <c r="BK80" s="386"/>
      <c r="BL80" s="386"/>
      <c r="BM80" s="386"/>
      <c r="BN80" s="387"/>
      <c r="BO80" s="265"/>
      <c r="BP80" s="386"/>
      <c r="BQ80" s="388"/>
      <c r="BR80" s="388"/>
      <c r="BS80" s="389"/>
      <c r="BT80" s="389"/>
      <c r="BU80" s="389"/>
      <c r="BV80" s="386"/>
      <c r="BW80" s="389"/>
      <c r="BX80" s="389"/>
      <c r="BY80" s="386"/>
      <c r="BZ80" s="386"/>
      <c r="CA80" s="386"/>
      <c r="CB80" s="386"/>
      <c r="CC80" s="386"/>
      <c r="CD80" s="386"/>
      <c r="CE80" s="386"/>
      <c r="CF80" s="390"/>
      <c r="CG80" s="390"/>
      <c r="CH80" s="391"/>
      <c r="CI80" s="386"/>
      <c r="CJ80" s="386"/>
      <c r="CK80" s="390"/>
      <c r="CL80" s="390"/>
      <c r="CM80" s="391"/>
      <c r="CN80" s="389"/>
      <c r="CO80" s="389"/>
      <c r="CP80" s="135"/>
      <c r="CQ80" s="135"/>
      <c r="CR80" s="135"/>
      <c r="CS80" s="135"/>
      <c r="CT80" s="135"/>
      <c r="CU80" s="135"/>
    </row>
    <row r="81" spans="1:99">
      <c r="A81" s="342" t="s">
        <v>184</v>
      </c>
      <c r="B81" s="344" t="s">
        <v>183</v>
      </c>
      <c r="C81" s="345" t="s">
        <v>904</v>
      </c>
      <c r="D81" s="157">
        <v>0</v>
      </c>
      <c r="E81" s="157">
        <v>0</v>
      </c>
      <c r="F81" s="157">
        <v>0</v>
      </c>
      <c r="G81" s="157">
        <v>18583241.940000001</v>
      </c>
      <c r="H81" s="157">
        <v>2936675.43</v>
      </c>
      <c r="I81" s="157">
        <v>0</v>
      </c>
      <c r="J81" s="157">
        <v>0</v>
      </c>
      <c r="K81" s="157">
        <v>0</v>
      </c>
      <c r="L81" s="157">
        <v>0</v>
      </c>
      <c r="M81" s="157">
        <v>0</v>
      </c>
      <c r="N81" s="264">
        <v>0</v>
      </c>
      <c r="O81" s="265">
        <v>0</v>
      </c>
      <c r="P81" s="157">
        <v>0</v>
      </c>
      <c r="Q81" s="396">
        <v>0</v>
      </c>
      <c r="R81" s="396">
        <v>0</v>
      </c>
      <c r="S81" s="397">
        <v>0</v>
      </c>
      <c r="T81" s="397">
        <v>0</v>
      </c>
      <c r="U81" s="397">
        <v>0</v>
      </c>
      <c r="V81" s="157">
        <v>0</v>
      </c>
      <c r="W81" s="397">
        <v>0</v>
      </c>
      <c r="X81" s="397">
        <v>0</v>
      </c>
      <c r="Y81" s="157">
        <v>0</v>
      </c>
      <c r="Z81" s="157">
        <v>0</v>
      </c>
      <c r="AA81" s="157">
        <v>0</v>
      </c>
      <c r="AB81" s="157">
        <v>0</v>
      </c>
      <c r="AC81" s="157">
        <v>0</v>
      </c>
      <c r="AD81" s="157">
        <v>0</v>
      </c>
      <c r="AE81" s="157">
        <v>0</v>
      </c>
      <c r="AF81" s="398">
        <f t="shared" si="48"/>
        <v>0</v>
      </c>
      <c r="AG81" s="398">
        <f t="shared" si="49"/>
        <v>0</v>
      </c>
      <c r="AH81" s="399">
        <f t="shared" si="50"/>
        <v>0</v>
      </c>
      <c r="AI81" s="157">
        <v>0</v>
      </c>
      <c r="AJ81" s="157">
        <v>0</v>
      </c>
      <c r="AK81" s="398">
        <f t="shared" si="51"/>
        <v>0</v>
      </c>
      <c r="AL81" s="398">
        <f t="shared" si="52"/>
        <v>0</v>
      </c>
      <c r="AM81" s="399">
        <f t="shared" si="53"/>
        <v>0</v>
      </c>
      <c r="AN81" s="397">
        <v>0</v>
      </c>
      <c r="AO81" s="397">
        <v>0</v>
      </c>
      <c r="AP81" s="46"/>
      <c r="AR81" s="274"/>
      <c r="AS81" s="413"/>
      <c r="AX81" s="2"/>
      <c r="BA81" s="342"/>
      <c r="BB81" s="344"/>
      <c r="BC81" s="342"/>
      <c r="BD81" s="386"/>
      <c r="BE81" s="386"/>
      <c r="BF81" s="386"/>
      <c r="BG81" s="386"/>
      <c r="BH81" s="386"/>
      <c r="BI81" s="386"/>
      <c r="BJ81" s="386"/>
      <c r="BK81" s="386"/>
      <c r="BL81" s="386"/>
      <c r="BM81" s="386"/>
      <c r="BN81" s="387"/>
      <c r="BO81" s="265"/>
      <c r="BP81" s="386"/>
      <c r="BQ81" s="388"/>
      <c r="BR81" s="388"/>
      <c r="BS81" s="389"/>
      <c r="BT81" s="389"/>
      <c r="BU81" s="389"/>
      <c r="BV81" s="386"/>
      <c r="BW81" s="389"/>
      <c r="BX81" s="389"/>
      <c r="BY81" s="386"/>
      <c r="BZ81" s="386"/>
      <c r="CA81" s="386"/>
      <c r="CB81" s="386"/>
      <c r="CC81" s="386"/>
      <c r="CD81" s="386"/>
      <c r="CE81" s="386"/>
      <c r="CF81" s="390"/>
      <c r="CG81" s="390"/>
      <c r="CH81" s="391"/>
      <c r="CI81" s="386"/>
      <c r="CJ81" s="386"/>
      <c r="CK81" s="390"/>
      <c r="CL81" s="390"/>
      <c r="CM81" s="391"/>
      <c r="CN81" s="389"/>
      <c r="CO81" s="389"/>
      <c r="CP81" s="135"/>
      <c r="CQ81" s="135"/>
      <c r="CR81" s="135"/>
      <c r="CS81" s="135"/>
      <c r="CT81" s="135"/>
      <c r="CU81" s="135"/>
    </row>
    <row r="82" spans="1:99">
      <c r="A82" s="342" t="s">
        <v>186</v>
      </c>
      <c r="B82" s="342" t="s">
        <v>185</v>
      </c>
      <c r="C82" s="345" t="s">
        <v>905</v>
      </c>
      <c r="D82" s="157">
        <v>0</v>
      </c>
      <c r="E82" s="157">
        <v>0</v>
      </c>
      <c r="F82" s="157">
        <v>0</v>
      </c>
      <c r="G82" s="157">
        <v>0</v>
      </c>
      <c r="H82" s="157">
        <v>0</v>
      </c>
      <c r="I82" s="157">
        <v>0</v>
      </c>
      <c r="J82" s="157">
        <v>0</v>
      </c>
      <c r="K82" s="157">
        <v>0</v>
      </c>
      <c r="L82" s="157">
        <v>0</v>
      </c>
      <c r="M82" s="157">
        <v>0</v>
      </c>
      <c r="N82" s="264">
        <v>0</v>
      </c>
      <c r="O82" s="265">
        <v>0</v>
      </c>
      <c r="P82" s="157">
        <v>0</v>
      </c>
      <c r="Q82" s="396">
        <v>0</v>
      </c>
      <c r="R82" s="396">
        <v>0</v>
      </c>
      <c r="S82" s="397">
        <v>926717.21</v>
      </c>
      <c r="T82" s="397">
        <v>75934.559999999939</v>
      </c>
      <c r="U82" s="397">
        <v>29273.05</v>
      </c>
      <c r="V82" s="157">
        <v>0</v>
      </c>
      <c r="W82" s="397">
        <v>0</v>
      </c>
      <c r="X82" s="397">
        <v>0</v>
      </c>
      <c r="Y82" s="157">
        <v>0</v>
      </c>
      <c r="Z82" s="157">
        <v>0</v>
      </c>
      <c r="AA82" s="157">
        <v>0</v>
      </c>
      <c r="AB82" s="157">
        <v>0</v>
      </c>
      <c r="AC82" s="157">
        <v>0</v>
      </c>
      <c r="AD82" s="157">
        <v>0</v>
      </c>
      <c r="AE82" s="157">
        <v>0</v>
      </c>
      <c r="AF82" s="398">
        <f t="shared" si="48"/>
        <v>0</v>
      </c>
      <c r="AG82" s="398">
        <f t="shared" si="49"/>
        <v>0</v>
      </c>
      <c r="AH82" s="399">
        <f t="shared" si="50"/>
        <v>0</v>
      </c>
      <c r="AI82" s="157">
        <v>0</v>
      </c>
      <c r="AJ82" s="157">
        <v>0</v>
      </c>
      <c r="AK82" s="398">
        <f t="shared" si="51"/>
        <v>0</v>
      </c>
      <c r="AL82" s="398">
        <f t="shared" si="52"/>
        <v>0</v>
      </c>
      <c r="AM82" s="399">
        <f t="shared" si="53"/>
        <v>0</v>
      </c>
      <c r="AN82" s="397">
        <v>0</v>
      </c>
      <c r="AO82" s="397">
        <v>0</v>
      </c>
      <c r="AP82" s="46"/>
      <c r="AR82" s="274"/>
      <c r="AS82" s="413"/>
      <c r="AX82" s="2"/>
      <c r="BA82" s="342"/>
      <c r="BB82" s="342"/>
      <c r="BC82" s="342"/>
      <c r="BD82" s="386"/>
      <c r="BE82" s="386"/>
      <c r="BF82" s="386"/>
      <c r="BG82" s="386"/>
      <c r="BH82" s="386"/>
      <c r="BI82" s="386"/>
      <c r="BJ82" s="386"/>
      <c r="BK82" s="386"/>
      <c r="BL82" s="386"/>
      <c r="BM82" s="386"/>
      <c r="BN82" s="387"/>
      <c r="BO82" s="265"/>
      <c r="BP82" s="386"/>
      <c r="BQ82" s="388"/>
      <c r="BR82" s="388"/>
      <c r="BS82" s="389"/>
      <c r="BT82" s="389"/>
      <c r="BU82" s="389"/>
      <c r="BV82" s="386"/>
      <c r="BW82" s="389"/>
      <c r="BX82" s="389"/>
      <c r="BY82" s="386"/>
      <c r="BZ82" s="386"/>
      <c r="CA82" s="386"/>
      <c r="CB82" s="386"/>
      <c r="CC82" s="386"/>
      <c r="CD82" s="386"/>
      <c r="CE82" s="386"/>
      <c r="CF82" s="390"/>
      <c r="CG82" s="390"/>
      <c r="CH82" s="391"/>
      <c r="CI82" s="386"/>
      <c r="CJ82" s="386"/>
      <c r="CK82" s="390"/>
      <c r="CL82" s="390"/>
      <c r="CM82" s="391"/>
      <c r="CN82" s="389"/>
      <c r="CO82" s="389"/>
      <c r="CP82" s="135"/>
      <c r="CQ82" s="135"/>
      <c r="CR82" s="135"/>
      <c r="CS82" s="135"/>
      <c r="CT82" s="135"/>
      <c r="CU82" s="135"/>
    </row>
    <row r="83" spans="1:99">
      <c r="A83" s="342" t="s">
        <v>188</v>
      </c>
      <c r="B83" s="344" t="s">
        <v>187</v>
      </c>
      <c r="C83" s="345" t="s">
        <v>906</v>
      </c>
      <c r="D83" s="157">
        <v>0</v>
      </c>
      <c r="E83" s="157">
        <v>0</v>
      </c>
      <c r="F83" s="157">
        <v>0</v>
      </c>
      <c r="G83" s="157">
        <v>0</v>
      </c>
      <c r="H83" s="157">
        <v>0</v>
      </c>
      <c r="I83" s="157">
        <v>0</v>
      </c>
      <c r="J83" s="157">
        <v>0</v>
      </c>
      <c r="K83" s="157">
        <v>0</v>
      </c>
      <c r="L83" s="157">
        <v>0</v>
      </c>
      <c r="M83" s="157">
        <v>1875887.5</v>
      </c>
      <c r="N83" s="264">
        <v>0</v>
      </c>
      <c r="O83" s="265">
        <v>0</v>
      </c>
      <c r="P83" s="157">
        <v>0</v>
      </c>
      <c r="Q83" s="396">
        <v>0</v>
      </c>
      <c r="R83" s="396">
        <v>0</v>
      </c>
      <c r="S83" s="397">
        <v>0</v>
      </c>
      <c r="T83" s="397">
        <v>0</v>
      </c>
      <c r="U83" s="397">
        <v>0</v>
      </c>
      <c r="V83" s="157">
        <v>0</v>
      </c>
      <c r="W83" s="397">
        <v>0</v>
      </c>
      <c r="X83" s="397">
        <v>0</v>
      </c>
      <c r="Y83" s="157">
        <v>0</v>
      </c>
      <c r="Z83" s="157">
        <v>0</v>
      </c>
      <c r="AA83" s="157">
        <v>0</v>
      </c>
      <c r="AB83" s="157">
        <v>0</v>
      </c>
      <c r="AC83" s="157">
        <v>0</v>
      </c>
      <c r="AD83" s="157">
        <v>0</v>
      </c>
      <c r="AE83" s="157">
        <v>0</v>
      </c>
      <c r="AF83" s="398">
        <f t="shared" si="48"/>
        <v>0</v>
      </c>
      <c r="AG83" s="398">
        <f t="shared" si="49"/>
        <v>0</v>
      </c>
      <c r="AH83" s="399">
        <f t="shared" si="50"/>
        <v>0</v>
      </c>
      <c r="AI83" s="157">
        <v>0</v>
      </c>
      <c r="AJ83" s="157">
        <v>0</v>
      </c>
      <c r="AK83" s="398">
        <f t="shared" si="51"/>
        <v>0</v>
      </c>
      <c r="AL83" s="398">
        <f t="shared" si="52"/>
        <v>0</v>
      </c>
      <c r="AM83" s="399">
        <f t="shared" si="53"/>
        <v>0</v>
      </c>
      <c r="AN83" s="397">
        <v>0</v>
      </c>
      <c r="AO83" s="397">
        <v>0</v>
      </c>
      <c r="AP83" s="46"/>
      <c r="AR83" s="274"/>
      <c r="AS83" s="413"/>
      <c r="AX83" s="2"/>
      <c r="BA83" s="342"/>
      <c r="BB83" s="344"/>
      <c r="BC83" s="342"/>
      <c r="BD83" s="386"/>
      <c r="BE83" s="386"/>
      <c r="BF83" s="386"/>
      <c r="BG83" s="386"/>
      <c r="BH83" s="386"/>
      <c r="BI83" s="386"/>
      <c r="BJ83" s="386"/>
      <c r="BK83" s="386"/>
      <c r="BL83" s="386"/>
      <c r="BM83" s="386"/>
      <c r="BN83" s="387"/>
      <c r="BO83" s="265"/>
      <c r="BP83" s="386"/>
      <c r="BQ83" s="388"/>
      <c r="BR83" s="388"/>
      <c r="BS83" s="389"/>
      <c r="BT83" s="389"/>
      <c r="BU83" s="389"/>
      <c r="BV83" s="386"/>
      <c r="BW83" s="389"/>
      <c r="BX83" s="389"/>
      <c r="BY83" s="386"/>
      <c r="BZ83" s="386"/>
      <c r="CA83" s="386"/>
      <c r="CB83" s="386"/>
      <c r="CC83" s="386"/>
      <c r="CD83" s="386"/>
      <c r="CE83" s="386"/>
      <c r="CF83" s="390"/>
      <c r="CG83" s="390"/>
      <c r="CH83" s="391"/>
      <c r="CI83" s="386"/>
      <c r="CJ83" s="386"/>
      <c r="CK83" s="390"/>
      <c r="CL83" s="390"/>
      <c r="CM83" s="391"/>
      <c r="CN83" s="389"/>
      <c r="CO83" s="389"/>
      <c r="CP83" s="135"/>
      <c r="CQ83" s="135"/>
      <c r="CR83" s="135"/>
      <c r="CS83" s="135"/>
      <c r="CT83" s="135"/>
      <c r="CU83" s="135"/>
    </row>
    <row r="84" spans="1:99">
      <c r="A84" s="342" t="s">
        <v>190</v>
      </c>
      <c r="B84" s="344" t="s">
        <v>189</v>
      </c>
      <c r="C84" s="345" t="s">
        <v>907</v>
      </c>
      <c r="D84" s="157">
        <v>0</v>
      </c>
      <c r="E84" s="157">
        <v>0</v>
      </c>
      <c r="F84" s="157">
        <v>0</v>
      </c>
      <c r="G84" s="157">
        <v>0</v>
      </c>
      <c r="H84" s="157">
        <v>0</v>
      </c>
      <c r="I84" s="157">
        <v>0</v>
      </c>
      <c r="J84" s="157">
        <v>0</v>
      </c>
      <c r="K84" s="157">
        <v>0</v>
      </c>
      <c r="L84" s="157">
        <v>0</v>
      </c>
      <c r="M84" s="157">
        <v>4908158.9800000004</v>
      </c>
      <c r="N84" s="264">
        <v>0</v>
      </c>
      <c r="O84" s="265">
        <v>0</v>
      </c>
      <c r="P84" s="157">
        <v>0</v>
      </c>
      <c r="Q84" s="396">
        <v>0</v>
      </c>
      <c r="R84" s="396">
        <v>0</v>
      </c>
      <c r="S84" s="397">
        <v>589941.65</v>
      </c>
      <c r="T84" s="397">
        <v>0</v>
      </c>
      <c r="U84" s="397">
        <v>18635.02</v>
      </c>
      <c r="V84" s="157">
        <v>0</v>
      </c>
      <c r="W84" s="397">
        <v>0</v>
      </c>
      <c r="X84" s="397">
        <v>0</v>
      </c>
      <c r="Y84" s="157">
        <v>0</v>
      </c>
      <c r="Z84" s="157">
        <v>0</v>
      </c>
      <c r="AA84" s="157">
        <v>0</v>
      </c>
      <c r="AB84" s="157">
        <v>0</v>
      </c>
      <c r="AC84" s="157">
        <v>0</v>
      </c>
      <c r="AD84" s="157">
        <v>0</v>
      </c>
      <c r="AE84" s="157">
        <v>0</v>
      </c>
      <c r="AF84" s="398">
        <f t="shared" si="48"/>
        <v>0</v>
      </c>
      <c r="AG84" s="398">
        <f t="shared" si="49"/>
        <v>0</v>
      </c>
      <c r="AH84" s="399">
        <f t="shared" si="50"/>
        <v>0</v>
      </c>
      <c r="AI84" s="157">
        <v>0</v>
      </c>
      <c r="AJ84" s="157">
        <v>0</v>
      </c>
      <c r="AK84" s="398">
        <f t="shared" si="51"/>
        <v>0</v>
      </c>
      <c r="AL84" s="398">
        <f t="shared" si="52"/>
        <v>0</v>
      </c>
      <c r="AM84" s="399">
        <f t="shared" si="53"/>
        <v>0</v>
      </c>
      <c r="AN84" s="397">
        <v>0</v>
      </c>
      <c r="AO84" s="397">
        <v>0</v>
      </c>
      <c r="AP84" s="46"/>
      <c r="AR84" s="274"/>
      <c r="AS84" s="413"/>
      <c r="AX84" s="2"/>
      <c r="BA84" s="342"/>
      <c r="BB84" s="344"/>
      <c r="BC84" s="342"/>
      <c r="BD84" s="386"/>
      <c r="BE84" s="386"/>
      <c r="BF84" s="386"/>
      <c r="BG84" s="386"/>
      <c r="BH84" s="386"/>
      <c r="BI84" s="386"/>
      <c r="BJ84" s="386"/>
      <c r="BK84" s="386"/>
      <c r="BL84" s="386"/>
      <c r="BM84" s="386"/>
      <c r="BN84" s="387"/>
      <c r="BO84" s="265"/>
      <c r="BP84" s="386"/>
      <c r="BQ84" s="388"/>
      <c r="BR84" s="388"/>
      <c r="BS84" s="389"/>
      <c r="BT84" s="389"/>
      <c r="BU84" s="389"/>
      <c r="BV84" s="386"/>
      <c r="BW84" s="389"/>
      <c r="BX84" s="389"/>
      <c r="BY84" s="386"/>
      <c r="BZ84" s="386"/>
      <c r="CA84" s="386"/>
      <c r="CB84" s="386"/>
      <c r="CC84" s="386"/>
      <c r="CD84" s="386"/>
      <c r="CE84" s="386"/>
      <c r="CF84" s="390"/>
      <c r="CG84" s="390"/>
      <c r="CH84" s="391"/>
      <c r="CI84" s="386"/>
      <c r="CJ84" s="386"/>
      <c r="CK84" s="390"/>
      <c r="CL84" s="390"/>
      <c r="CM84" s="391"/>
      <c r="CN84" s="389"/>
      <c r="CO84" s="389"/>
      <c r="CP84" s="135"/>
      <c r="CQ84" s="135"/>
      <c r="CR84" s="135"/>
      <c r="CS84" s="135"/>
      <c r="CT84" s="135"/>
      <c r="CU84" s="135"/>
    </row>
    <row r="85" spans="1:99">
      <c r="A85" s="342" t="s">
        <v>192</v>
      </c>
      <c r="B85" s="342" t="s">
        <v>191</v>
      </c>
      <c r="C85" s="345" t="s">
        <v>908</v>
      </c>
      <c r="D85" s="157">
        <v>0</v>
      </c>
      <c r="E85" s="157">
        <v>0</v>
      </c>
      <c r="F85" s="157">
        <v>0</v>
      </c>
      <c r="G85" s="157">
        <v>0</v>
      </c>
      <c r="H85" s="157">
        <v>0</v>
      </c>
      <c r="I85" s="157">
        <v>0</v>
      </c>
      <c r="J85" s="157">
        <v>0</v>
      </c>
      <c r="K85" s="157">
        <v>0</v>
      </c>
      <c r="L85" s="157">
        <v>0</v>
      </c>
      <c r="M85" s="157">
        <v>627492.81000000006</v>
      </c>
      <c r="N85" s="264">
        <v>0</v>
      </c>
      <c r="O85" s="265">
        <v>0</v>
      </c>
      <c r="P85" s="157">
        <v>0</v>
      </c>
      <c r="Q85" s="396">
        <v>0</v>
      </c>
      <c r="R85" s="396">
        <v>0</v>
      </c>
      <c r="S85" s="397">
        <v>0</v>
      </c>
      <c r="T85" s="397">
        <v>0</v>
      </c>
      <c r="U85" s="397">
        <v>0</v>
      </c>
      <c r="V85" s="157">
        <v>0</v>
      </c>
      <c r="W85" s="397">
        <v>0</v>
      </c>
      <c r="X85" s="397">
        <v>0</v>
      </c>
      <c r="Y85" s="157">
        <v>0</v>
      </c>
      <c r="Z85" s="157">
        <v>0</v>
      </c>
      <c r="AA85" s="157">
        <v>0</v>
      </c>
      <c r="AB85" s="157">
        <v>0</v>
      </c>
      <c r="AC85" s="157">
        <v>0</v>
      </c>
      <c r="AD85" s="157">
        <v>0</v>
      </c>
      <c r="AE85" s="157">
        <v>0</v>
      </c>
      <c r="AF85" s="398">
        <f t="shared" si="48"/>
        <v>0</v>
      </c>
      <c r="AG85" s="398">
        <f t="shared" si="49"/>
        <v>0</v>
      </c>
      <c r="AH85" s="399">
        <f t="shared" si="50"/>
        <v>0</v>
      </c>
      <c r="AI85" s="157">
        <v>0</v>
      </c>
      <c r="AJ85" s="157">
        <v>0</v>
      </c>
      <c r="AK85" s="398">
        <f t="shared" si="51"/>
        <v>0</v>
      </c>
      <c r="AL85" s="398">
        <f t="shared" si="52"/>
        <v>0</v>
      </c>
      <c r="AM85" s="399">
        <f t="shared" si="53"/>
        <v>0</v>
      </c>
      <c r="AN85" s="397">
        <v>0</v>
      </c>
      <c r="AO85" s="397">
        <v>0</v>
      </c>
      <c r="AP85" s="46"/>
      <c r="AR85" s="274"/>
      <c r="AS85" s="413"/>
      <c r="AX85" s="2"/>
      <c r="BA85" s="342"/>
      <c r="BB85" s="342"/>
      <c r="BC85" s="342"/>
      <c r="BD85" s="386"/>
      <c r="BE85" s="386"/>
      <c r="BF85" s="386"/>
      <c r="BG85" s="386"/>
      <c r="BH85" s="386"/>
      <c r="BI85" s="386"/>
      <c r="BJ85" s="386"/>
      <c r="BK85" s="386"/>
      <c r="BL85" s="386"/>
      <c r="BM85" s="386"/>
      <c r="BN85" s="387"/>
      <c r="BO85" s="265"/>
      <c r="BP85" s="386"/>
      <c r="BQ85" s="388"/>
      <c r="BR85" s="388"/>
      <c r="BS85" s="389"/>
      <c r="BT85" s="389"/>
      <c r="BU85" s="389"/>
      <c r="BV85" s="386"/>
      <c r="BW85" s="389"/>
      <c r="BX85" s="389"/>
      <c r="BY85" s="386"/>
      <c r="BZ85" s="386"/>
      <c r="CA85" s="386"/>
      <c r="CB85" s="386"/>
      <c r="CC85" s="386"/>
      <c r="CD85" s="386"/>
      <c r="CE85" s="386"/>
      <c r="CF85" s="390"/>
      <c r="CG85" s="390"/>
      <c r="CH85" s="391"/>
      <c r="CI85" s="386"/>
      <c r="CJ85" s="386"/>
      <c r="CK85" s="390"/>
      <c r="CL85" s="390"/>
      <c r="CM85" s="391"/>
      <c r="CN85" s="389"/>
      <c r="CO85" s="389"/>
      <c r="CP85" s="135"/>
      <c r="CQ85" s="135"/>
      <c r="CR85" s="135"/>
      <c r="CS85" s="135"/>
      <c r="CT85" s="135"/>
      <c r="CU85" s="135"/>
    </row>
    <row r="86" spans="1:99">
      <c r="A86" s="342" t="s">
        <v>194</v>
      </c>
      <c r="B86" s="344" t="s">
        <v>193</v>
      </c>
      <c r="C86" s="345" t="s">
        <v>909</v>
      </c>
      <c r="D86" s="157">
        <v>0</v>
      </c>
      <c r="E86" s="157">
        <v>0</v>
      </c>
      <c r="F86" s="157">
        <v>0</v>
      </c>
      <c r="G86" s="157">
        <v>0</v>
      </c>
      <c r="H86" s="157">
        <v>0</v>
      </c>
      <c r="I86" s="157">
        <v>0</v>
      </c>
      <c r="J86" s="157">
        <v>0</v>
      </c>
      <c r="K86" s="157">
        <v>0</v>
      </c>
      <c r="L86" s="157">
        <v>0</v>
      </c>
      <c r="M86" s="157">
        <v>0</v>
      </c>
      <c r="N86" s="264">
        <v>0</v>
      </c>
      <c r="O86" s="265">
        <v>0</v>
      </c>
      <c r="P86" s="157">
        <v>0</v>
      </c>
      <c r="Q86" s="396">
        <v>0</v>
      </c>
      <c r="R86" s="396">
        <v>0</v>
      </c>
      <c r="S86" s="397">
        <v>310847.33</v>
      </c>
      <c r="T86" s="397">
        <v>0</v>
      </c>
      <c r="U86" s="397">
        <v>11107.55</v>
      </c>
      <c r="V86" s="157">
        <v>0</v>
      </c>
      <c r="W86" s="397">
        <v>0</v>
      </c>
      <c r="X86" s="397">
        <v>0</v>
      </c>
      <c r="Y86" s="157">
        <v>0</v>
      </c>
      <c r="Z86" s="157">
        <v>0</v>
      </c>
      <c r="AA86" s="157">
        <v>0</v>
      </c>
      <c r="AB86" s="157">
        <v>0</v>
      </c>
      <c r="AC86" s="157">
        <v>0</v>
      </c>
      <c r="AD86" s="157">
        <v>0</v>
      </c>
      <c r="AE86" s="157">
        <v>0</v>
      </c>
      <c r="AF86" s="398">
        <f t="shared" si="48"/>
        <v>0</v>
      </c>
      <c r="AG86" s="398">
        <f t="shared" si="49"/>
        <v>0</v>
      </c>
      <c r="AH86" s="399">
        <f t="shared" si="50"/>
        <v>0</v>
      </c>
      <c r="AI86" s="157">
        <v>0</v>
      </c>
      <c r="AJ86" s="157">
        <v>0</v>
      </c>
      <c r="AK86" s="398">
        <f t="shared" si="51"/>
        <v>0</v>
      </c>
      <c r="AL86" s="398">
        <f t="shared" si="52"/>
        <v>0</v>
      </c>
      <c r="AM86" s="399">
        <f t="shared" si="53"/>
        <v>0</v>
      </c>
      <c r="AN86" s="397">
        <v>0</v>
      </c>
      <c r="AO86" s="397">
        <v>0</v>
      </c>
      <c r="AP86" s="46"/>
      <c r="AR86" s="274"/>
      <c r="AS86" s="413"/>
      <c r="AX86" s="2"/>
      <c r="BA86" s="342"/>
      <c r="BB86" s="344"/>
      <c r="BC86" s="342"/>
      <c r="BD86" s="386"/>
      <c r="BE86" s="386"/>
      <c r="BF86" s="386"/>
      <c r="BG86" s="386"/>
      <c r="BH86" s="386"/>
      <c r="BI86" s="386"/>
      <c r="BJ86" s="386"/>
      <c r="BK86" s="386"/>
      <c r="BL86" s="386"/>
      <c r="BM86" s="386"/>
      <c r="BN86" s="387"/>
      <c r="BO86" s="265"/>
      <c r="BP86" s="386"/>
      <c r="BQ86" s="388"/>
      <c r="BR86" s="388"/>
      <c r="BS86" s="389"/>
      <c r="BT86" s="389"/>
      <c r="BU86" s="389"/>
      <c r="BV86" s="386"/>
      <c r="BW86" s="389"/>
      <c r="BX86" s="389"/>
      <c r="BY86" s="386"/>
      <c r="BZ86" s="386"/>
      <c r="CA86" s="386"/>
      <c r="CB86" s="386"/>
      <c r="CC86" s="386"/>
      <c r="CD86" s="386"/>
      <c r="CE86" s="386"/>
      <c r="CF86" s="390"/>
      <c r="CG86" s="390"/>
      <c r="CH86" s="391"/>
      <c r="CI86" s="386"/>
      <c r="CJ86" s="386"/>
      <c r="CK86" s="390"/>
      <c r="CL86" s="390"/>
      <c r="CM86" s="391"/>
      <c r="CN86" s="389"/>
      <c r="CO86" s="389"/>
      <c r="CP86" s="135"/>
      <c r="CQ86" s="135"/>
      <c r="CR86" s="135"/>
      <c r="CS86" s="135"/>
      <c r="CT86" s="135"/>
      <c r="CU86" s="135"/>
    </row>
    <row r="87" spans="1:99">
      <c r="A87" s="342" t="s">
        <v>196</v>
      </c>
      <c r="B87" s="344" t="s">
        <v>195</v>
      </c>
      <c r="C87" s="345" t="s">
        <v>910</v>
      </c>
      <c r="D87" s="157">
        <v>0</v>
      </c>
      <c r="E87" s="157">
        <v>0</v>
      </c>
      <c r="F87" s="157">
        <v>0</v>
      </c>
      <c r="G87" s="157">
        <v>0</v>
      </c>
      <c r="H87" s="157">
        <v>0</v>
      </c>
      <c r="I87" s="157">
        <v>0</v>
      </c>
      <c r="J87" s="157">
        <v>0</v>
      </c>
      <c r="K87" s="157">
        <v>0</v>
      </c>
      <c r="L87" s="157">
        <v>0</v>
      </c>
      <c r="M87" s="157">
        <v>1865561.17</v>
      </c>
      <c r="N87" s="264">
        <v>0</v>
      </c>
      <c r="O87" s="265">
        <v>0</v>
      </c>
      <c r="P87" s="157">
        <v>0</v>
      </c>
      <c r="Q87" s="396">
        <v>0</v>
      </c>
      <c r="R87" s="396">
        <v>0</v>
      </c>
      <c r="S87" s="397">
        <v>0</v>
      </c>
      <c r="T87" s="397">
        <v>0</v>
      </c>
      <c r="U87" s="397">
        <v>0</v>
      </c>
      <c r="V87" s="157">
        <v>0</v>
      </c>
      <c r="W87" s="397">
        <v>0</v>
      </c>
      <c r="X87" s="397">
        <v>0</v>
      </c>
      <c r="Y87" s="157">
        <v>0</v>
      </c>
      <c r="Z87" s="157">
        <v>0</v>
      </c>
      <c r="AA87" s="157">
        <v>0</v>
      </c>
      <c r="AB87" s="157">
        <v>0</v>
      </c>
      <c r="AC87" s="157">
        <v>0</v>
      </c>
      <c r="AD87" s="157">
        <v>0</v>
      </c>
      <c r="AE87" s="157">
        <v>0</v>
      </c>
      <c r="AF87" s="398">
        <f t="shared" si="48"/>
        <v>0</v>
      </c>
      <c r="AG87" s="398">
        <f t="shared" si="49"/>
        <v>0</v>
      </c>
      <c r="AH87" s="399">
        <f t="shared" si="50"/>
        <v>0</v>
      </c>
      <c r="AI87" s="157">
        <v>0</v>
      </c>
      <c r="AJ87" s="157">
        <v>0</v>
      </c>
      <c r="AK87" s="398">
        <f t="shared" si="51"/>
        <v>0</v>
      </c>
      <c r="AL87" s="398">
        <f t="shared" si="52"/>
        <v>0</v>
      </c>
      <c r="AM87" s="399">
        <f t="shared" si="53"/>
        <v>0</v>
      </c>
      <c r="AN87" s="397">
        <v>0</v>
      </c>
      <c r="AO87" s="397">
        <v>0</v>
      </c>
      <c r="AP87" s="46"/>
      <c r="AR87" s="274"/>
      <c r="AS87" s="413"/>
      <c r="AX87" s="2"/>
      <c r="BA87" s="342"/>
      <c r="BB87" s="344"/>
      <c r="BC87" s="342"/>
      <c r="BD87" s="386"/>
      <c r="BE87" s="386"/>
      <c r="BF87" s="386"/>
      <c r="BG87" s="386"/>
      <c r="BH87" s="386"/>
      <c r="BI87" s="386"/>
      <c r="BJ87" s="386"/>
      <c r="BK87" s="386"/>
      <c r="BL87" s="386"/>
      <c r="BM87" s="386"/>
      <c r="BN87" s="387"/>
      <c r="BO87" s="265"/>
      <c r="BP87" s="386"/>
      <c r="BQ87" s="388"/>
      <c r="BR87" s="388"/>
      <c r="BS87" s="389"/>
      <c r="BT87" s="389"/>
      <c r="BU87" s="389"/>
      <c r="BV87" s="386"/>
      <c r="BW87" s="389"/>
      <c r="BX87" s="389"/>
      <c r="BY87" s="386"/>
      <c r="BZ87" s="386"/>
      <c r="CA87" s="386"/>
      <c r="CB87" s="386"/>
      <c r="CC87" s="386"/>
      <c r="CD87" s="386"/>
      <c r="CE87" s="386"/>
      <c r="CF87" s="390"/>
      <c r="CG87" s="390"/>
      <c r="CH87" s="391"/>
      <c r="CI87" s="386"/>
      <c r="CJ87" s="386"/>
      <c r="CK87" s="390"/>
      <c r="CL87" s="390"/>
      <c r="CM87" s="391"/>
      <c r="CN87" s="389"/>
      <c r="CO87" s="389"/>
      <c r="CP87" s="135"/>
      <c r="CQ87" s="135"/>
      <c r="CR87" s="135"/>
      <c r="CS87" s="135"/>
      <c r="CT87" s="135"/>
      <c r="CU87" s="135"/>
    </row>
    <row r="88" spans="1:99">
      <c r="A88" s="342" t="s">
        <v>198</v>
      </c>
      <c r="B88" s="344" t="s">
        <v>197</v>
      </c>
      <c r="C88" s="345" t="s">
        <v>911</v>
      </c>
      <c r="D88" s="157">
        <v>0</v>
      </c>
      <c r="E88" s="157">
        <v>0</v>
      </c>
      <c r="F88" s="157">
        <v>0</v>
      </c>
      <c r="G88" s="157">
        <v>0</v>
      </c>
      <c r="H88" s="157">
        <v>0</v>
      </c>
      <c r="I88" s="157">
        <v>0</v>
      </c>
      <c r="J88" s="157">
        <v>0</v>
      </c>
      <c r="K88" s="157">
        <v>0</v>
      </c>
      <c r="L88" s="157">
        <v>0</v>
      </c>
      <c r="M88" s="157">
        <v>0</v>
      </c>
      <c r="N88" s="264">
        <v>0</v>
      </c>
      <c r="O88" s="265">
        <v>0</v>
      </c>
      <c r="P88" s="157">
        <v>0</v>
      </c>
      <c r="Q88" s="396">
        <v>0</v>
      </c>
      <c r="R88" s="396">
        <v>0</v>
      </c>
      <c r="S88" s="397">
        <v>0</v>
      </c>
      <c r="T88" s="397">
        <v>0</v>
      </c>
      <c r="U88" s="397">
        <v>0</v>
      </c>
      <c r="V88" s="157">
        <v>0</v>
      </c>
      <c r="W88" s="397">
        <v>0</v>
      </c>
      <c r="X88" s="397">
        <v>0</v>
      </c>
      <c r="Y88" s="157">
        <v>0</v>
      </c>
      <c r="Z88" s="157">
        <v>0</v>
      </c>
      <c r="AA88" s="157">
        <v>0</v>
      </c>
      <c r="AB88" s="157">
        <v>0</v>
      </c>
      <c r="AC88" s="157">
        <v>0</v>
      </c>
      <c r="AD88" s="157">
        <v>0</v>
      </c>
      <c r="AE88" s="157">
        <v>0</v>
      </c>
      <c r="AF88" s="398">
        <f t="shared" si="48"/>
        <v>0</v>
      </c>
      <c r="AG88" s="398">
        <f t="shared" si="49"/>
        <v>0</v>
      </c>
      <c r="AH88" s="399">
        <f t="shared" si="50"/>
        <v>0</v>
      </c>
      <c r="AI88" s="157">
        <v>0</v>
      </c>
      <c r="AJ88" s="157">
        <v>0</v>
      </c>
      <c r="AK88" s="398">
        <f t="shared" si="51"/>
        <v>0</v>
      </c>
      <c r="AL88" s="398">
        <f t="shared" si="52"/>
        <v>0</v>
      </c>
      <c r="AM88" s="399">
        <f t="shared" si="53"/>
        <v>0</v>
      </c>
      <c r="AN88" s="397">
        <v>0</v>
      </c>
      <c r="AO88" s="397">
        <v>0</v>
      </c>
      <c r="AP88" s="46"/>
      <c r="AR88" s="274"/>
      <c r="AS88" s="413"/>
      <c r="AX88" s="2"/>
      <c r="BA88" s="342"/>
      <c r="BB88" s="344"/>
      <c r="BC88" s="342"/>
      <c r="BD88" s="386"/>
      <c r="BE88" s="386"/>
      <c r="BF88" s="386"/>
      <c r="BG88" s="386"/>
      <c r="BH88" s="386"/>
      <c r="BI88" s="386"/>
      <c r="BJ88" s="386"/>
      <c r="BK88" s="386"/>
      <c r="BL88" s="386"/>
      <c r="BM88" s="386"/>
      <c r="BN88" s="387"/>
      <c r="BO88" s="265"/>
      <c r="BP88" s="386"/>
      <c r="BQ88" s="388"/>
      <c r="BR88" s="388"/>
      <c r="BS88" s="389"/>
      <c r="BT88" s="389"/>
      <c r="BU88" s="389"/>
      <c r="BV88" s="386"/>
      <c r="BW88" s="389"/>
      <c r="BX88" s="389"/>
      <c r="BY88" s="386"/>
      <c r="BZ88" s="386"/>
      <c r="CA88" s="386"/>
      <c r="CB88" s="386"/>
      <c r="CC88" s="386"/>
      <c r="CD88" s="386"/>
      <c r="CE88" s="386"/>
      <c r="CF88" s="390"/>
      <c r="CG88" s="390"/>
      <c r="CH88" s="391"/>
      <c r="CI88" s="386"/>
      <c r="CJ88" s="386"/>
      <c r="CK88" s="390"/>
      <c r="CL88" s="390"/>
      <c r="CM88" s="391"/>
      <c r="CN88" s="389"/>
      <c r="CO88" s="389"/>
      <c r="CP88" s="135"/>
      <c r="CQ88" s="135"/>
      <c r="CR88" s="135"/>
      <c r="CS88" s="135"/>
      <c r="CT88" s="135"/>
      <c r="CU88" s="135"/>
    </row>
    <row r="89" spans="1:99">
      <c r="A89" s="342" t="s">
        <v>200</v>
      </c>
      <c r="B89" s="344" t="s">
        <v>199</v>
      </c>
      <c r="C89" s="345" t="s">
        <v>912</v>
      </c>
      <c r="D89" s="157">
        <v>0</v>
      </c>
      <c r="E89" s="157">
        <v>0</v>
      </c>
      <c r="F89" s="157">
        <v>0</v>
      </c>
      <c r="G89" s="157">
        <v>0</v>
      </c>
      <c r="H89" s="157">
        <v>0</v>
      </c>
      <c r="I89" s="157">
        <v>0</v>
      </c>
      <c r="J89" s="157">
        <v>0</v>
      </c>
      <c r="K89" s="157">
        <v>0</v>
      </c>
      <c r="L89" s="157">
        <v>0</v>
      </c>
      <c r="M89" s="157">
        <v>0</v>
      </c>
      <c r="N89" s="264">
        <v>0</v>
      </c>
      <c r="O89" s="265">
        <v>0</v>
      </c>
      <c r="P89" s="157">
        <v>0</v>
      </c>
      <c r="Q89" s="396">
        <v>0</v>
      </c>
      <c r="R89" s="396">
        <v>0</v>
      </c>
      <c r="S89" s="397">
        <v>0</v>
      </c>
      <c r="T89" s="397">
        <v>0</v>
      </c>
      <c r="U89" s="397">
        <v>0</v>
      </c>
      <c r="V89" s="157">
        <v>0</v>
      </c>
      <c r="W89" s="397">
        <v>0</v>
      </c>
      <c r="X89" s="397">
        <v>0</v>
      </c>
      <c r="Y89" s="157">
        <v>0</v>
      </c>
      <c r="Z89" s="157">
        <v>0</v>
      </c>
      <c r="AA89" s="157">
        <v>0</v>
      </c>
      <c r="AB89" s="157">
        <v>0</v>
      </c>
      <c r="AC89" s="157">
        <v>0</v>
      </c>
      <c r="AD89" s="157">
        <v>0</v>
      </c>
      <c r="AE89" s="157">
        <v>0</v>
      </c>
      <c r="AF89" s="398">
        <f t="shared" si="48"/>
        <v>0</v>
      </c>
      <c r="AG89" s="398">
        <f t="shared" si="49"/>
        <v>0</v>
      </c>
      <c r="AH89" s="399">
        <f t="shared" si="50"/>
        <v>0</v>
      </c>
      <c r="AI89" s="157">
        <v>0</v>
      </c>
      <c r="AJ89" s="157">
        <v>0</v>
      </c>
      <c r="AK89" s="398">
        <f t="shared" si="51"/>
        <v>0</v>
      </c>
      <c r="AL89" s="398">
        <f t="shared" si="52"/>
        <v>0</v>
      </c>
      <c r="AM89" s="399">
        <f t="shared" si="53"/>
        <v>0</v>
      </c>
      <c r="AN89" s="397">
        <v>0</v>
      </c>
      <c r="AO89" s="397">
        <v>0</v>
      </c>
      <c r="AP89" s="46"/>
      <c r="AR89" s="274"/>
      <c r="AS89" s="413"/>
      <c r="AX89" s="2"/>
      <c r="BA89" s="342"/>
      <c r="BB89" s="344"/>
      <c r="BC89" s="342"/>
      <c r="BD89" s="386"/>
      <c r="BE89" s="386"/>
      <c r="BF89" s="386"/>
      <c r="BG89" s="386"/>
      <c r="BH89" s="386"/>
      <c r="BI89" s="386"/>
      <c r="BJ89" s="386"/>
      <c r="BK89" s="386"/>
      <c r="BL89" s="386"/>
      <c r="BM89" s="386"/>
      <c r="BN89" s="387"/>
      <c r="BO89" s="265"/>
      <c r="BP89" s="386"/>
      <c r="BQ89" s="388"/>
      <c r="BR89" s="388"/>
      <c r="BS89" s="389"/>
      <c r="BT89" s="389"/>
      <c r="BU89" s="389"/>
      <c r="BV89" s="386"/>
      <c r="BW89" s="389"/>
      <c r="BX89" s="389"/>
      <c r="BY89" s="386"/>
      <c r="BZ89" s="386"/>
      <c r="CA89" s="386"/>
      <c r="CB89" s="386"/>
      <c r="CC89" s="386"/>
      <c r="CD89" s="386"/>
      <c r="CE89" s="386"/>
      <c r="CF89" s="390"/>
      <c r="CG89" s="390"/>
      <c r="CH89" s="391"/>
      <c r="CI89" s="386"/>
      <c r="CJ89" s="386"/>
      <c r="CK89" s="390"/>
      <c r="CL89" s="390"/>
      <c r="CM89" s="391"/>
      <c r="CN89" s="389"/>
      <c r="CO89" s="389"/>
      <c r="CP89" s="135"/>
      <c r="CQ89" s="135"/>
      <c r="CR89" s="135"/>
      <c r="CS89" s="135"/>
      <c r="CT89" s="135"/>
      <c r="CU89" s="135"/>
    </row>
    <row r="90" spans="1:99">
      <c r="A90" s="342" t="s">
        <v>202</v>
      </c>
      <c r="B90" s="342" t="s">
        <v>201</v>
      </c>
      <c r="C90" s="345" t="s">
        <v>913</v>
      </c>
      <c r="D90" s="157">
        <v>0</v>
      </c>
      <c r="E90" s="157">
        <v>0</v>
      </c>
      <c r="F90" s="157">
        <v>0</v>
      </c>
      <c r="G90" s="157">
        <v>0</v>
      </c>
      <c r="H90" s="157">
        <v>0</v>
      </c>
      <c r="I90" s="157">
        <v>0</v>
      </c>
      <c r="J90" s="157">
        <v>0</v>
      </c>
      <c r="K90" s="157">
        <v>0</v>
      </c>
      <c r="L90" s="157">
        <v>0</v>
      </c>
      <c r="M90" s="157">
        <v>0</v>
      </c>
      <c r="N90" s="264">
        <v>0</v>
      </c>
      <c r="O90" s="265">
        <v>0</v>
      </c>
      <c r="P90" s="157">
        <v>0</v>
      </c>
      <c r="Q90" s="396">
        <v>0</v>
      </c>
      <c r="R90" s="396">
        <v>0</v>
      </c>
      <c r="S90" s="397">
        <v>625015.9</v>
      </c>
      <c r="T90" s="397">
        <v>0</v>
      </c>
      <c r="U90" s="397">
        <v>21100.61</v>
      </c>
      <c r="V90" s="157">
        <v>0</v>
      </c>
      <c r="W90" s="397">
        <v>0</v>
      </c>
      <c r="X90" s="397">
        <v>0</v>
      </c>
      <c r="Y90" s="157">
        <v>0</v>
      </c>
      <c r="Z90" s="157">
        <v>0</v>
      </c>
      <c r="AA90" s="157">
        <v>0</v>
      </c>
      <c r="AB90" s="157">
        <v>0</v>
      </c>
      <c r="AC90" s="157">
        <v>0</v>
      </c>
      <c r="AD90" s="157">
        <v>0</v>
      </c>
      <c r="AE90" s="157">
        <v>0</v>
      </c>
      <c r="AF90" s="398">
        <f t="shared" si="48"/>
        <v>0</v>
      </c>
      <c r="AG90" s="398">
        <f t="shared" si="49"/>
        <v>0</v>
      </c>
      <c r="AH90" s="399">
        <f t="shared" si="50"/>
        <v>0</v>
      </c>
      <c r="AI90" s="157">
        <v>0</v>
      </c>
      <c r="AJ90" s="157">
        <v>0</v>
      </c>
      <c r="AK90" s="398">
        <f t="shared" si="51"/>
        <v>0</v>
      </c>
      <c r="AL90" s="398">
        <f t="shared" si="52"/>
        <v>0</v>
      </c>
      <c r="AM90" s="399">
        <f t="shared" si="53"/>
        <v>0</v>
      </c>
      <c r="AN90" s="397">
        <v>0</v>
      </c>
      <c r="AO90" s="397">
        <v>0</v>
      </c>
      <c r="AP90" s="46"/>
      <c r="AR90" s="274"/>
      <c r="AS90" s="413"/>
      <c r="AX90" s="2"/>
      <c r="BA90" s="342"/>
      <c r="BB90" s="342"/>
      <c r="BC90" s="342"/>
      <c r="BD90" s="386"/>
      <c r="BE90" s="386"/>
      <c r="BF90" s="386"/>
      <c r="BG90" s="386"/>
      <c r="BH90" s="386"/>
      <c r="BI90" s="386"/>
      <c r="BJ90" s="386"/>
      <c r="BK90" s="386"/>
      <c r="BL90" s="386"/>
      <c r="BM90" s="386"/>
      <c r="BN90" s="387"/>
      <c r="BO90" s="265"/>
      <c r="BP90" s="386"/>
      <c r="BQ90" s="388"/>
      <c r="BR90" s="388"/>
      <c r="BS90" s="389"/>
      <c r="BT90" s="389"/>
      <c r="BU90" s="389"/>
      <c r="BV90" s="386"/>
      <c r="BW90" s="389"/>
      <c r="BX90" s="389"/>
      <c r="BY90" s="386"/>
      <c r="BZ90" s="386"/>
      <c r="CA90" s="386"/>
      <c r="CB90" s="386"/>
      <c r="CC90" s="386"/>
      <c r="CD90" s="386"/>
      <c r="CE90" s="386"/>
      <c r="CF90" s="390"/>
      <c r="CG90" s="390"/>
      <c r="CH90" s="391"/>
      <c r="CI90" s="386"/>
      <c r="CJ90" s="386"/>
      <c r="CK90" s="390"/>
      <c r="CL90" s="390"/>
      <c r="CM90" s="391"/>
      <c r="CN90" s="389"/>
      <c r="CO90" s="389"/>
      <c r="CP90" s="135"/>
      <c r="CQ90" s="135"/>
      <c r="CR90" s="135"/>
      <c r="CS90" s="135"/>
      <c r="CT90" s="135"/>
      <c r="CU90" s="135"/>
    </row>
    <row r="91" spans="1:99">
      <c r="A91" s="342" t="s">
        <v>204</v>
      </c>
      <c r="B91" s="342" t="s">
        <v>203</v>
      </c>
      <c r="C91" s="342" t="s">
        <v>914</v>
      </c>
      <c r="D91" s="157">
        <v>0</v>
      </c>
      <c r="E91" s="157">
        <v>0</v>
      </c>
      <c r="F91" s="157">
        <v>0</v>
      </c>
      <c r="G91" s="157">
        <v>47525.33</v>
      </c>
      <c r="H91" s="157">
        <v>4175.3599999999997</v>
      </c>
      <c r="I91" s="157">
        <v>13758.73</v>
      </c>
      <c r="J91" s="157">
        <v>17896.71</v>
      </c>
      <c r="K91" s="157">
        <v>4973.7</v>
      </c>
      <c r="L91" s="157">
        <v>1655.18</v>
      </c>
      <c r="M91" s="157">
        <v>35786.74</v>
      </c>
      <c r="N91" s="264">
        <v>0.17269999999999999</v>
      </c>
      <c r="O91" s="265">
        <v>0.4425</v>
      </c>
      <c r="P91" s="157">
        <v>0</v>
      </c>
      <c r="Q91" s="396">
        <v>0</v>
      </c>
      <c r="R91" s="396">
        <v>0</v>
      </c>
      <c r="S91" s="397">
        <v>0</v>
      </c>
      <c r="T91" s="397">
        <v>0</v>
      </c>
      <c r="U91" s="397">
        <v>0</v>
      </c>
      <c r="V91" s="157">
        <v>0</v>
      </c>
      <c r="W91" s="397">
        <v>0</v>
      </c>
      <c r="X91" s="397">
        <v>0</v>
      </c>
      <c r="Y91" s="157">
        <v>59.77</v>
      </c>
      <c r="Z91" s="157">
        <v>0</v>
      </c>
      <c r="AA91" s="157">
        <v>0</v>
      </c>
      <c r="AB91" s="157">
        <v>0</v>
      </c>
      <c r="AC91" s="157">
        <v>0</v>
      </c>
      <c r="AD91" s="157">
        <v>0</v>
      </c>
      <c r="AE91" s="157">
        <v>0</v>
      </c>
      <c r="AF91" s="398">
        <f t="shared" si="48"/>
        <v>0</v>
      </c>
      <c r="AG91" s="398">
        <f t="shared" si="49"/>
        <v>0</v>
      </c>
      <c r="AH91" s="399">
        <f t="shared" si="50"/>
        <v>0</v>
      </c>
      <c r="AI91" s="157">
        <v>0</v>
      </c>
      <c r="AJ91" s="157">
        <v>0</v>
      </c>
      <c r="AK91" s="398">
        <f t="shared" si="51"/>
        <v>0</v>
      </c>
      <c r="AL91" s="398">
        <f t="shared" si="52"/>
        <v>0</v>
      </c>
      <c r="AM91" s="399">
        <f t="shared" si="53"/>
        <v>0</v>
      </c>
      <c r="AN91" s="397">
        <v>0</v>
      </c>
      <c r="AO91" s="397">
        <v>0</v>
      </c>
      <c r="AP91" s="46"/>
      <c r="AQ91" s="402">
        <v>27.229999999999563</v>
      </c>
      <c r="AR91" s="274">
        <v>6162.79</v>
      </c>
      <c r="AS91" s="413"/>
      <c r="AX91" s="2"/>
      <c r="BA91" s="342"/>
      <c r="BB91" s="342"/>
      <c r="BC91" s="342"/>
      <c r="BD91" s="386"/>
      <c r="BE91" s="386"/>
      <c r="BF91" s="386"/>
      <c r="BG91" s="386"/>
      <c r="BH91" s="386"/>
      <c r="BI91" s="386"/>
      <c r="BJ91" s="386"/>
      <c r="BK91" s="386"/>
      <c r="BL91" s="386"/>
      <c r="BM91" s="386"/>
      <c r="BN91" s="387"/>
      <c r="BO91" s="265"/>
      <c r="BP91" s="386"/>
      <c r="BQ91" s="388"/>
      <c r="BR91" s="388"/>
      <c r="BS91" s="389"/>
      <c r="BT91" s="389"/>
      <c r="BU91" s="389"/>
      <c r="BV91" s="386"/>
      <c r="BW91" s="389"/>
      <c r="BX91" s="389"/>
      <c r="BY91" s="386"/>
      <c r="BZ91" s="386"/>
      <c r="CA91" s="386"/>
      <c r="CB91" s="386"/>
      <c r="CC91" s="386"/>
      <c r="CD91" s="386"/>
      <c r="CE91" s="386"/>
      <c r="CF91" s="390"/>
      <c r="CG91" s="390"/>
      <c r="CH91" s="391"/>
      <c r="CI91" s="386"/>
      <c r="CJ91" s="386"/>
      <c r="CK91" s="390"/>
      <c r="CL91" s="390"/>
      <c r="CM91" s="391"/>
      <c r="CN91" s="389"/>
      <c r="CO91" s="389"/>
      <c r="CP91" s="135"/>
      <c r="CQ91" s="135"/>
      <c r="CR91" s="135"/>
      <c r="CS91" s="135"/>
      <c r="CT91" s="135"/>
      <c r="CU91" s="135"/>
    </row>
    <row r="92" spans="1:99">
      <c r="A92" s="342" t="s">
        <v>206</v>
      </c>
      <c r="B92" s="342" t="s">
        <v>205</v>
      </c>
      <c r="C92" s="342" t="s">
        <v>915</v>
      </c>
      <c r="D92" s="157">
        <v>0</v>
      </c>
      <c r="E92" s="157">
        <v>447847.95</v>
      </c>
      <c r="F92" s="157">
        <v>127354.68</v>
      </c>
      <c r="G92" s="157">
        <v>32896065.719999999</v>
      </c>
      <c r="H92" s="157">
        <v>7577700.8799999999</v>
      </c>
      <c r="I92" s="157">
        <v>2663125.7000000002</v>
      </c>
      <c r="J92" s="157">
        <v>5821064.6600000001</v>
      </c>
      <c r="K92" s="157">
        <v>6507725.2300000004</v>
      </c>
      <c r="L92" s="157">
        <v>681476.46</v>
      </c>
      <c r="M92" s="157">
        <v>14727797.58</v>
      </c>
      <c r="N92" s="264">
        <v>3.7100000000000001E-2</v>
      </c>
      <c r="O92" s="265">
        <v>0.1174</v>
      </c>
      <c r="P92" s="157">
        <v>0</v>
      </c>
      <c r="Q92" s="396">
        <v>0</v>
      </c>
      <c r="R92" s="396">
        <v>0</v>
      </c>
      <c r="S92" s="397">
        <v>0</v>
      </c>
      <c r="T92" s="397">
        <v>0</v>
      </c>
      <c r="U92" s="397">
        <v>0</v>
      </c>
      <c r="V92" s="157">
        <v>0</v>
      </c>
      <c r="W92" s="397">
        <v>0</v>
      </c>
      <c r="X92" s="397">
        <v>0</v>
      </c>
      <c r="Y92" s="157">
        <v>10390.08</v>
      </c>
      <c r="Z92" s="157">
        <v>135545.5</v>
      </c>
      <c r="AA92" s="157">
        <v>561524.31999999995</v>
      </c>
      <c r="AB92" s="157">
        <v>4219184.26</v>
      </c>
      <c r="AC92" s="157">
        <v>13184047.02</v>
      </c>
      <c r="AD92" s="157">
        <v>1285.8399999999999</v>
      </c>
      <c r="AE92" s="157">
        <v>12429292.34</v>
      </c>
      <c r="AF92" s="398">
        <f t="shared" si="48"/>
        <v>9666.2822279599332</v>
      </c>
      <c r="AG92" s="398">
        <f t="shared" si="49"/>
        <v>10253.256252721956</v>
      </c>
      <c r="AH92" s="399">
        <f t="shared" si="50"/>
        <v>586.97</v>
      </c>
      <c r="AI92" s="157">
        <v>416.86</v>
      </c>
      <c r="AJ92" s="157">
        <v>3919647.9</v>
      </c>
      <c r="AK92" s="398">
        <f t="shared" si="51"/>
        <v>9402.7920644820806</v>
      </c>
      <c r="AL92" s="398">
        <f t="shared" si="52"/>
        <v>10121.345919493355</v>
      </c>
      <c r="AM92" s="399">
        <f t="shared" si="53"/>
        <v>718.55</v>
      </c>
      <c r="AN92" s="397">
        <v>20000</v>
      </c>
      <c r="AO92" s="397">
        <v>0</v>
      </c>
      <c r="AP92" s="46"/>
      <c r="AQ92" s="402">
        <v>363630.83999999962</v>
      </c>
      <c r="AR92" s="274">
        <v>2405089.75</v>
      </c>
      <c r="AS92" s="413">
        <v>613503.38</v>
      </c>
      <c r="AX92" s="2"/>
      <c r="BA92" s="342"/>
      <c r="BB92" s="342"/>
      <c r="BC92" s="342"/>
      <c r="BD92" s="386"/>
      <c r="BE92" s="386"/>
      <c r="BF92" s="386"/>
      <c r="BG92" s="386"/>
      <c r="BH92" s="386"/>
      <c r="BI92" s="386"/>
      <c r="BJ92" s="386"/>
      <c r="BK92" s="386"/>
      <c r="BL92" s="386"/>
      <c r="BM92" s="386"/>
      <c r="BN92" s="387"/>
      <c r="BO92" s="265"/>
      <c r="BP92" s="386"/>
      <c r="BQ92" s="388"/>
      <c r="BR92" s="388"/>
      <c r="BS92" s="389"/>
      <c r="BT92" s="389"/>
      <c r="BU92" s="389"/>
      <c r="BV92" s="386"/>
      <c r="BW92" s="389"/>
      <c r="BX92" s="389"/>
      <c r="BY92" s="386"/>
      <c r="BZ92" s="386"/>
      <c r="CA92" s="386"/>
      <c r="CB92" s="386"/>
      <c r="CC92" s="386"/>
      <c r="CD92" s="386"/>
      <c r="CE92" s="386"/>
      <c r="CF92" s="390"/>
      <c r="CG92" s="390"/>
      <c r="CH92" s="391"/>
      <c r="CI92" s="386"/>
      <c r="CJ92" s="386"/>
      <c r="CK92" s="390"/>
      <c r="CL92" s="390"/>
      <c r="CM92" s="391"/>
      <c r="CN92" s="389"/>
      <c r="CO92" s="389"/>
      <c r="CP92" s="135"/>
      <c r="CQ92" s="135"/>
      <c r="CR92" s="135"/>
      <c r="CS92" s="135"/>
      <c r="CT92" s="135"/>
      <c r="CU92" s="135"/>
    </row>
    <row r="93" spans="1:99">
      <c r="A93" s="342" t="s">
        <v>208</v>
      </c>
      <c r="B93" s="342" t="s">
        <v>207</v>
      </c>
      <c r="C93" s="342" t="s">
        <v>916</v>
      </c>
      <c r="D93" s="157">
        <v>0</v>
      </c>
      <c r="E93" s="157">
        <v>479434.81</v>
      </c>
      <c r="F93" s="157">
        <v>374980.45</v>
      </c>
      <c r="G93" s="157">
        <v>33502371.57</v>
      </c>
      <c r="H93" s="157">
        <v>5922454.1299999999</v>
      </c>
      <c r="I93" s="157">
        <v>4051830.04</v>
      </c>
      <c r="J93" s="157">
        <v>8646321.7100000009</v>
      </c>
      <c r="K93" s="157">
        <v>6142252.2400000002</v>
      </c>
      <c r="L93" s="157">
        <v>716796.91</v>
      </c>
      <c r="M93" s="157">
        <v>16978735.82</v>
      </c>
      <c r="N93" s="264">
        <v>3.9E-2</v>
      </c>
      <c r="O93" s="265">
        <v>0.11890000000000001</v>
      </c>
      <c r="P93" s="157">
        <v>0</v>
      </c>
      <c r="Q93" s="396">
        <v>0</v>
      </c>
      <c r="R93" s="396">
        <v>0</v>
      </c>
      <c r="S93" s="397">
        <v>0</v>
      </c>
      <c r="T93" s="397">
        <v>0</v>
      </c>
      <c r="U93" s="397">
        <v>0</v>
      </c>
      <c r="V93" s="157">
        <v>0</v>
      </c>
      <c r="W93" s="397">
        <v>0</v>
      </c>
      <c r="X93" s="397">
        <v>0</v>
      </c>
      <c r="Y93" s="157">
        <v>8860.84</v>
      </c>
      <c r="Z93" s="157">
        <v>94721.7</v>
      </c>
      <c r="AA93" s="157">
        <v>987139.46</v>
      </c>
      <c r="AB93" s="157">
        <v>2078585.72</v>
      </c>
      <c r="AC93" s="157">
        <v>20000474.02</v>
      </c>
      <c r="AD93" s="157">
        <v>2126.4699999999998</v>
      </c>
      <c r="AE93" s="157">
        <v>19029374.579999998</v>
      </c>
      <c r="AF93" s="398">
        <f t="shared" si="48"/>
        <v>8948.8093318974643</v>
      </c>
      <c r="AG93" s="398">
        <f t="shared" si="49"/>
        <v>9405.4813940474123</v>
      </c>
      <c r="AH93" s="399">
        <f t="shared" si="50"/>
        <v>456.67</v>
      </c>
      <c r="AI93" s="157">
        <v>222.12</v>
      </c>
      <c r="AJ93" s="157">
        <v>1930548.06</v>
      </c>
      <c r="AK93" s="398">
        <f t="shared" si="51"/>
        <v>8691.4643435980561</v>
      </c>
      <c r="AL93" s="398">
        <f t="shared" si="52"/>
        <v>9357.9403925805873</v>
      </c>
      <c r="AM93" s="399">
        <f t="shared" si="53"/>
        <v>666.48</v>
      </c>
      <c r="AN93" s="397">
        <v>0</v>
      </c>
      <c r="AO93" s="397">
        <v>496.52</v>
      </c>
      <c r="AP93" s="46"/>
      <c r="AQ93" s="402">
        <v>0</v>
      </c>
      <c r="AR93" s="274">
        <v>2530760.19</v>
      </c>
      <c r="AS93" s="413">
        <v>696703.25</v>
      </c>
      <c r="AX93" s="2"/>
      <c r="BA93" s="342"/>
      <c r="BB93" s="342"/>
      <c r="BC93" s="342"/>
      <c r="BD93" s="386"/>
      <c r="BE93" s="386"/>
      <c r="BF93" s="386"/>
      <c r="BG93" s="386"/>
      <c r="BH93" s="386"/>
      <c r="BI93" s="386"/>
      <c r="BJ93" s="386"/>
      <c r="BK93" s="386"/>
      <c r="BL93" s="386"/>
      <c r="BM93" s="386"/>
      <c r="BN93" s="387"/>
      <c r="BO93" s="265"/>
      <c r="BP93" s="386"/>
      <c r="BQ93" s="388"/>
      <c r="BR93" s="388"/>
      <c r="BS93" s="389"/>
      <c r="BT93" s="389"/>
      <c r="BU93" s="389"/>
      <c r="BV93" s="386"/>
      <c r="BW93" s="389"/>
      <c r="BX93" s="389"/>
      <c r="BY93" s="386"/>
      <c r="BZ93" s="386"/>
      <c r="CA93" s="386"/>
      <c r="CB93" s="386"/>
      <c r="CC93" s="386"/>
      <c r="CD93" s="386"/>
      <c r="CE93" s="386"/>
      <c r="CF93" s="390"/>
      <c r="CG93" s="390"/>
      <c r="CH93" s="391"/>
      <c r="CI93" s="386"/>
      <c r="CJ93" s="386"/>
      <c r="CK93" s="390"/>
      <c r="CL93" s="390"/>
      <c r="CM93" s="391"/>
      <c r="CN93" s="389"/>
      <c r="CO93" s="389"/>
      <c r="CP93" s="135"/>
      <c r="CQ93" s="135"/>
      <c r="CR93" s="135"/>
      <c r="CS93" s="135"/>
      <c r="CT93" s="135"/>
      <c r="CU93" s="135"/>
    </row>
    <row r="94" spans="1:99">
      <c r="A94" s="342" t="s">
        <v>210</v>
      </c>
      <c r="B94" s="342" t="s">
        <v>209</v>
      </c>
      <c r="C94" s="342" t="s">
        <v>917</v>
      </c>
      <c r="D94" s="157">
        <v>0</v>
      </c>
      <c r="E94" s="157">
        <v>0</v>
      </c>
      <c r="F94" s="157">
        <v>0</v>
      </c>
      <c r="G94" s="157">
        <v>30020.76</v>
      </c>
      <c r="H94" s="157">
        <v>1902.11</v>
      </c>
      <c r="I94" s="157">
        <v>8172.48</v>
      </c>
      <c r="J94" s="157">
        <v>14896.68</v>
      </c>
      <c r="K94" s="157">
        <v>0</v>
      </c>
      <c r="L94" s="157">
        <v>931.04</v>
      </c>
      <c r="M94" s="157">
        <v>0</v>
      </c>
      <c r="N94" s="264">
        <v>7.5700000000000003E-2</v>
      </c>
      <c r="O94" s="265">
        <v>0.25569999999999998</v>
      </c>
      <c r="P94" s="157">
        <v>0</v>
      </c>
      <c r="Q94" s="396">
        <v>0</v>
      </c>
      <c r="R94" s="396">
        <v>0</v>
      </c>
      <c r="S94" s="397">
        <v>0</v>
      </c>
      <c r="T94" s="397">
        <v>0</v>
      </c>
      <c r="U94" s="397">
        <v>0</v>
      </c>
      <c r="V94" s="157">
        <v>0</v>
      </c>
      <c r="W94" s="397">
        <v>0</v>
      </c>
      <c r="X94" s="397">
        <v>0</v>
      </c>
      <c r="Y94" s="157">
        <v>0</v>
      </c>
      <c r="Z94" s="157">
        <v>0</v>
      </c>
      <c r="AA94" s="157">
        <v>0</v>
      </c>
      <c r="AB94" s="157">
        <v>0</v>
      </c>
      <c r="AC94" s="157">
        <v>0</v>
      </c>
      <c r="AD94" s="157">
        <v>0</v>
      </c>
      <c r="AE94" s="157">
        <v>0</v>
      </c>
      <c r="AF94" s="398">
        <f t="shared" si="48"/>
        <v>0</v>
      </c>
      <c r="AG94" s="398">
        <f t="shared" si="49"/>
        <v>0</v>
      </c>
      <c r="AH94" s="399">
        <f t="shared" si="50"/>
        <v>0</v>
      </c>
      <c r="AI94" s="157">
        <v>0</v>
      </c>
      <c r="AJ94" s="157">
        <v>0</v>
      </c>
      <c r="AK94" s="398">
        <f t="shared" si="51"/>
        <v>0</v>
      </c>
      <c r="AL94" s="398">
        <f t="shared" si="52"/>
        <v>0</v>
      </c>
      <c r="AM94" s="399">
        <f t="shared" si="53"/>
        <v>0</v>
      </c>
      <c r="AN94" s="397">
        <v>0</v>
      </c>
      <c r="AO94" s="397">
        <v>0</v>
      </c>
      <c r="AP94" s="46"/>
      <c r="AQ94" s="402">
        <v>0</v>
      </c>
      <c r="AR94" s="274">
        <v>4753.1399999999994</v>
      </c>
      <c r="AS94" s="413">
        <v>10998.830000000002</v>
      </c>
      <c r="AX94" s="2"/>
      <c r="BA94" s="342"/>
      <c r="BB94" s="342"/>
      <c r="BC94" s="342"/>
      <c r="BD94" s="386"/>
      <c r="BE94" s="386"/>
      <c r="BF94" s="386"/>
      <c r="BG94" s="386"/>
      <c r="BH94" s="386"/>
      <c r="BI94" s="386"/>
      <c r="BJ94" s="386"/>
      <c r="BK94" s="386"/>
      <c r="BL94" s="386"/>
      <c r="BM94" s="386"/>
      <c r="BN94" s="387"/>
      <c r="BO94" s="265"/>
      <c r="BP94" s="386"/>
      <c r="BQ94" s="388"/>
      <c r="BR94" s="388"/>
      <c r="BS94" s="389"/>
      <c r="BT94" s="389"/>
      <c r="BU94" s="389"/>
      <c r="BV94" s="386"/>
      <c r="BW94" s="389"/>
      <c r="BX94" s="389"/>
      <c r="BY94" s="386"/>
      <c r="BZ94" s="386"/>
      <c r="CA94" s="386"/>
      <c r="CB94" s="386"/>
      <c r="CC94" s="386"/>
      <c r="CD94" s="386"/>
      <c r="CE94" s="386"/>
      <c r="CF94" s="390"/>
      <c r="CG94" s="390"/>
      <c r="CH94" s="391"/>
      <c r="CI94" s="386"/>
      <c r="CJ94" s="386"/>
      <c r="CK94" s="390"/>
      <c r="CL94" s="390"/>
      <c r="CM94" s="391"/>
      <c r="CN94" s="389"/>
      <c r="CO94" s="389"/>
      <c r="CP94" s="135"/>
      <c r="CQ94" s="135"/>
      <c r="CR94" s="135"/>
      <c r="CS94" s="135"/>
      <c r="CT94" s="135"/>
      <c r="CU94" s="135"/>
    </row>
    <row r="95" spans="1:99">
      <c r="A95" s="342" t="s">
        <v>212</v>
      </c>
      <c r="B95" s="342" t="s">
        <v>211</v>
      </c>
      <c r="C95" s="342" t="s">
        <v>918</v>
      </c>
      <c r="D95" s="157">
        <v>0</v>
      </c>
      <c r="E95" s="157">
        <v>662549.06000000006</v>
      </c>
      <c r="F95" s="157">
        <v>545955.09</v>
      </c>
      <c r="G95" s="157">
        <v>32617639.850000001</v>
      </c>
      <c r="H95" s="157">
        <v>7042078.6100000003</v>
      </c>
      <c r="I95" s="157">
        <v>6223256.3099999996</v>
      </c>
      <c r="J95" s="157">
        <v>9809233.3800000008</v>
      </c>
      <c r="K95" s="157">
        <v>10025956.810000001</v>
      </c>
      <c r="L95" s="157">
        <v>681905.15</v>
      </c>
      <c r="M95" s="157">
        <v>11502067.15</v>
      </c>
      <c r="N95" s="264">
        <v>3.7100000000000001E-2</v>
      </c>
      <c r="O95" s="265">
        <v>0.13350000000000001</v>
      </c>
      <c r="P95" s="157">
        <v>0</v>
      </c>
      <c r="Q95" s="396">
        <v>0</v>
      </c>
      <c r="R95" s="396">
        <v>0</v>
      </c>
      <c r="S95" s="397">
        <v>0</v>
      </c>
      <c r="T95" s="397">
        <v>0</v>
      </c>
      <c r="U95" s="397">
        <v>0</v>
      </c>
      <c r="V95" s="157">
        <v>0</v>
      </c>
      <c r="W95" s="397">
        <v>0</v>
      </c>
      <c r="X95" s="397">
        <v>0</v>
      </c>
      <c r="Y95" s="157">
        <v>21951.919999999998</v>
      </c>
      <c r="Z95" s="157">
        <v>14012.42</v>
      </c>
      <c r="AA95" s="157">
        <v>496780.22</v>
      </c>
      <c r="AB95" s="157">
        <v>1227799.71</v>
      </c>
      <c r="AC95" s="157">
        <v>12198941.52</v>
      </c>
      <c r="AD95" s="157">
        <v>1195.6099999999999</v>
      </c>
      <c r="AE95" s="157">
        <v>11128203.49</v>
      </c>
      <c r="AF95" s="398">
        <f t="shared" si="48"/>
        <v>9307.5530398708615</v>
      </c>
      <c r="AG95" s="398">
        <f t="shared" si="49"/>
        <v>10203.110981005513</v>
      </c>
      <c r="AH95" s="399">
        <f t="shared" si="50"/>
        <v>895.56</v>
      </c>
      <c r="AI95" s="157">
        <v>126.06</v>
      </c>
      <c r="AJ95" s="157">
        <v>1140435.31</v>
      </c>
      <c r="AK95" s="398">
        <f t="shared" si="51"/>
        <v>9046.7659051245446</v>
      </c>
      <c r="AL95" s="398">
        <f t="shared" si="52"/>
        <v>9739.8041408852914</v>
      </c>
      <c r="AM95" s="399">
        <f t="shared" si="53"/>
        <v>693.04</v>
      </c>
      <c r="AN95" s="397">
        <v>0</v>
      </c>
      <c r="AO95" s="397">
        <v>0</v>
      </c>
      <c r="AP95" s="46"/>
      <c r="AQ95" s="402">
        <v>211881.91999999993</v>
      </c>
      <c r="AR95" s="274">
        <v>2497063.98</v>
      </c>
      <c r="AS95" s="413">
        <v>636419.89999999991</v>
      </c>
      <c r="AX95" s="2"/>
      <c r="BA95" s="342"/>
      <c r="BB95" s="342"/>
      <c r="BC95" s="342"/>
      <c r="BD95" s="386"/>
      <c r="BE95" s="386"/>
      <c r="BF95" s="386"/>
      <c r="BG95" s="386"/>
      <c r="BH95" s="386"/>
      <c r="BI95" s="386"/>
      <c r="BJ95" s="386"/>
      <c r="BK95" s="386"/>
      <c r="BL95" s="386"/>
      <c r="BM95" s="386"/>
      <c r="BN95" s="387"/>
      <c r="BO95" s="265"/>
      <c r="BP95" s="386"/>
      <c r="BQ95" s="388"/>
      <c r="BR95" s="388"/>
      <c r="BS95" s="389"/>
      <c r="BT95" s="389"/>
      <c r="BU95" s="389"/>
      <c r="BV95" s="386"/>
      <c r="BW95" s="389"/>
      <c r="BX95" s="389"/>
      <c r="BY95" s="386"/>
      <c r="BZ95" s="386"/>
      <c r="CA95" s="386"/>
      <c r="CB95" s="386"/>
      <c r="CC95" s="386"/>
      <c r="CD95" s="386"/>
      <c r="CE95" s="386"/>
      <c r="CF95" s="390"/>
      <c r="CG95" s="390"/>
      <c r="CH95" s="391"/>
      <c r="CI95" s="386"/>
      <c r="CJ95" s="386"/>
      <c r="CK95" s="390"/>
      <c r="CL95" s="390"/>
      <c r="CM95" s="391"/>
      <c r="CN95" s="389"/>
      <c r="CO95" s="389"/>
      <c r="CP95" s="135"/>
      <c r="CQ95" s="135"/>
      <c r="CR95" s="135"/>
      <c r="CS95" s="135"/>
      <c r="CT95" s="135"/>
      <c r="CU95" s="135"/>
    </row>
    <row r="96" spans="1:99">
      <c r="A96" s="342" t="s">
        <v>214</v>
      </c>
      <c r="B96" s="342" t="s">
        <v>213</v>
      </c>
      <c r="C96" s="342" t="s">
        <v>919</v>
      </c>
      <c r="D96" s="157">
        <v>0</v>
      </c>
      <c r="E96" s="157">
        <v>0</v>
      </c>
      <c r="F96" s="157">
        <v>754.17</v>
      </c>
      <c r="G96" s="157">
        <v>7219460.5499999998</v>
      </c>
      <c r="H96" s="157">
        <v>1526850.99</v>
      </c>
      <c r="I96" s="157">
        <v>515839.11</v>
      </c>
      <c r="J96" s="157">
        <v>1518270.45</v>
      </c>
      <c r="K96" s="157">
        <v>747327.92</v>
      </c>
      <c r="L96" s="157">
        <v>147015.82</v>
      </c>
      <c r="M96" s="157">
        <v>3237201.71</v>
      </c>
      <c r="N96" s="264">
        <v>5.1200000000000002E-2</v>
      </c>
      <c r="O96" s="265">
        <v>0.15640000000000001</v>
      </c>
      <c r="P96" s="157">
        <v>0</v>
      </c>
      <c r="Q96" s="396">
        <v>0</v>
      </c>
      <c r="R96" s="396">
        <v>0</v>
      </c>
      <c r="S96" s="397">
        <v>0</v>
      </c>
      <c r="T96" s="397">
        <v>0</v>
      </c>
      <c r="U96" s="397">
        <v>0</v>
      </c>
      <c r="V96" s="157">
        <v>0</v>
      </c>
      <c r="W96" s="397">
        <v>0</v>
      </c>
      <c r="X96" s="397">
        <v>0</v>
      </c>
      <c r="Y96" s="157">
        <v>5005.01</v>
      </c>
      <c r="Z96" s="157">
        <v>15714.69</v>
      </c>
      <c r="AA96" s="157">
        <v>0</v>
      </c>
      <c r="AB96" s="157">
        <v>124160.42</v>
      </c>
      <c r="AC96" s="157">
        <v>2699634.4</v>
      </c>
      <c r="AD96" s="157">
        <v>269.85000000000002</v>
      </c>
      <c r="AE96" s="157">
        <v>2463152.2999999998</v>
      </c>
      <c r="AF96" s="398">
        <f t="shared" si="48"/>
        <v>9127.8573281452645</v>
      </c>
      <c r="AG96" s="398">
        <f t="shared" si="49"/>
        <v>10004.203816935333</v>
      </c>
      <c r="AH96" s="399">
        <f t="shared" si="50"/>
        <v>876.35</v>
      </c>
      <c r="AI96" s="157">
        <v>12.99</v>
      </c>
      <c r="AJ96" s="157">
        <v>115160.37</v>
      </c>
      <c r="AK96" s="398">
        <f t="shared" si="51"/>
        <v>8865.3094688221699</v>
      </c>
      <c r="AL96" s="398">
        <f t="shared" si="52"/>
        <v>9558.1539645881439</v>
      </c>
      <c r="AM96" s="399">
        <f t="shared" si="53"/>
        <v>692.84</v>
      </c>
      <c r="AN96" s="397">
        <v>0</v>
      </c>
      <c r="AO96" s="397">
        <v>0</v>
      </c>
      <c r="AP96" s="46"/>
      <c r="AQ96" s="402">
        <v>210501.52000000002</v>
      </c>
      <c r="AR96" s="274">
        <v>503618.13</v>
      </c>
      <c r="AS96" s="413">
        <v>145394.96000000002</v>
      </c>
      <c r="AX96" s="2"/>
      <c r="BA96" s="342"/>
      <c r="BB96" s="342"/>
      <c r="BC96" s="342"/>
      <c r="BD96" s="386"/>
      <c r="BE96" s="386"/>
      <c r="BF96" s="386"/>
      <c r="BG96" s="386"/>
      <c r="BH96" s="386"/>
      <c r="BI96" s="386"/>
      <c r="BJ96" s="386"/>
      <c r="BK96" s="386"/>
      <c r="BL96" s="386"/>
      <c r="BM96" s="386"/>
      <c r="BN96" s="387"/>
      <c r="BO96" s="265"/>
      <c r="BP96" s="386"/>
      <c r="BQ96" s="388"/>
      <c r="BR96" s="388"/>
      <c r="BS96" s="389"/>
      <c r="BT96" s="389"/>
      <c r="BU96" s="389"/>
      <c r="BV96" s="386"/>
      <c r="BW96" s="389"/>
      <c r="BX96" s="389"/>
      <c r="BY96" s="386"/>
      <c r="BZ96" s="386"/>
      <c r="CA96" s="386"/>
      <c r="CB96" s="386"/>
      <c r="CC96" s="386"/>
      <c r="CD96" s="386"/>
      <c r="CE96" s="386"/>
      <c r="CF96" s="390"/>
      <c r="CG96" s="390"/>
      <c r="CH96" s="391"/>
      <c r="CI96" s="386"/>
      <c r="CJ96" s="386"/>
      <c r="CK96" s="390"/>
      <c r="CL96" s="390"/>
      <c r="CM96" s="391"/>
      <c r="CN96" s="389"/>
      <c r="CO96" s="389"/>
      <c r="CP96" s="135"/>
      <c r="CQ96" s="135"/>
      <c r="CR96" s="135"/>
      <c r="CS96" s="135"/>
      <c r="CT96" s="135"/>
      <c r="CU96" s="135"/>
    </row>
    <row r="97" spans="1:99">
      <c r="A97" s="342" t="s">
        <v>216</v>
      </c>
      <c r="B97" s="342" t="s">
        <v>215</v>
      </c>
      <c r="C97" s="342" t="s">
        <v>920</v>
      </c>
      <c r="D97" s="157">
        <v>0</v>
      </c>
      <c r="E97" s="157">
        <v>77245.14</v>
      </c>
      <c r="F97" s="157">
        <v>0</v>
      </c>
      <c r="G97" s="157">
        <v>4598810.54</v>
      </c>
      <c r="H97" s="157">
        <v>1029678.01</v>
      </c>
      <c r="I97" s="157">
        <v>0</v>
      </c>
      <c r="J97" s="157">
        <v>1201767.75</v>
      </c>
      <c r="K97" s="157">
        <v>1089970.6100000001</v>
      </c>
      <c r="L97" s="157">
        <v>126820.86</v>
      </c>
      <c r="M97" s="157">
        <v>2881458.77</v>
      </c>
      <c r="N97" s="264">
        <v>6.5500000000000003E-2</v>
      </c>
      <c r="O97" s="265">
        <v>0.15359999999999999</v>
      </c>
      <c r="P97" s="157">
        <v>0</v>
      </c>
      <c r="Q97" s="396">
        <v>0</v>
      </c>
      <c r="R97" s="396">
        <v>0</v>
      </c>
      <c r="S97" s="397">
        <v>0</v>
      </c>
      <c r="T97" s="397">
        <v>0</v>
      </c>
      <c r="U97" s="397">
        <v>0</v>
      </c>
      <c r="V97" s="157">
        <v>0</v>
      </c>
      <c r="W97" s="397">
        <v>0</v>
      </c>
      <c r="X97" s="397">
        <v>0</v>
      </c>
      <c r="Y97" s="157">
        <v>2689.72</v>
      </c>
      <c r="Z97" s="157">
        <v>21907.49</v>
      </c>
      <c r="AA97" s="157">
        <v>283223.25</v>
      </c>
      <c r="AB97" s="157">
        <v>445243.81</v>
      </c>
      <c r="AC97" s="157">
        <v>3101961.55</v>
      </c>
      <c r="AD97" s="157">
        <v>313.93</v>
      </c>
      <c r="AE97" s="157">
        <v>2922018.33</v>
      </c>
      <c r="AF97" s="398">
        <f t="shared" si="48"/>
        <v>9307.8658618163281</v>
      </c>
      <c r="AG97" s="398">
        <f t="shared" si="49"/>
        <v>9881.061223839708</v>
      </c>
      <c r="AH97" s="399">
        <f t="shared" si="50"/>
        <v>573.20000000000005</v>
      </c>
      <c r="AI97" s="157">
        <v>45.72</v>
      </c>
      <c r="AJ97" s="157">
        <v>413482.31</v>
      </c>
      <c r="AK97" s="398">
        <f t="shared" si="51"/>
        <v>9043.7950568678916</v>
      </c>
      <c r="AL97" s="398">
        <f t="shared" si="52"/>
        <v>9738.4910323709537</v>
      </c>
      <c r="AM97" s="399">
        <f t="shared" si="53"/>
        <v>694.7</v>
      </c>
      <c r="AN97" s="397">
        <v>0</v>
      </c>
      <c r="AO97" s="397">
        <v>0</v>
      </c>
      <c r="AP97" s="46"/>
      <c r="AQ97" s="402">
        <v>0</v>
      </c>
      <c r="AR97" s="274">
        <v>406050.33999999997</v>
      </c>
      <c r="AS97" s="413">
        <v>128168.58</v>
      </c>
      <c r="AX97" s="2"/>
      <c r="BA97" s="342"/>
      <c r="BB97" s="342"/>
      <c r="BC97" s="342"/>
      <c r="BD97" s="386"/>
      <c r="BE97" s="386"/>
      <c r="BF97" s="386"/>
      <c r="BG97" s="386"/>
      <c r="BH97" s="386"/>
      <c r="BI97" s="386"/>
      <c r="BJ97" s="386"/>
      <c r="BK97" s="386"/>
      <c r="BL97" s="386"/>
      <c r="BM97" s="386"/>
      <c r="BN97" s="387"/>
      <c r="BO97" s="265"/>
      <c r="BP97" s="386"/>
      <c r="BQ97" s="388"/>
      <c r="BR97" s="388"/>
      <c r="BS97" s="389"/>
      <c r="BT97" s="389"/>
      <c r="BU97" s="389"/>
      <c r="BV97" s="386"/>
      <c r="BW97" s="389"/>
      <c r="BX97" s="389"/>
      <c r="BY97" s="386"/>
      <c r="BZ97" s="386"/>
      <c r="CA97" s="386"/>
      <c r="CB97" s="386"/>
      <c r="CC97" s="386"/>
      <c r="CD97" s="386"/>
      <c r="CE97" s="386"/>
      <c r="CF97" s="390"/>
      <c r="CG97" s="390"/>
      <c r="CH97" s="391"/>
      <c r="CI97" s="386"/>
      <c r="CJ97" s="386"/>
      <c r="CK97" s="390"/>
      <c r="CL97" s="390"/>
      <c r="CM97" s="391"/>
      <c r="CN97" s="389"/>
      <c r="CO97" s="389"/>
      <c r="CP97" s="135"/>
      <c r="CQ97" s="135"/>
      <c r="CR97" s="135"/>
      <c r="CS97" s="135"/>
      <c r="CT97" s="135"/>
      <c r="CU97" s="135"/>
    </row>
    <row r="98" spans="1:99">
      <c r="A98" s="342" t="s">
        <v>218</v>
      </c>
      <c r="B98" s="342" t="s">
        <v>217</v>
      </c>
      <c r="C98" s="342" t="s">
        <v>921</v>
      </c>
      <c r="D98" s="157">
        <v>0</v>
      </c>
      <c r="E98" s="157">
        <v>18856.21</v>
      </c>
      <c r="F98" s="157">
        <v>18249.7</v>
      </c>
      <c r="G98" s="157">
        <v>1094497.54</v>
      </c>
      <c r="H98" s="157">
        <v>218434.39</v>
      </c>
      <c r="I98" s="157">
        <v>255105.59</v>
      </c>
      <c r="J98" s="157">
        <v>441003.69</v>
      </c>
      <c r="K98" s="157">
        <v>300046.71999999997</v>
      </c>
      <c r="L98" s="157">
        <v>25965.74</v>
      </c>
      <c r="M98" s="157">
        <v>617234.17000000004</v>
      </c>
      <c r="N98" s="264">
        <v>2.8199999999999999E-2</v>
      </c>
      <c r="O98" s="265">
        <v>0.19209999999999999</v>
      </c>
      <c r="P98" s="157">
        <v>0</v>
      </c>
      <c r="Q98" s="396">
        <v>0</v>
      </c>
      <c r="R98" s="396">
        <v>0</v>
      </c>
      <c r="S98" s="397">
        <v>0</v>
      </c>
      <c r="T98" s="397">
        <v>0</v>
      </c>
      <c r="U98" s="397">
        <v>0</v>
      </c>
      <c r="V98" s="157">
        <v>0</v>
      </c>
      <c r="W98" s="397">
        <v>0</v>
      </c>
      <c r="X98" s="397">
        <v>0</v>
      </c>
      <c r="Y98" s="157">
        <v>1014.99</v>
      </c>
      <c r="Z98" s="157">
        <v>491.12</v>
      </c>
      <c r="AA98" s="157">
        <v>1255.3900000000001</v>
      </c>
      <c r="AB98" s="157">
        <v>65837.8</v>
      </c>
      <c r="AC98" s="157">
        <v>776683.59</v>
      </c>
      <c r="AD98" s="157">
        <v>83.95</v>
      </c>
      <c r="AE98" s="157">
        <v>721083.24</v>
      </c>
      <c r="AF98" s="398">
        <f t="shared" si="48"/>
        <v>8589.4370458606318</v>
      </c>
      <c r="AG98" s="398">
        <f t="shared" si="49"/>
        <v>9251.740202501489</v>
      </c>
      <c r="AH98" s="399">
        <f t="shared" si="50"/>
        <v>662.3</v>
      </c>
      <c r="AI98" s="157">
        <v>7.33</v>
      </c>
      <c r="AJ98" s="157">
        <v>61045.87</v>
      </c>
      <c r="AK98" s="398">
        <f t="shared" si="51"/>
        <v>8328.2223738062767</v>
      </c>
      <c r="AL98" s="398">
        <f t="shared" si="52"/>
        <v>8981.9645293315152</v>
      </c>
      <c r="AM98" s="399">
        <f t="shared" si="53"/>
        <v>653.74</v>
      </c>
      <c r="AN98" s="397">
        <v>0</v>
      </c>
      <c r="AO98" s="397">
        <v>0</v>
      </c>
      <c r="AP98" s="46"/>
      <c r="AQ98" s="402">
        <v>95189.52</v>
      </c>
      <c r="AR98" s="274">
        <v>94571.98</v>
      </c>
      <c r="AS98" s="413">
        <v>37857.020000000004</v>
      </c>
      <c r="AX98" s="2"/>
      <c r="BA98" s="342"/>
      <c r="BB98" s="342"/>
      <c r="BC98" s="342"/>
      <c r="BD98" s="386"/>
      <c r="BE98" s="386"/>
      <c r="BF98" s="386"/>
      <c r="BG98" s="386"/>
      <c r="BH98" s="386"/>
      <c r="BI98" s="386"/>
      <c r="BJ98" s="386"/>
      <c r="BK98" s="386"/>
      <c r="BL98" s="386"/>
      <c r="BM98" s="386"/>
      <c r="BN98" s="387"/>
      <c r="BO98" s="265"/>
      <c r="BP98" s="386"/>
      <c r="BQ98" s="388"/>
      <c r="BR98" s="388"/>
      <c r="BS98" s="389"/>
      <c r="BT98" s="389"/>
      <c r="BU98" s="389"/>
      <c r="BV98" s="386"/>
      <c r="BW98" s="389"/>
      <c r="BX98" s="389"/>
      <c r="BY98" s="386"/>
      <c r="BZ98" s="386"/>
      <c r="CA98" s="386"/>
      <c r="CB98" s="386"/>
      <c r="CC98" s="386"/>
      <c r="CD98" s="386"/>
      <c r="CE98" s="386"/>
      <c r="CF98" s="390"/>
      <c r="CG98" s="390"/>
      <c r="CH98" s="391"/>
      <c r="CI98" s="386"/>
      <c r="CJ98" s="386"/>
      <c r="CK98" s="390"/>
      <c r="CL98" s="390"/>
      <c r="CM98" s="391"/>
      <c r="CN98" s="389"/>
      <c r="CO98" s="389"/>
      <c r="CP98" s="135"/>
      <c r="CQ98" s="135"/>
      <c r="CR98" s="135"/>
      <c r="CS98" s="135"/>
      <c r="CT98" s="135"/>
      <c r="CU98" s="135"/>
    </row>
    <row r="99" spans="1:99">
      <c r="A99" s="342" t="s">
        <v>220</v>
      </c>
      <c r="B99" s="342" t="s">
        <v>219</v>
      </c>
      <c r="C99" s="342" t="s">
        <v>922</v>
      </c>
      <c r="D99" s="157">
        <v>0</v>
      </c>
      <c r="E99" s="157">
        <v>352517.47</v>
      </c>
      <c r="F99" s="157">
        <v>223919.19</v>
      </c>
      <c r="G99" s="157">
        <v>10894972.779999999</v>
      </c>
      <c r="H99" s="157">
        <v>2454452.44</v>
      </c>
      <c r="I99" s="157">
        <v>2315487.02</v>
      </c>
      <c r="J99" s="157">
        <v>3645187.74</v>
      </c>
      <c r="K99" s="157">
        <v>1792175.89</v>
      </c>
      <c r="L99" s="157">
        <v>226190.69</v>
      </c>
      <c r="M99" s="157">
        <v>5525998.1200000001</v>
      </c>
      <c r="N99" s="264">
        <v>3.5200000000000002E-2</v>
      </c>
      <c r="O99" s="265">
        <v>0.1565</v>
      </c>
      <c r="P99" s="157">
        <v>0</v>
      </c>
      <c r="Q99" s="396">
        <v>0</v>
      </c>
      <c r="R99" s="396">
        <v>0</v>
      </c>
      <c r="S99" s="397">
        <v>0</v>
      </c>
      <c r="T99" s="397">
        <v>0</v>
      </c>
      <c r="U99" s="397">
        <v>0</v>
      </c>
      <c r="V99" s="157">
        <v>0</v>
      </c>
      <c r="W99" s="397">
        <v>0</v>
      </c>
      <c r="X99" s="397">
        <v>0</v>
      </c>
      <c r="Y99" s="157">
        <v>8192.07</v>
      </c>
      <c r="Z99" s="157">
        <v>87559.71</v>
      </c>
      <c r="AA99" s="157">
        <v>417042.9</v>
      </c>
      <c r="AB99" s="157">
        <v>931963.01</v>
      </c>
      <c r="AC99" s="157">
        <v>5066341.2300000004</v>
      </c>
      <c r="AD99" s="157">
        <v>526.34</v>
      </c>
      <c r="AE99" s="157">
        <v>4710202</v>
      </c>
      <c r="AF99" s="398">
        <f t="shared" si="48"/>
        <v>8948.9721472812253</v>
      </c>
      <c r="AG99" s="398">
        <f t="shared" si="49"/>
        <v>9625.6055591442801</v>
      </c>
      <c r="AH99" s="399">
        <f t="shared" si="50"/>
        <v>676.63</v>
      </c>
      <c r="AI99" s="157">
        <v>99.58</v>
      </c>
      <c r="AJ99" s="157">
        <v>865441.18</v>
      </c>
      <c r="AK99" s="398">
        <f t="shared" si="51"/>
        <v>8690.9136372765624</v>
      </c>
      <c r="AL99" s="398">
        <f t="shared" si="52"/>
        <v>9358.9376380799367</v>
      </c>
      <c r="AM99" s="399">
        <f t="shared" si="53"/>
        <v>668.02</v>
      </c>
      <c r="AN99" s="397">
        <v>0</v>
      </c>
      <c r="AO99" s="397">
        <v>0</v>
      </c>
      <c r="AP99" s="46"/>
      <c r="AQ99" s="402">
        <v>379844.96000000008</v>
      </c>
      <c r="AR99" s="274">
        <v>826494.56</v>
      </c>
      <c r="AS99" s="413">
        <v>242969.90000000002</v>
      </c>
      <c r="AX99" s="2"/>
      <c r="BA99" s="342"/>
      <c r="BB99" s="342"/>
      <c r="BC99" s="342"/>
      <c r="BD99" s="386"/>
      <c r="BE99" s="386"/>
      <c r="BF99" s="386"/>
      <c r="BG99" s="386"/>
      <c r="BH99" s="386"/>
      <c r="BI99" s="386"/>
      <c r="BJ99" s="386"/>
      <c r="BK99" s="386"/>
      <c r="BL99" s="386"/>
      <c r="BM99" s="386"/>
      <c r="BN99" s="387"/>
      <c r="BO99" s="265"/>
      <c r="BP99" s="386"/>
      <c r="BQ99" s="388"/>
      <c r="BR99" s="388"/>
      <c r="BS99" s="389"/>
      <c r="BT99" s="389"/>
      <c r="BU99" s="389"/>
      <c r="BV99" s="386"/>
      <c r="BW99" s="389"/>
      <c r="BX99" s="389"/>
      <c r="BY99" s="386"/>
      <c r="BZ99" s="386"/>
      <c r="CA99" s="386"/>
      <c r="CB99" s="386"/>
      <c r="CC99" s="386"/>
      <c r="CD99" s="386"/>
      <c r="CE99" s="386"/>
      <c r="CF99" s="390"/>
      <c r="CG99" s="390"/>
      <c r="CH99" s="391"/>
      <c r="CI99" s="386"/>
      <c r="CJ99" s="386"/>
      <c r="CK99" s="390"/>
      <c r="CL99" s="390"/>
      <c r="CM99" s="391"/>
      <c r="CN99" s="389"/>
      <c r="CO99" s="389"/>
      <c r="CP99" s="135"/>
      <c r="CQ99" s="135"/>
      <c r="CR99" s="135"/>
      <c r="CS99" s="135"/>
      <c r="CT99" s="135"/>
      <c r="CU99" s="135"/>
    </row>
    <row r="100" spans="1:99">
      <c r="A100" s="342" t="s">
        <v>222</v>
      </c>
      <c r="B100" s="342" t="s">
        <v>221</v>
      </c>
      <c r="C100" s="342" t="s">
        <v>923</v>
      </c>
      <c r="D100" s="157">
        <v>0</v>
      </c>
      <c r="E100" s="157">
        <v>0</v>
      </c>
      <c r="F100" s="157">
        <v>0</v>
      </c>
      <c r="G100" s="157">
        <v>1139388.6000000001</v>
      </c>
      <c r="H100" s="157">
        <v>180509.86</v>
      </c>
      <c r="I100" s="157">
        <v>0</v>
      </c>
      <c r="J100" s="157">
        <v>131585.93</v>
      </c>
      <c r="K100" s="157">
        <v>0</v>
      </c>
      <c r="L100" s="157">
        <v>27195.14</v>
      </c>
      <c r="M100" s="157">
        <v>826164.12</v>
      </c>
      <c r="N100" s="264">
        <v>3.1099999999999999E-2</v>
      </c>
      <c r="O100" s="265">
        <v>0.19550000000000001</v>
      </c>
      <c r="P100" s="157">
        <v>0</v>
      </c>
      <c r="Q100" s="396">
        <v>0</v>
      </c>
      <c r="R100" s="396">
        <v>0</v>
      </c>
      <c r="S100" s="397">
        <v>0</v>
      </c>
      <c r="T100" s="397">
        <v>0</v>
      </c>
      <c r="U100" s="397">
        <v>0</v>
      </c>
      <c r="V100" s="157">
        <v>0</v>
      </c>
      <c r="W100" s="397">
        <v>0</v>
      </c>
      <c r="X100" s="397">
        <v>0</v>
      </c>
      <c r="Y100" s="157">
        <v>983.41</v>
      </c>
      <c r="Z100" s="157">
        <v>0</v>
      </c>
      <c r="AA100" s="157">
        <v>60926.13</v>
      </c>
      <c r="AB100" s="157">
        <v>271567.09999999998</v>
      </c>
      <c r="AC100" s="157">
        <v>871575.7</v>
      </c>
      <c r="AD100" s="157">
        <v>94.2</v>
      </c>
      <c r="AE100" s="157">
        <v>825415.54</v>
      </c>
      <c r="AF100" s="398">
        <f t="shared" si="48"/>
        <v>8762.3730360934187</v>
      </c>
      <c r="AG100" s="398">
        <f t="shared" si="49"/>
        <v>9252.3959660297223</v>
      </c>
      <c r="AH100" s="399">
        <f t="shared" si="50"/>
        <v>490.02</v>
      </c>
      <c r="AI100" s="157">
        <v>29.63</v>
      </c>
      <c r="AJ100" s="157">
        <v>252003.07</v>
      </c>
      <c r="AK100" s="398">
        <f t="shared" si="51"/>
        <v>8504.9973000337504</v>
      </c>
      <c r="AL100" s="398">
        <f t="shared" si="52"/>
        <v>9165.2750590617616</v>
      </c>
      <c r="AM100" s="399">
        <f t="shared" si="53"/>
        <v>660.28</v>
      </c>
      <c r="AN100" s="397">
        <v>0</v>
      </c>
      <c r="AO100" s="397">
        <v>0</v>
      </c>
      <c r="AP100" s="46"/>
      <c r="AQ100" s="402">
        <v>0</v>
      </c>
      <c r="AR100" s="274">
        <v>87400.49</v>
      </c>
      <c r="AS100" s="413">
        <v>37215.800000000003</v>
      </c>
      <c r="AX100" s="2"/>
      <c r="BA100" s="342"/>
      <c r="BB100" s="342"/>
      <c r="BC100" s="342"/>
      <c r="BD100" s="386"/>
      <c r="BE100" s="386"/>
      <c r="BF100" s="386"/>
      <c r="BG100" s="386"/>
      <c r="BH100" s="386"/>
      <c r="BI100" s="386"/>
      <c r="BJ100" s="386"/>
      <c r="BK100" s="386"/>
      <c r="BL100" s="386"/>
      <c r="BM100" s="386"/>
      <c r="BN100" s="387"/>
      <c r="BO100" s="265"/>
      <c r="BP100" s="386"/>
      <c r="BQ100" s="388"/>
      <c r="BR100" s="388"/>
      <c r="BS100" s="389"/>
      <c r="BT100" s="389"/>
      <c r="BU100" s="389"/>
      <c r="BV100" s="386"/>
      <c r="BW100" s="389"/>
      <c r="BX100" s="389"/>
      <c r="BY100" s="386"/>
      <c r="BZ100" s="386"/>
      <c r="CA100" s="386"/>
      <c r="CB100" s="386"/>
      <c r="CC100" s="386"/>
      <c r="CD100" s="386"/>
      <c r="CE100" s="386"/>
      <c r="CF100" s="390"/>
      <c r="CG100" s="390"/>
      <c r="CH100" s="391"/>
      <c r="CI100" s="386"/>
      <c r="CJ100" s="386"/>
      <c r="CK100" s="390"/>
      <c r="CL100" s="390"/>
      <c r="CM100" s="391"/>
      <c r="CN100" s="389"/>
      <c r="CO100" s="389"/>
      <c r="CP100" s="135"/>
      <c r="CQ100" s="135"/>
      <c r="CR100" s="135"/>
      <c r="CS100" s="135"/>
      <c r="CT100" s="135"/>
      <c r="CU100" s="135"/>
    </row>
    <row r="101" spans="1:99">
      <c r="A101" s="342" t="s">
        <v>224</v>
      </c>
      <c r="B101" s="342" t="s">
        <v>223</v>
      </c>
      <c r="C101" s="342" t="s">
        <v>924</v>
      </c>
      <c r="D101" s="157">
        <v>0</v>
      </c>
      <c r="E101" s="157">
        <v>0</v>
      </c>
      <c r="F101" s="157">
        <v>0</v>
      </c>
      <c r="G101" s="157">
        <v>139058.16</v>
      </c>
      <c r="H101" s="157">
        <v>14805.5</v>
      </c>
      <c r="I101" s="157">
        <v>15103.58</v>
      </c>
      <c r="J101" s="157">
        <v>36621.01</v>
      </c>
      <c r="K101" s="157">
        <v>0</v>
      </c>
      <c r="L101" s="157">
        <v>0</v>
      </c>
      <c r="M101" s="157">
        <v>373670.05</v>
      </c>
      <c r="N101" s="264">
        <v>6.0100000000000001E-2</v>
      </c>
      <c r="O101" s="265">
        <v>0.2651</v>
      </c>
      <c r="P101" s="157">
        <v>0</v>
      </c>
      <c r="Q101" s="396">
        <v>0</v>
      </c>
      <c r="R101" s="396">
        <v>0</v>
      </c>
      <c r="S101" s="397">
        <v>0</v>
      </c>
      <c r="T101" s="397">
        <v>0</v>
      </c>
      <c r="U101" s="397">
        <v>0</v>
      </c>
      <c r="V101" s="157">
        <v>0</v>
      </c>
      <c r="W101" s="397">
        <v>0</v>
      </c>
      <c r="X101" s="397">
        <v>0</v>
      </c>
      <c r="Y101" s="157">
        <v>0</v>
      </c>
      <c r="Z101" s="157">
        <v>0</v>
      </c>
      <c r="AA101" s="157">
        <v>0</v>
      </c>
      <c r="AB101" s="157">
        <v>0</v>
      </c>
      <c r="AC101" s="157">
        <v>66651.490000000005</v>
      </c>
      <c r="AD101" s="157">
        <v>7.08</v>
      </c>
      <c r="AE101" s="157">
        <v>60836.12</v>
      </c>
      <c r="AF101" s="398">
        <f t="shared" si="48"/>
        <v>8592.6723163841816</v>
      </c>
      <c r="AG101" s="398">
        <f t="shared" si="49"/>
        <v>9414.0522598870066</v>
      </c>
      <c r="AH101" s="399">
        <f t="shared" si="50"/>
        <v>821.38</v>
      </c>
      <c r="AI101" s="157">
        <v>0</v>
      </c>
      <c r="AJ101" s="157">
        <v>0</v>
      </c>
      <c r="AK101" s="398">
        <f t="shared" si="51"/>
        <v>0</v>
      </c>
      <c r="AL101" s="398">
        <f t="shared" si="52"/>
        <v>0</v>
      </c>
      <c r="AM101" s="399">
        <f t="shared" si="53"/>
        <v>0</v>
      </c>
      <c r="AN101" s="397">
        <v>0</v>
      </c>
      <c r="AO101" s="397">
        <v>0</v>
      </c>
      <c r="AP101" s="46"/>
      <c r="AQ101" s="402">
        <v>28344.02</v>
      </c>
      <c r="AR101" s="274">
        <v>22631.77</v>
      </c>
      <c r="AS101" s="413">
        <v>13533.77</v>
      </c>
      <c r="AX101" s="2"/>
      <c r="BA101" s="342"/>
      <c r="BB101" s="342"/>
      <c r="BC101" s="342"/>
      <c r="BD101" s="386"/>
      <c r="BE101" s="386"/>
      <c r="BF101" s="386"/>
      <c r="BG101" s="386"/>
      <c r="BH101" s="386"/>
      <c r="BI101" s="386"/>
      <c r="BJ101" s="386"/>
      <c r="BK101" s="386"/>
      <c r="BL101" s="386"/>
      <c r="BM101" s="386"/>
      <c r="BN101" s="387"/>
      <c r="BO101" s="265"/>
      <c r="BP101" s="386"/>
      <c r="BQ101" s="388"/>
      <c r="BR101" s="388"/>
      <c r="BS101" s="389"/>
      <c r="BT101" s="389"/>
      <c r="BU101" s="389"/>
      <c r="BV101" s="386"/>
      <c r="BW101" s="389"/>
      <c r="BX101" s="389"/>
      <c r="BY101" s="386"/>
      <c r="BZ101" s="386"/>
      <c r="CA101" s="386"/>
      <c r="CB101" s="386"/>
      <c r="CC101" s="386"/>
      <c r="CD101" s="386"/>
      <c r="CE101" s="386"/>
      <c r="CF101" s="390"/>
      <c r="CG101" s="390"/>
      <c r="CH101" s="391"/>
      <c r="CI101" s="386"/>
      <c r="CJ101" s="386"/>
      <c r="CK101" s="390"/>
      <c r="CL101" s="390"/>
      <c r="CM101" s="391"/>
      <c r="CN101" s="389"/>
      <c r="CO101" s="389"/>
      <c r="CP101" s="135"/>
      <c r="CQ101" s="135"/>
      <c r="CR101" s="135"/>
      <c r="CS101" s="135"/>
      <c r="CT101" s="135"/>
      <c r="CU101" s="135"/>
    </row>
    <row r="102" spans="1:99">
      <c r="A102" s="342" t="s">
        <v>226</v>
      </c>
      <c r="B102" s="342" t="s">
        <v>225</v>
      </c>
      <c r="C102" s="342" t="s">
        <v>925</v>
      </c>
      <c r="D102" s="157">
        <v>0</v>
      </c>
      <c r="E102" s="157">
        <v>0</v>
      </c>
      <c r="F102" s="157">
        <v>0</v>
      </c>
      <c r="G102" s="157">
        <v>0</v>
      </c>
      <c r="H102" s="157">
        <v>0</v>
      </c>
      <c r="I102" s="157">
        <v>4710.97</v>
      </c>
      <c r="J102" s="157">
        <v>19700.419999999998</v>
      </c>
      <c r="K102" s="157">
        <v>0</v>
      </c>
      <c r="L102" s="157">
        <v>0</v>
      </c>
      <c r="M102" s="157">
        <v>83172.460000000006</v>
      </c>
      <c r="N102" s="264">
        <v>5.3499999999999999E-2</v>
      </c>
      <c r="O102" s="265">
        <v>0.27979999999999999</v>
      </c>
      <c r="P102" s="157">
        <v>0</v>
      </c>
      <c r="Q102" s="396">
        <v>0</v>
      </c>
      <c r="R102" s="396">
        <v>0</v>
      </c>
      <c r="S102" s="397">
        <v>0</v>
      </c>
      <c r="T102" s="397">
        <v>0</v>
      </c>
      <c r="U102" s="397">
        <v>0</v>
      </c>
      <c r="V102" s="157">
        <v>0</v>
      </c>
      <c r="W102" s="397">
        <v>0</v>
      </c>
      <c r="X102" s="397">
        <v>0</v>
      </c>
      <c r="Y102" s="157">
        <v>0</v>
      </c>
      <c r="Z102" s="157">
        <v>0</v>
      </c>
      <c r="AA102" s="157">
        <v>0</v>
      </c>
      <c r="AB102" s="157">
        <v>0</v>
      </c>
      <c r="AC102" s="157">
        <v>3921.41</v>
      </c>
      <c r="AD102" s="157">
        <v>0</v>
      </c>
      <c r="AE102" s="157">
        <v>0</v>
      </c>
      <c r="AF102" s="398">
        <f t="shared" si="48"/>
        <v>0</v>
      </c>
      <c r="AG102" s="398">
        <f t="shared" si="49"/>
        <v>0</v>
      </c>
      <c r="AH102" s="399">
        <f t="shared" si="50"/>
        <v>0</v>
      </c>
      <c r="AI102" s="157">
        <v>0</v>
      </c>
      <c r="AJ102" s="157">
        <v>0</v>
      </c>
      <c r="AK102" s="398">
        <f t="shared" si="51"/>
        <v>0</v>
      </c>
      <c r="AL102" s="398">
        <f t="shared" si="52"/>
        <v>0</v>
      </c>
      <c r="AM102" s="399">
        <f t="shared" si="53"/>
        <v>0</v>
      </c>
      <c r="AN102" s="397">
        <v>0</v>
      </c>
      <c r="AO102" s="397">
        <v>0</v>
      </c>
      <c r="AP102" s="46"/>
      <c r="AQ102" s="402">
        <v>39674.559999999998</v>
      </c>
      <c r="AR102" s="274">
        <v>19925.75</v>
      </c>
      <c r="AS102" s="413">
        <v>11820.970000000001</v>
      </c>
      <c r="AX102" s="2"/>
      <c r="BA102" s="342"/>
      <c r="BB102" s="342"/>
      <c r="BC102" s="342"/>
      <c r="BD102" s="386"/>
      <c r="BE102" s="386"/>
      <c r="BF102" s="386"/>
      <c r="BG102" s="386"/>
      <c r="BH102" s="386"/>
      <c r="BI102" s="386"/>
      <c r="BJ102" s="386"/>
      <c r="BK102" s="386"/>
      <c r="BL102" s="386"/>
      <c r="BM102" s="386"/>
      <c r="BN102" s="387"/>
      <c r="BO102" s="265"/>
      <c r="BP102" s="386"/>
      <c r="BQ102" s="388"/>
      <c r="BR102" s="388"/>
      <c r="BS102" s="389"/>
      <c r="BT102" s="389"/>
      <c r="BU102" s="389"/>
      <c r="BV102" s="386"/>
      <c r="BW102" s="389"/>
      <c r="BX102" s="389"/>
      <c r="BY102" s="386"/>
      <c r="BZ102" s="386"/>
      <c r="CA102" s="386"/>
      <c r="CB102" s="386"/>
      <c r="CC102" s="386"/>
      <c r="CD102" s="386"/>
      <c r="CE102" s="386"/>
      <c r="CF102" s="390"/>
      <c r="CG102" s="390"/>
      <c r="CH102" s="391"/>
      <c r="CI102" s="386"/>
      <c r="CJ102" s="386"/>
      <c r="CK102" s="390"/>
      <c r="CL102" s="390"/>
      <c r="CM102" s="391"/>
      <c r="CN102" s="389"/>
      <c r="CO102" s="389"/>
      <c r="CP102" s="135"/>
      <c r="CQ102" s="135"/>
      <c r="CR102" s="135"/>
      <c r="CS102" s="135"/>
      <c r="CT102" s="135"/>
      <c r="CU102" s="135"/>
    </row>
    <row r="103" spans="1:99">
      <c r="A103" s="342" t="s">
        <v>228</v>
      </c>
      <c r="B103" s="342" t="s">
        <v>227</v>
      </c>
      <c r="C103" s="342" t="s">
        <v>926</v>
      </c>
      <c r="D103" s="157">
        <v>0</v>
      </c>
      <c r="E103" s="157">
        <v>0</v>
      </c>
      <c r="F103" s="157">
        <v>0</v>
      </c>
      <c r="G103" s="157">
        <v>0</v>
      </c>
      <c r="H103" s="157">
        <v>0</v>
      </c>
      <c r="I103" s="157">
        <v>163242.75</v>
      </c>
      <c r="J103" s="157">
        <v>704074.87</v>
      </c>
      <c r="K103" s="157">
        <v>178850.58</v>
      </c>
      <c r="L103" s="157">
        <v>86793.82</v>
      </c>
      <c r="M103" s="157">
        <v>613280.27</v>
      </c>
      <c r="N103" s="264">
        <v>6.6299999999999998E-2</v>
      </c>
      <c r="O103" s="265">
        <v>9.0700000000000003E-2</v>
      </c>
      <c r="P103" s="157">
        <v>0</v>
      </c>
      <c r="Q103" s="396">
        <v>0</v>
      </c>
      <c r="R103" s="396">
        <v>0</v>
      </c>
      <c r="S103" s="397">
        <v>0</v>
      </c>
      <c r="T103" s="397">
        <v>0</v>
      </c>
      <c r="U103" s="397">
        <v>0</v>
      </c>
      <c r="V103" s="157">
        <v>0</v>
      </c>
      <c r="W103" s="397">
        <v>0</v>
      </c>
      <c r="X103" s="397">
        <v>0</v>
      </c>
      <c r="Y103" s="157">
        <v>0</v>
      </c>
      <c r="Z103" s="157">
        <v>7112.89</v>
      </c>
      <c r="AA103" s="157">
        <v>41170.31</v>
      </c>
      <c r="AB103" s="157">
        <v>199490.56</v>
      </c>
      <c r="AC103" s="157">
        <v>688046.92</v>
      </c>
      <c r="AD103" s="157">
        <v>75.59</v>
      </c>
      <c r="AE103" s="157">
        <v>649332.05000000005</v>
      </c>
      <c r="AF103" s="398">
        <f t="shared" si="48"/>
        <v>8590.1845482206645</v>
      </c>
      <c r="AG103" s="398">
        <f t="shared" si="49"/>
        <v>9102.3537504960968</v>
      </c>
      <c r="AH103" s="399">
        <f t="shared" si="50"/>
        <v>512.16999999999996</v>
      </c>
      <c r="AI103" s="157">
        <v>22.23</v>
      </c>
      <c r="AJ103" s="157">
        <v>185244.53</v>
      </c>
      <c r="AK103" s="398">
        <f t="shared" si="51"/>
        <v>8333.0872694556911</v>
      </c>
      <c r="AL103" s="398">
        <f t="shared" si="52"/>
        <v>8973.9343229869537</v>
      </c>
      <c r="AM103" s="399">
        <f t="shared" si="53"/>
        <v>640.85</v>
      </c>
      <c r="AN103" s="397">
        <v>0</v>
      </c>
      <c r="AO103" s="397">
        <v>0</v>
      </c>
      <c r="AP103" s="46"/>
      <c r="AQ103" s="402">
        <v>34455.31</v>
      </c>
      <c r="AR103" s="274">
        <v>86808.87999999999</v>
      </c>
      <c r="AS103" s="413">
        <v>36296.339999999997</v>
      </c>
      <c r="AX103" s="2"/>
      <c r="BA103" s="342"/>
      <c r="BB103" s="342"/>
      <c r="BC103" s="342"/>
      <c r="BD103" s="386"/>
      <c r="BE103" s="386"/>
      <c r="BF103" s="386"/>
      <c r="BG103" s="386"/>
      <c r="BH103" s="386"/>
      <c r="BI103" s="386"/>
      <c r="BJ103" s="386"/>
      <c r="BK103" s="386"/>
      <c r="BL103" s="386"/>
      <c r="BM103" s="386"/>
      <c r="BN103" s="387"/>
      <c r="BO103" s="265"/>
      <c r="BP103" s="386"/>
      <c r="BQ103" s="388"/>
      <c r="BR103" s="388"/>
      <c r="BS103" s="389"/>
      <c r="BT103" s="389"/>
      <c r="BU103" s="389"/>
      <c r="BV103" s="386"/>
      <c r="BW103" s="389"/>
      <c r="BX103" s="389"/>
      <c r="BY103" s="386"/>
      <c r="BZ103" s="386"/>
      <c r="CA103" s="386"/>
      <c r="CB103" s="386"/>
      <c r="CC103" s="386"/>
      <c r="CD103" s="386"/>
      <c r="CE103" s="386"/>
      <c r="CF103" s="390"/>
      <c r="CG103" s="390"/>
      <c r="CH103" s="391"/>
      <c r="CI103" s="386"/>
      <c r="CJ103" s="386"/>
      <c r="CK103" s="390"/>
      <c r="CL103" s="390"/>
      <c r="CM103" s="391"/>
      <c r="CN103" s="389"/>
      <c r="CO103" s="389"/>
      <c r="CP103" s="135"/>
      <c r="CQ103" s="135"/>
      <c r="CR103" s="135"/>
      <c r="CS103" s="135"/>
      <c r="CT103" s="135"/>
      <c r="CU103" s="135"/>
    </row>
    <row r="104" spans="1:99">
      <c r="A104" s="342" t="s">
        <v>230</v>
      </c>
      <c r="B104" s="342" t="s">
        <v>229</v>
      </c>
      <c r="C104" s="342" t="s">
        <v>927</v>
      </c>
      <c r="D104" s="157">
        <v>0</v>
      </c>
      <c r="E104" s="157">
        <v>0</v>
      </c>
      <c r="F104" s="157">
        <v>15393.6</v>
      </c>
      <c r="G104" s="157">
        <v>955768.89</v>
      </c>
      <c r="H104" s="157">
        <v>147974.15</v>
      </c>
      <c r="I104" s="157">
        <v>217760.45</v>
      </c>
      <c r="J104" s="157">
        <v>348933.96</v>
      </c>
      <c r="K104" s="157">
        <v>0</v>
      </c>
      <c r="L104" s="157">
        <v>21724.33</v>
      </c>
      <c r="M104" s="157">
        <v>569285.42000000004</v>
      </c>
      <c r="N104" s="264">
        <v>6.2600000000000003E-2</v>
      </c>
      <c r="O104" s="265">
        <v>0.21970000000000001</v>
      </c>
      <c r="P104" s="157">
        <v>0</v>
      </c>
      <c r="Q104" s="396">
        <v>0</v>
      </c>
      <c r="R104" s="396">
        <v>0</v>
      </c>
      <c r="S104" s="397">
        <v>0</v>
      </c>
      <c r="T104" s="397">
        <v>0</v>
      </c>
      <c r="U104" s="397">
        <v>0</v>
      </c>
      <c r="V104" s="157">
        <v>0</v>
      </c>
      <c r="W104" s="397">
        <v>0</v>
      </c>
      <c r="X104" s="397">
        <v>0</v>
      </c>
      <c r="Y104" s="157">
        <v>0</v>
      </c>
      <c r="Z104" s="157">
        <v>0</v>
      </c>
      <c r="AA104" s="157">
        <v>0</v>
      </c>
      <c r="AB104" s="157">
        <v>107078.55</v>
      </c>
      <c r="AC104" s="157">
        <v>316991.27</v>
      </c>
      <c r="AD104" s="157">
        <v>34.78</v>
      </c>
      <c r="AE104" s="157">
        <v>298698.18</v>
      </c>
      <c r="AF104" s="398">
        <f t="shared" si="48"/>
        <v>8588.2167912593432</v>
      </c>
      <c r="AG104" s="398">
        <f t="shared" si="49"/>
        <v>9114.1825761932141</v>
      </c>
      <c r="AH104" s="399">
        <f t="shared" si="50"/>
        <v>525.97</v>
      </c>
      <c r="AI104" s="157">
        <v>11.92</v>
      </c>
      <c r="AJ104" s="157">
        <v>99278.6</v>
      </c>
      <c r="AK104" s="398">
        <f t="shared" si="51"/>
        <v>8328.741610738256</v>
      </c>
      <c r="AL104" s="398">
        <f t="shared" si="52"/>
        <v>8983.0998322147661</v>
      </c>
      <c r="AM104" s="399">
        <f t="shared" si="53"/>
        <v>654.36</v>
      </c>
      <c r="AN104" s="397">
        <v>57.38</v>
      </c>
      <c r="AO104" s="397">
        <v>0</v>
      </c>
      <c r="AP104" s="46"/>
      <c r="AQ104" s="402">
        <v>16163.599999999999</v>
      </c>
      <c r="AR104" s="274">
        <v>74123.59</v>
      </c>
      <c r="AS104" s="413">
        <v>32516.9</v>
      </c>
      <c r="AX104" s="2"/>
      <c r="BA104" s="342"/>
      <c r="BB104" s="342"/>
      <c r="BC104" s="342"/>
      <c r="BD104" s="386"/>
      <c r="BE104" s="386"/>
      <c r="BF104" s="386"/>
      <c r="BG104" s="386"/>
      <c r="BH104" s="386"/>
      <c r="BI104" s="386"/>
      <c r="BJ104" s="386"/>
      <c r="BK104" s="386"/>
      <c r="BL104" s="386"/>
      <c r="BM104" s="386"/>
      <c r="BN104" s="387"/>
      <c r="BO104" s="265"/>
      <c r="BP104" s="386"/>
      <c r="BQ104" s="388"/>
      <c r="BR104" s="388"/>
      <c r="BS104" s="389"/>
      <c r="BT104" s="389"/>
      <c r="BU104" s="389"/>
      <c r="BV104" s="386"/>
      <c r="BW104" s="389"/>
      <c r="BX104" s="389"/>
      <c r="BY104" s="386"/>
      <c r="BZ104" s="386"/>
      <c r="CA104" s="386"/>
      <c r="CB104" s="386"/>
      <c r="CC104" s="386"/>
      <c r="CD104" s="386"/>
      <c r="CE104" s="386"/>
      <c r="CF104" s="390"/>
      <c r="CG104" s="390"/>
      <c r="CH104" s="391"/>
      <c r="CI104" s="386"/>
      <c r="CJ104" s="386"/>
      <c r="CK104" s="390"/>
      <c r="CL104" s="390"/>
      <c r="CM104" s="391"/>
      <c r="CN104" s="389"/>
      <c r="CO104" s="389"/>
      <c r="CP104" s="135"/>
      <c r="CQ104" s="135"/>
      <c r="CR104" s="135"/>
      <c r="CS104" s="135"/>
      <c r="CT104" s="135"/>
      <c r="CU104" s="135"/>
    </row>
    <row r="105" spans="1:99">
      <c r="A105" s="342" t="s">
        <v>232</v>
      </c>
      <c r="B105" s="342" t="s">
        <v>231</v>
      </c>
      <c r="C105" s="342" t="s">
        <v>928</v>
      </c>
      <c r="D105" s="157">
        <v>0</v>
      </c>
      <c r="E105" s="157">
        <v>0</v>
      </c>
      <c r="F105" s="157">
        <v>0</v>
      </c>
      <c r="G105" s="157">
        <v>4741342.88</v>
      </c>
      <c r="H105" s="157">
        <v>1392302.28</v>
      </c>
      <c r="I105" s="157">
        <v>1056008.8400000001</v>
      </c>
      <c r="J105" s="157">
        <v>1954361.22</v>
      </c>
      <c r="K105" s="157">
        <v>1747904.03</v>
      </c>
      <c r="L105" s="157">
        <v>103552.6</v>
      </c>
      <c r="M105" s="157">
        <v>1406258.47</v>
      </c>
      <c r="N105" s="264">
        <v>6.5299999999999997E-2</v>
      </c>
      <c r="O105" s="265">
        <v>0.17499999999999999</v>
      </c>
      <c r="P105" s="157">
        <v>0</v>
      </c>
      <c r="Q105" s="396">
        <v>0</v>
      </c>
      <c r="R105" s="396">
        <v>0</v>
      </c>
      <c r="S105" s="397">
        <v>0</v>
      </c>
      <c r="T105" s="397">
        <v>0</v>
      </c>
      <c r="U105" s="397">
        <v>0</v>
      </c>
      <c r="V105" s="157">
        <v>0</v>
      </c>
      <c r="W105" s="397">
        <v>0</v>
      </c>
      <c r="X105" s="397">
        <v>0</v>
      </c>
      <c r="Y105" s="157">
        <v>0</v>
      </c>
      <c r="Z105" s="157">
        <v>37289.410000000003</v>
      </c>
      <c r="AA105" s="157">
        <v>229121.31</v>
      </c>
      <c r="AB105" s="157">
        <v>403667.68</v>
      </c>
      <c r="AC105" s="157">
        <v>2574884.0299999998</v>
      </c>
      <c r="AD105" s="157">
        <v>280.18</v>
      </c>
      <c r="AE105" s="157">
        <v>2406759.7599999998</v>
      </c>
      <c r="AF105" s="398">
        <f t="shared" si="48"/>
        <v>8590.0483974587751</v>
      </c>
      <c r="AG105" s="398">
        <f t="shared" si="49"/>
        <v>9190.1064672710399</v>
      </c>
      <c r="AH105" s="399">
        <f t="shared" si="50"/>
        <v>600.05999999999995</v>
      </c>
      <c r="AI105" s="157">
        <v>44.98</v>
      </c>
      <c r="AJ105" s="157">
        <v>374780.33</v>
      </c>
      <c r="AK105" s="398">
        <f t="shared" si="51"/>
        <v>8332.1549577590049</v>
      </c>
      <c r="AL105" s="398">
        <f t="shared" si="52"/>
        <v>8974.3815028901736</v>
      </c>
      <c r="AM105" s="399">
        <f t="shared" si="53"/>
        <v>642.23</v>
      </c>
      <c r="AN105" s="397">
        <v>561.25</v>
      </c>
      <c r="AO105" s="397">
        <v>0</v>
      </c>
      <c r="AP105" s="46"/>
      <c r="AQ105" s="402">
        <v>5.8207660913467407E-11</v>
      </c>
      <c r="AR105" s="274">
        <v>394864.37</v>
      </c>
      <c r="AS105" s="413">
        <v>119330.22</v>
      </c>
      <c r="AX105" s="2"/>
      <c r="BA105" s="342"/>
      <c r="BB105" s="342"/>
      <c r="BC105" s="342"/>
      <c r="BD105" s="386"/>
      <c r="BE105" s="386"/>
      <c r="BF105" s="386"/>
      <c r="BG105" s="386"/>
      <c r="BH105" s="386"/>
      <c r="BI105" s="386"/>
      <c r="BJ105" s="386"/>
      <c r="BK105" s="386"/>
      <c r="BL105" s="386"/>
      <c r="BM105" s="386"/>
      <c r="BN105" s="387"/>
      <c r="BO105" s="265"/>
      <c r="BP105" s="386"/>
      <c r="BQ105" s="388"/>
      <c r="BR105" s="388"/>
      <c r="BS105" s="389"/>
      <c r="BT105" s="389"/>
      <c r="BU105" s="389"/>
      <c r="BV105" s="386"/>
      <c r="BW105" s="389"/>
      <c r="BX105" s="389"/>
      <c r="BY105" s="386"/>
      <c r="BZ105" s="386"/>
      <c r="CA105" s="386"/>
      <c r="CB105" s="386"/>
      <c r="CC105" s="386"/>
      <c r="CD105" s="386"/>
      <c r="CE105" s="386"/>
      <c r="CF105" s="390"/>
      <c r="CG105" s="390"/>
      <c r="CH105" s="391"/>
      <c r="CI105" s="386"/>
      <c r="CJ105" s="386"/>
      <c r="CK105" s="390"/>
      <c r="CL105" s="390"/>
      <c r="CM105" s="391"/>
      <c r="CN105" s="389"/>
      <c r="CO105" s="389"/>
      <c r="CP105" s="135"/>
      <c r="CQ105" s="135"/>
      <c r="CR105" s="135"/>
      <c r="CS105" s="135"/>
      <c r="CT105" s="135"/>
      <c r="CU105" s="135"/>
    </row>
    <row r="106" spans="1:99">
      <c r="A106" s="342" t="s">
        <v>234</v>
      </c>
      <c r="B106" s="342" t="s">
        <v>233</v>
      </c>
      <c r="C106" s="342" t="s">
        <v>929</v>
      </c>
      <c r="D106" s="157">
        <v>165812.44</v>
      </c>
      <c r="E106" s="157">
        <v>0</v>
      </c>
      <c r="F106" s="157">
        <v>0</v>
      </c>
      <c r="G106" s="157">
        <v>2010474.74</v>
      </c>
      <c r="H106" s="157">
        <v>441926.08</v>
      </c>
      <c r="I106" s="157">
        <v>440176.1</v>
      </c>
      <c r="J106" s="157">
        <v>872593.51</v>
      </c>
      <c r="K106" s="157">
        <v>1140806.82</v>
      </c>
      <c r="L106" s="157">
        <v>41586.57</v>
      </c>
      <c r="M106" s="157">
        <v>617944.21</v>
      </c>
      <c r="N106" s="264">
        <v>3.2199999999999999E-2</v>
      </c>
      <c r="O106" s="265">
        <v>0.15790000000000001</v>
      </c>
      <c r="P106" s="157">
        <v>0</v>
      </c>
      <c r="Q106" s="396">
        <v>0</v>
      </c>
      <c r="R106" s="396">
        <v>0</v>
      </c>
      <c r="S106" s="397">
        <v>0</v>
      </c>
      <c r="T106" s="397">
        <v>0</v>
      </c>
      <c r="U106" s="397">
        <v>0</v>
      </c>
      <c r="V106" s="157">
        <v>0</v>
      </c>
      <c r="W106" s="397">
        <v>0</v>
      </c>
      <c r="X106" s="397">
        <v>0</v>
      </c>
      <c r="Y106" s="157">
        <v>1669.09</v>
      </c>
      <c r="Z106" s="157">
        <v>0</v>
      </c>
      <c r="AA106" s="157">
        <v>0</v>
      </c>
      <c r="AB106" s="157">
        <v>206069.67</v>
      </c>
      <c r="AC106" s="157">
        <v>1307498.92</v>
      </c>
      <c r="AD106" s="157">
        <v>144.47999999999999</v>
      </c>
      <c r="AE106" s="157">
        <v>1241286.22</v>
      </c>
      <c r="AF106" s="398">
        <f t="shared" si="48"/>
        <v>8591.4051771871545</v>
      </c>
      <c r="AG106" s="398">
        <f t="shared" si="49"/>
        <v>9049.687984496124</v>
      </c>
      <c r="AH106" s="399">
        <f t="shared" si="50"/>
        <v>458.28</v>
      </c>
      <c r="AI106" s="157">
        <v>22.95</v>
      </c>
      <c r="AJ106" s="157">
        <v>191231.24</v>
      </c>
      <c r="AK106" s="398">
        <f t="shared" si="51"/>
        <v>8332.5159041394327</v>
      </c>
      <c r="AL106" s="398">
        <f t="shared" si="52"/>
        <v>8979.0705882352941</v>
      </c>
      <c r="AM106" s="399">
        <f t="shared" si="53"/>
        <v>646.54999999999995</v>
      </c>
      <c r="AN106" s="397">
        <v>8.4499999999999993</v>
      </c>
      <c r="AO106" s="397">
        <v>0</v>
      </c>
      <c r="AP106" s="46"/>
      <c r="AQ106" s="402">
        <v>84414.620000000024</v>
      </c>
      <c r="AR106" s="274">
        <v>170199.05</v>
      </c>
      <c r="AS106" s="413">
        <v>56172.2</v>
      </c>
      <c r="AX106" s="2"/>
      <c r="BA106" s="342"/>
      <c r="BB106" s="342"/>
      <c r="BC106" s="342"/>
      <c r="BD106" s="386"/>
      <c r="BE106" s="386"/>
      <c r="BF106" s="386"/>
      <c r="BG106" s="386"/>
      <c r="BH106" s="386"/>
      <c r="BI106" s="386"/>
      <c r="BJ106" s="386"/>
      <c r="BK106" s="386"/>
      <c r="BL106" s="386"/>
      <c r="BM106" s="386"/>
      <c r="BN106" s="387"/>
      <c r="BO106" s="265"/>
      <c r="BP106" s="386"/>
      <c r="BQ106" s="388"/>
      <c r="BR106" s="388"/>
      <c r="BS106" s="389"/>
      <c r="BT106" s="389"/>
      <c r="BU106" s="389"/>
      <c r="BV106" s="386"/>
      <c r="BW106" s="389"/>
      <c r="BX106" s="389"/>
      <c r="BY106" s="386"/>
      <c r="BZ106" s="386"/>
      <c r="CA106" s="386"/>
      <c r="CB106" s="386"/>
      <c r="CC106" s="386"/>
      <c r="CD106" s="386"/>
      <c r="CE106" s="386"/>
      <c r="CF106" s="390"/>
      <c r="CG106" s="390"/>
      <c r="CH106" s="391"/>
      <c r="CI106" s="386"/>
      <c r="CJ106" s="386"/>
      <c r="CK106" s="390"/>
      <c r="CL106" s="390"/>
      <c r="CM106" s="391"/>
      <c r="CN106" s="389"/>
      <c r="CO106" s="389"/>
      <c r="CP106" s="135"/>
      <c r="CQ106" s="135"/>
      <c r="CR106" s="135"/>
      <c r="CS106" s="135"/>
      <c r="CT106" s="135"/>
      <c r="CU106" s="135"/>
    </row>
    <row r="107" spans="1:99">
      <c r="A107" s="342" t="s">
        <v>236</v>
      </c>
      <c r="B107" s="342" t="s">
        <v>235</v>
      </c>
      <c r="C107" s="342" t="s">
        <v>930</v>
      </c>
      <c r="D107" s="157">
        <v>0</v>
      </c>
      <c r="E107" s="157">
        <v>55214.61</v>
      </c>
      <c r="F107" s="157">
        <v>0</v>
      </c>
      <c r="G107" s="157">
        <v>4881113.87</v>
      </c>
      <c r="H107" s="157">
        <v>854394.44</v>
      </c>
      <c r="I107" s="157">
        <v>88054.15</v>
      </c>
      <c r="J107" s="157">
        <v>676987.82</v>
      </c>
      <c r="K107" s="157">
        <v>131954.44</v>
      </c>
      <c r="L107" s="157">
        <v>73073.53</v>
      </c>
      <c r="M107" s="157">
        <v>1718149.46</v>
      </c>
      <c r="N107" s="264">
        <v>3.9300000000000002E-2</v>
      </c>
      <c r="O107" s="265">
        <v>0.15609999999999999</v>
      </c>
      <c r="P107" s="157">
        <v>0</v>
      </c>
      <c r="Q107" s="396">
        <v>0</v>
      </c>
      <c r="R107" s="396">
        <v>0</v>
      </c>
      <c r="S107" s="397">
        <v>0</v>
      </c>
      <c r="T107" s="397">
        <v>0</v>
      </c>
      <c r="U107" s="397">
        <v>0</v>
      </c>
      <c r="V107" s="157">
        <v>0</v>
      </c>
      <c r="W107" s="397">
        <v>0</v>
      </c>
      <c r="X107" s="397">
        <v>0</v>
      </c>
      <c r="Y107" s="157">
        <v>2569.0500000000002</v>
      </c>
      <c r="Z107" s="157">
        <v>40151.620000000003</v>
      </c>
      <c r="AA107" s="157">
        <v>0</v>
      </c>
      <c r="AB107" s="157">
        <v>595794.88</v>
      </c>
      <c r="AC107" s="157">
        <v>1042714.52</v>
      </c>
      <c r="AD107" s="157">
        <v>106.02</v>
      </c>
      <c r="AE107" s="157">
        <v>986771.87</v>
      </c>
      <c r="AF107" s="398">
        <f t="shared" si="48"/>
        <v>9307.4124693454069</v>
      </c>
      <c r="AG107" s="398">
        <f t="shared" si="49"/>
        <v>9835.0737596679883</v>
      </c>
      <c r="AH107" s="399">
        <f t="shared" si="50"/>
        <v>527.66</v>
      </c>
      <c r="AI107" s="157">
        <v>61.18</v>
      </c>
      <c r="AJ107" s="157">
        <v>553560.9</v>
      </c>
      <c r="AK107" s="398">
        <f t="shared" si="51"/>
        <v>9048.0696305982347</v>
      </c>
      <c r="AL107" s="398">
        <f t="shared" si="52"/>
        <v>9738.3929388689121</v>
      </c>
      <c r="AM107" s="399">
        <f t="shared" si="53"/>
        <v>690.32</v>
      </c>
      <c r="AN107" s="397">
        <v>0</v>
      </c>
      <c r="AO107" s="397">
        <v>0</v>
      </c>
      <c r="AP107" s="46"/>
      <c r="AQ107" s="402">
        <v>30235.470000000059</v>
      </c>
      <c r="AR107" s="274">
        <v>232577.49</v>
      </c>
      <c r="AS107" s="413">
        <v>80769.61</v>
      </c>
      <c r="AX107" s="2"/>
      <c r="BA107" s="342"/>
      <c r="BB107" s="342"/>
      <c r="BC107" s="342"/>
      <c r="BD107" s="386"/>
      <c r="BE107" s="386"/>
      <c r="BF107" s="386"/>
      <c r="BG107" s="386"/>
      <c r="BH107" s="386"/>
      <c r="BI107" s="386"/>
      <c r="BJ107" s="386"/>
      <c r="BK107" s="386"/>
      <c r="BL107" s="386"/>
      <c r="BM107" s="386"/>
      <c r="BN107" s="387"/>
      <c r="BO107" s="265"/>
      <c r="BP107" s="386"/>
      <c r="BQ107" s="388"/>
      <c r="BR107" s="388"/>
      <c r="BS107" s="389"/>
      <c r="BT107" s="389"/>
      <c r="BU107" s="389"/>
      <c r="BV107" s="386"/>
      <c r="BW107" s="389"/>
      <c r="BX107" s="389"/>
      <c r="BY107" s="386"/>
      <c r="BZ107" s="386"/>
      <c r="CA107" s="386"/>
      <c r="CB107" s="386"/>
      <c r="CC107" s="386"/>
      <c r="CD107" s="386"/>
      <c r="CE107" s="386"/>
      <c r="CF107" s="390"/>
      <c r="CG107" s="390"/>
      <c r="CH107" s="391"/>
      <c r="CI107" s="386"/>
      <c r="CJ107" s="386"/>
      <c r="CK107" s="390"/>
      <c r="CL107" s="390"/>
      <c r="CM107" s="391"/>
      <c r="CN107" s="389"/>
      <c r="CO107" s="389"/>
      <c r="CP107" s="135"/>
      <c r="CQ107" s="135"/>
      <c r="CR107" s="135"/>
      <c r="CS107" s="135"/>
      <c r="CT107" s="135"/>
      <c r="CU107" s="135"/>
    </row>
    <row r="108" spans="1:99">
      <c r="A108" s="342" t="s">
        <v>238</v>
      </c>
      <c r="B108" s="342" t="s">
        <v>237</v>
      </c>
      <c r="C108" s="342" t="s">
        <v>931</v>
      </c>
      <c r="D108" s="157">
        <v>0</v>
      </c>
      <c r="E108" s="157">
        <v>0</v>
      </c>
      <c r="F108" s="157">
        <v>0</v>
      </c>
      <c r="G108" s="157">
        <v>318001.51</v>
      </c>
      <c r="H108" s="157">
        <v>21071.79</v>
      </c>
      <c r="I108" s="157">
        <v>0</v>
      </c>
      <c r="J108" s="157">
        <v>55965.99</v>
      </c>
      <c r="K108" s="157">
        <v>0</v>
      </c>
      <c r="L108" s="157">
        <v>7138</v>
      </c>
      <c r="M108" s="157">
        <v>171440.88</v>
      </c>
      <c r="N108" s="264">
        <v>9.2499999999999999E-2</v>
      </c>
      <c r="O108" s="265">
        <v>0.28289999999999998</v>
      </c>
      <c r="P108" s="157">
        <v>0</v>
      </c>
      <c r="Q108" s="396">
        <v>0</v>
      </c>
      <c r="R108" s="396">
        <v>0</v>
      </c>
      <c r="S108" s="397">
        <v>0</v>
      </c>
      <c r="T108" s="397">
        <v>0</v>
      </c>
      <c r="U108" s="397">
        <v>0</v>
      </c>
      <c r="V108" s="157">
        <v>0</v>
      </c>
      <c r="W108" s="397">
        <v>0</v>
      </c>
      <c r="X108" s="397">
        <v>0</v>
      </c>
      <c r="Y108" s="157">
        <v>270.66000000000003</v>
      </c>
      <c r="Z108" s="157">
        <v>0</v>
      </c>
      <c r="AA108" s="157">
        <v>0</v>
      </c>
      <c r="AB108" s="157">
        <v>0</v>
      </c>
      <c r="AC108" s="157">
        <v>0</v>
      </c>
      <c r="AD108" s="157">
        <v>0</v>
      </c>
      <c r="AE108" s="157">
        <v>0</v>
      </c>
      <c r="AF108" s="398">
        <f t="shared" si="48"/>
        <v>0</v>
      </c>
      <c r="AG108" s="398">
        <f t="shared" si="49"/>
        <v>0</v>
      </c>
      <c r="AH108" s="399">
        <f t="shared" si="50"/>
        <v>0</v>
      </c>
      <c r="AI108" s="157">
        <v>0</v>
      </c>
      <c r="AJ108" s="157">
        <v>0</v>
      </c>
      <c r="AK108" s="398">
        <f t="shared" si="51"/>
        <v>0</v>
      </c>
      <c r="AL108" s="398">
        <f t="shared" si="52"/>
        <v>0</v>
      </c>
      <c r="AM108" s="399">
        <f t="shared" si="53"/>
        <v>0</v>
      </c>
      <c r="AN108" s="397">
        <v>0</v>
      </c>
      <c r="AO108" s="397">
        <v>0</v>
      </c>
      <c r="AP108" s="46"/>
      <c r="AQ108" s="402">
        <v>0</v>
      </c>
      <c r="AR108" s="274">
        <v>23229.980000000003</v>
      </c>
      <c r="AS108" s="413">
        <v>16997.75</v>
      </c>
      <c r="AX108" s="2"/>
      <c r="BA108" s="342"/>
      <c r="BB108" s="342"/>
      <c r="BC108" s="342"/>
      <c r="BD108" s="386"/>
      <c r="BE108" s="386"/>
      <c r="BF108" s="386"/>
      <c r="BG108" s="386"/>
      <c r="BH108" s="386"/>
      <c r="BI108" s="386"/>
      <c r="BJ108" s="386"/>
      <c r="BK108" s="386"/>
      <c r="BL108" s="386"/>
      <c r="BM108" s="386"/>
      <c r="BN108" s="387"/>
      <c r="BO108" s="265"/>
      <c r="BP108" s="386"/>
      <c r="BQ108" s="388"/>
      <c r="BR108" s="388"/>
      <c r="BS108" s="389"/>
      <c r="BT108" s="389"/>
      <c r="BU108" s="389"/>
      <c r="BV108" s="386"/>
      <c r="BW108" s="389"/>
      <c r="BX108" s="389"/>
      <c r="BY108" s="386"/>
      <c r="BZ108" s="386"/>
      <c r="CA108" s="386"/>
      <c r="CB108" s="386"/>
      <c r="CC108" s="386"/>
      <c r="CD108" s="386"/>
      <c r="CE108" s="386"/>
      <c r="CF108" s="390"/>
      <c r="CG108" s="390"/>
      <c r="CH108" s="391"/>
      <c r="CI108" s="386"/>
      <c r="CJ108" s="386"/>
      <c r="CK108" s="390"/>
      <c r="CL108" s="390"/>
      <c r="CM108" s="391"/>
      <c r="CN108" s="389"/>
      <c r="CO108" s="389"/>
      <c r="CP108" s="135"/>
      <c r="CQ108" s="135"/>
      <c r="CR108" s="135"/>
      <c r="CS108" s="135"/>
      <c r="CT108" s="135"/>
      <c r="CU108" s="135"/>
    </row>
    <row r="109" spans="1:99">
      <c r="A109" s="342" t="s">
        <v>240</v>
      </c>
      <c r="B109" s="342" t="s">
        <v>239</v>
      </c>
      <c r="C109" s="342" t="s">
        <v>932</v>
      </c>
      <c r="D109" s="157">
        <v>0</v>
      </c>
      <c r="E109" s="157">
        <v>0</v>
      </c>
      <c r="F109" s="157">
        <v>0</v>
      </c>
      <c r="G109" s="157">
        <v>60015</v>
      </c>
      <c r="H109" s="157">
        <v>4301.6099999999997</v>
      </c>
      <c r="I109" s="157">
        <v>0</v>
      </c>
      <c r="J109" s="157">
        <v>8379.3700000000008</v>
      </c>
      <c r="K109" s="157">
        <v>0</v>
      </c>
      <c r="L109" s="157">
        <v>0</v>
      </c>
      <c r="M109" s="157">
        <v>126139.33</v>
      </c>
      <c r="N109" s="264">
        <v>9.5500000000000002E-2</v>
      </c>
      <c r="O109" s="265">
        <v>0.26529999999999998</v>
      </c>
      <c r="P109" s="157">
        <v>0</v>
      </c>
      <c r="Q109" s="396">
        <v>0</v>
      </c>
      <c r="R109" s="396">
        <v>0</v>
      </c>
      <c r="S109" s="397">
        <v>0</v>
      </c>
      <c r="T109" s="397">
        <v>0</v>
      </c>
      <c r="U109" s="397">
        <v>0</v>
      </c>
      <c r="V109" s="157">
        <v>0</v>
      </c>
      <c r="W109" s="397">
        <v>0</v>
      </c>
      <c r="X109" s="397">
        <v>0</v>
      </c>
      <c r="Y109" s="157">
        <v>0</v>
      </c>
      <c r="Z109" s="157">
        <v>0</v>
      </c>
      <c r="AA109" s="157">
        <v>0</v>
      </c>
      <c r="AB109" s="157">
        <v>0</v>
      </c>
      <c r="AC109" s="157">
        <v>0</v>
      </c>
      <c r="AD109" s="157">
        <v>0</v>
      </c>
      <c r="AE109" s="157">
        <v>0</v>
      </c>
      <c r="AF109" s="398">
        <f t="shared" si="48"/>
        <v>0</v>
      </c>
      <c r="AG109" s="398">
        <f t="shared" si="49"/>
        <v>0</v>
      </c>
      <c r="AH109" s="399">
        <f t="shared" si="50"/>
        <v>0</v>
      </c>
      <c r="AI109" s="157">
        <v>0</v>
      </c>
      <c r="AJ109" s="157">
        <v>0</v>
      </c>
      <c r="AK109" s="398">
        <f t="shared" si="51"/>
        <v>0</v>
      </c>
      <c r="AL109" s="398">
        <f t="shared" si="52"/>
        <v>0</v>
      </c>
      <c r="AM109" s="399">
        <f t="shared" si="53"/>
        <v>0</v>
      </c>
      <c r="AN109" s="397">
        <v>0</v>
      </c>
      <c r="AO109" s="397">
        <v>0</v>
      </c>
      <c r="AP109" s="46"/>
      <c r="AQ109" s="402">
        <v>3836.0099999999993</v>
      </c>
      <c r="AR109" s="274">
        <v>4771.12</v>
      </c>
      <c r="AS109" s="413">
        <v>14376.05</v>
      </c>
      <c r="AX109" s="2"/>
      <c r="BA109" s="342"/>
      <c r="BB109" s="342"/>
      <c r="BC109" s="342"/>
      <c r="BD109" s="386"/>
      <c r="BE109" s="386"/>
      <c r="BF109" s="386"/>
      <c r="BG109" s="386"/>
      <c r="BH109" s="386"/>
      <c r="BI109" s="386"/>
      <c r="BJ109" s="386"/>
      <c r="BK109" s="386"/>
      <c r="BL109" s="386"/>
      <c r="BM109" s="386"/>
      <c r="BN109" s="387"/>
      <c r="BO109" s="265"/>
      <c r="BP109" s="386"/>
      <c r="BQ109" s="388"/>
      <c r="BR109" s="388"/>
      <c r="BS109" s="389"/>
      <c r="BT109" s="389"/>
      <c r="BU109" s="389"/>
      <c r="BV109" s="386"/>
      <c r="BW109" s="389"/>
      <c r="BX109" s="389"/>
      <c r="BY109" s="386"/>
      <c r="BZ109" s="386"/>
      <c r="CA109" s="386"/>
      <c r="CB109" s="386"/>
      <c r="CC109" s="386"/>
      <c r="CD109" s="386"/>
      <c r="CE109" s="386"/>
      <c r="CF109" s="390"/>
      <c r="CG109" s="390"/>
      <c r="CH109" s="391"/>
      <c r="CI109" s="386"/>
      <c r="CJ109" s="386"/>
      <c r="CK109" s="390"/>
      <c r="CL109" s="390"/>
      <c r="CM109" s="391"/>
      <c r="CN109" s="389"/>
      <c r="CO109" s="389"/>
      <c r="CP109" s="135"/>
      <c r="CQ109" s="135"/>
      <c r="CR109" s="135"/>
      <c r="CS109" s="135"/>
      <c r="CT109" s="135"/>
      <c r="CU109" s="135"/>
    </row>
    <row r="110" spans="1:99">
      <c r="A110" s="342" t="s">
        <v>242</v>
      </c>
      <c r="B110" s="342" t="s">
        <v>241</v>
      </c>
      <c r="C110" s="342" t="s">
        <v>933</v>
      </c>
      <c r="D110" s="157">
        <v>0</v>
      </c>
      <c r="E110" s="157">
        <v>0</v>
      </c>
      <c r="F110" s="157">
        <v>0</v>
      </c>
      <c r="G110" s="157">
        <v>0</v>
      </c>
      <c r="H110" s="157">
        <v>0</v>
      </c>
      <c r="I110" s="157">
        <v>0</v>
      </c>
      <c r="J110" s="157">
        <v>32483.03</v>
      </c>
      <c r="K110" s="157">
        <v>0</v>
      </c>
      <c r="L110" s="157">
        <v>5069</v>
      </c>
      <c r="M110" s="157">
        <v>164188.45000000001</v>
      </c>
      <c r="N110" s="264">
        <v>5.8500000000000003E-2</v>
      </c>
      <c r="O110" s="265">
        <v>0.31569999999999998</v>
      </c>
      <c r="P110" s="157">
        <v>0</v>
      </c>
      <c r="Q110" s="396">
        <v>0</v>
      </c>
      <c r="R110" s="396">
        <v>0</v>
      </c>
      <c r="S110" s="397">
        <v>0</v>
      </c>
      <c r="T110" s="397">
        <v>0</v>
      </c>
      <c r="U110" s="397">
        <v>0</v>
      </c>
      <c r="V110" s="157">
        <v>0</v>
      </c>
      <c r="W110" s="397">
        <v>0</v>
      </c>
      <c r="X110" s="397">
        <v>0</v>
      </c>
      <c r="Y110" s="157">
        <v>197.36</v>
      </c>
      <c r="Z110" s="157">
        <v>0</v>
      </c>
      <c r="AA110" s="157">
        <v>0</v>
      </c>
      <c r="AB110" s="157">
        <v>0</v>
      </c>
      <c r="AC110" s="157">
        <v>0</v>
      </c>
      <c r="AD110" s="157">
        <v>0</v>
      </c>
      <c r="AE110" s="157">
        <v>0</v>
      </c>
      <c r="AF110" s="398">
        <f t="shared" si="48"/>
        <v>0</v>
      </c>
      <c r="AG110" s="398">
        <f t="shared" si="49"/>
        <v>0</v>
      </c>
      <c r="AH110" s="399">
        <f t="shared" si="50"/>
        <v>0</v>
      </c>
      <c r="AI110" s="157">
        <v>0</v>
      </c>
      <c r="AJ110" s="157">
        <v>0</v>
      </c>
      <c r="AK110" s="398">
        <f t="shared" si="51"/>
        <v>0</v>
      </c>
      <c r="AL110" s="398">
        <f t="shared" si="52"/>
        <v>0</v>
      </c>
      <c r="AM110" s="399">
        <f t="shared" si="53"/>
        <v>0</v>
      </c>
      <c r="AN110" s="397">
        <v>0</v>
      </c>
      <c r="AO110" s="397">
        <v>0</v>
      </c>
      <c r="AP110" s="46"/>
      <c r="AQ110" s="402">
        <v>0</v>
      </c>
      <c r="AR110" s="274">
        <v>16307.72</v>
      </c>
      <c r="AS110" s="413">
        <v>14959.54</v>
      </c>
      <c r="AX110" s="2"/>
      <c r="BA110" s="342"/>
      <c r="BB110" s="342"/>
      <c r="BC110" s="342"/>
      <c r="BD110" s="386"/>
      <c r="BE110" s="386"/>
      <c r="BF110" s="386"/>
      <c r="BG110" s="386"/>
      <c r="BH110" s="386"/>
      <c r="BI110" s="386"/>
      <c r="BJ110" s="386"/>
      <c r="BK110" s="386"/>
      <c r="BL110" s="386"/>
      <c r="BM110" s="386"/>
      <c r="BN110" s="387"/>
      <c r="BO110" s="265"/>
      <c r="BP110" s="386"/>
      <c r="BQ110" s="388"/>
      <c r="BR110" s="388"/>
      <c r="BS110" s="389"/>
      <c r="BT110" s="389"/>
      <c r="BU110" s="389"/>
      <c r="BV110" s="386"/>
      <c r="BW110" s="389"/>
      <c r="BX110" s="389"/>
      <c r="BY110" s="386"/>
      <c r="BZ110" s="386"/>
      <c r="CA110" s="386"/>
      <c r="CB110" s="386"/>
      <c r="CC110" s="386"/>
      <c r="CD110" s="386"/>
      <c r="CE110" s="386"/>
      <c r="CF110" s="390"/>
      <c r="CG110" s="390"/>
      <c r="CH110" s="391"/>
      <c r="CI110" s="386"/>
      <c r="CJ110" s="386"/>
      <c r="CK110" s="390"/>
      <c r="CL110" s="390"/>
      <c r="CM110" s="391"/>
      <c r="CN110" s="389"/>
      <c r="CO110" s="389"/>
      <c r="CP110" s="135"/>
      <c r="CQ110" s="135"/>
      <c r="CR110" s="135"/>
      <c r="CS110" s="135"/>
      <c r="CT110" s="135"/>
      <c r="CU110" s="135"/>
    </row>
    <row r="111" spans="1:99">
      <c r="A111" s="342" t="s">
        <v>244</v>
      </c>
      <c r="B111" s="342" t="s">
        <v>243</v>
      </c>
      <c r="C111" s="342" t="s">
        <v>934</v>
      </c>
      <c r="D111" s="157">
        <v>0</v>
      </c>
      <c r="E111" s="157">
        <v>0</v>
      </c>
      <c r="F111" s="157">
        <v>0</v>
      </c>
      <c r="G111" s="157">
        <v>856083.54</v>
      </c>
      <c r="H111" s="157">
        <v>115939.34</v>
      </c>
      <c r="I111" s="157">
        <v>0</v>
      </c>
      <c r="J111" s="157">
        <v>68276.429999999993</v>
      </c>
      <c r="K111" s="157">
        <v>0</v>
      </c>
      <c r="L111" s="157">
        <v>17276.009999999998</v>
      </c>
      <c r="M111" s="157">
        <v>772531.51</v>
      </c>
      <c r="N111" s="264">
        <v>3.95E-2</v>
      </c>
      <c r="O111" s="265">
        <v>0.2447</v>
      </c>
      <c r="P111" s="157">
        <v>0</v>
      </c>
      <c r="Q111" s="396">
        <v>0</v>
      </c>
      <c r="R111" s="396">
        <v>0</v>
      </c>
      <c r="S111" s="397">
        <v>0</v>
      </c>
      <c r="T111" s="397">
        <v>0</v>
      </c>
      <c r="U111" s="397">
        <v>0</v>
      </c>
      <c r="V111" s="157">
        <v>0</v>
      </c>
      <c r="W111" s="397">
        <v>0</v>
      </c>
      <c r="X111" s="397">
        <v>0</v>
      </c>
      <c r="Y111" s="157">
        <v>655.23</v>
      </c>
      <c r="Z111" s="157">
        <v>0</v>
      </c>
      <c r="AA111" s="157">
        <v>0</v>
      </c>
      <c r="AB111" s="157">
        <v>0</v>
      </c>
      <c r="AC111" s="157">
        <v>0</v>
      </c>
      <c r="AD111" s="157">
        <v>0</v>
      </c>
      <c r="AE111" s="157">
        <v>0</v>
      </c>
      <c r="AF111" s="398">
        <f t="shared" si="48"/>
        <v>0</v>
      </c>
      <c r="AG111" s="398">
        <f t="shared" si="49"/>
        <v>0</v>
      </c>
      <c r="AH111" s="399">
        <f t="shared" si="50"/>
        <v>0</v>
      </c>
      <c r="AI111" s="157">
        <v>0</v>
      </c>
      <c r="AJ111" s="157">
        <v>0</v>
      </c>
      <c r="AK111" s="398">
        <f t="shared" si="51"/>
        <v>0</v>
      </c>
      <c r="AL111" s="398">
        <f t="shared" si="52"/>
        <v>0</v>
      </c>
      <c r="AM111" s="399">
        <f t="shared" si="53"/>
        <v>0</v>
      </c>
      <c r="AN111" s="397">
        <v>1401.6</v>
      </c>
      <c r="AO111" s="397">
        <v>891.36</v>
      </c>
      <c r="AP111" s="46"/>
      <c r="AQ111" s="402">
        <v>0</v>
      </c>
      <c r="AR111" s="274">
        <v>56041.55</v>
      </c>
      <c r="AS111" s="413">
        <v>29847.620000000003</v>
      </c>
      <c r="AX111" s="2"/>
      <c r="BA111" s="342"/>
      <c r="BB111" s="342"/>
      <c r="BC111" s="342"/>
      <c r="BD111" s="386"/>
      <c r="BE111" s="386"/>
      <c r="BF111" s="386"/>
      <c r="BG111" s="386"/>
      <c r="BH111" s="386"/>
      <c r="BI111" s="386"/>
      <c r="BJ111" s="386"/>
      <c r="BK111" s="386"/>
      <c r="BL111" s="386"/>
      <c r="BM111" s="386"/>
      <c r="BN111" s="387"/>
      <c r="BO111" s="265"/>
      <c r="BP111" s="386"/>
      <c r="BQ111" s="388"/>
      <c r="BR111" s="388"/>
      <c r="BS111" s="389"/>
      <c r="BT111" s="389"/>
      <c r="BU111" s="389"/>
      <c r="BV111" s="386"/>
      <c r="BW111" s="389"/>
      <c r="BX111" s="389"/>
      <c r="BY111" s="386"/>
      <c r="BZ111" s="386"/>
      <c r="CA111" s="386"/>
      <c r="CB111" s="386"/>
      <c r="CC111" s="386"/>
      <c r="CD111" s="386"/>
      <c r="CE111" s="386"/>
      <c r="CF111" s="390"/>
      <c r="CG111" s="390"/>
      <c r="CH111" s="391"/>
      <c r="CI111" s="386"/>
      <c r="CJ111" s="386"/>
      <c r="CK111" s="390"/>
      <c r="CL111" s="390"/>
      <c r="CM111" s="391"/>
      <c r="CN111" s="389"/>
      <c r="CO111" s="389"/>
      <c r="CP111" s="135"/>
      <c r="CQ111" s="135"/>
      <c r="CR111" s="135"/>
      <c r="CS111" s="135"/>
      <c r="CT111" s="135"/>
      <c r="CU111" s="135"/>
    </row>
    <row r="112" spans="1:99">
      <c r="A112" s="342" t="s">
        <v>246</v>
      </c>
      <c r="B112" s="342" t="s">
        <v>245</v>
      </c>
      <c r="C112" s="342" t="s">
        <v>935</v>
      </c>
      <c r="D112" s="157">
        <v>0</v>
      </c>
      <c r="E112" s="157">
        <v>0</v>
      </c>
      <c r="F112" s="157">
        <v>0</v>
      </c>
      <c r="G112" s="157">
        <v>172487.1</v>
      </c>
      <c r="H112" s="157">
        <v>21584.560000000001</v>
      </c>
      <c r="I112" s="157">
        <v>35439.339999999997</v>
      </c>
      <c r="J112" s="157">
        <v>40150.31</v>
      </c>
      <c r="K112" s="157">
        <v>0</v>
      </c>
      <c r="L112" s="157">
        <v>0</v>
      </c>
      <c r="M112" s="157">
        <v>314225.69</v>
      </c>
      <c r="N112" s="264">
        <v>4.4699999999999997E-2</v>
      </c>
      <c r="O112" s="265">
        <v>0.17929999999999999</v>
      </c>
      <c r="P112" s="157">
        <v>0</v>
      </c>
      <c r="Q112" s="396">
        <v>0</v>
      </c>
      <c r="R112" s="396">
        <v>0</v>
      </c>
      <c r="S112" s="397">
        <v>0</v>
      </c>
      <c r="T112" s="397">
        <v>0</v>
      </c>
      <c r="U112" s="397">
        <v>0</v>
      </c>
      <c r="V112" s="157">
        <v>0</v>
      </c>
      <c r="W112" s="397">
        <v>0</v>
      </c>
      <c r="X112" s="397">
        <v>0</v>
      </c>
      <c r="Y112" s="157">
        <v>0</v>
      </c>
      <c r="Z112" s="157">
        <v>0</v>
      </c>
      <c r="AA112" s="157">
        <v>0</v>
      </c>
      <c r="AB112" s="157">
        <v>10998.96</v>
      </c>
      <c r="AC112" s="157">
        <v>56835.81</v>
      </c>
      <c r="AD112" s="157">
        <v>6.2</v>
      </c>
      <c r="AE112" s="157">
        <v>54364.639999999999</v>
      </c>
      <c r="AF112" s="398">
        <f t="shared" si="48"/>
        <v>8768.4903225806447</v>
      </c>
      <c r="AG112" s="398">
        <f t="shared" si="49"/>
        <v>9167.0661290322569</v>
      </c>
      <c r="AH112" s="399">
        <f t="shared" si="50"/>
        <v>398.58</v>
      </c>
      <c r="AI112" s="157">
        <v>1.2</v>
      </c>
      <c r="AJ112" s="157">
        <v>10111.49</v>
      </c>
      <c r="AK112" s="398">
        <f t="shared" si="51"/>
        <v>8426.2416666666668</v>
      </c>
      <c r="AL112" s="398">
        <f t="shared" si="52"/>
        <v>9165.7999999999993</v>
      </c>
      <c r="AM112" s="399">
        <f t="shared" si="53"/>
        <v>739.56</v>
      </c>
      <c r="AN112" s="397">
        <v>655.96</v>
      </c>
      <c r="AO112" s="397">
        <v>0</v>
      </c>
      <c r="AP112" s="46"/>
      <c r="AQ112" s="402">
        <v>61738.39</v>
      </c>
      <c r="AR112" s="274">
        <v>26241.140000000003</v>
      </c>
      <c r="AS112" s="413">
        <v>13781.86</v>
      </c>
      <c r="AX112" s="2"/>
      <c r="BA112" s="342"/>
      <c r="BB112" s="342"/>
      <c r="BC112" s="342"/>
      <c r="BD112" s="386"/>
      <c r="BE112" s="386"/>
      <c r="BF112" s="386"/>
      <c r="BG112" s="386"/>
      <c r="BH112" s="386"/>
      <c r="BI112" s="386"/>
      <c r="BJ112" s="386"/>
      <c r="BK112" s="386"/>
      <c r="BL112" s="386"/>
      <c r="BM112" s="386"/>
      <c r="BN112" s="387"/>
      <c r="BO112" s="265"/>
      <c r="BP112" s="386"/>
      <c r="BQ112" s="388"/>
      <c r="BR112" s="388"/>
      <c r="BS112" s="389"/>
      <c r="BT112" s="389"/>
      <c r="BU112" s="389"/>
      <c r="BV112" s="386"/>
      <c r="BW112" s="389"/>
      <c r="BX112" s="389"/>
      <c r="BY112" s="386"/>
      <c r="BZ112" s="386"/>
      <c r="CA112" s="386"/>
      <c r="CB112" s="386"/>
      <c r="CC112" s="386"/>
      <c r="CD112" s="386"/>
      <c r="CE112" s="386"/>
      <c r="CF112" s="390"/>
      <c r="CG112" s="390"/>
      <c r="CH112" s="391"/>
      <c r="CI112" s="386"/>
      <c r="CJ112" s="386"/>
      <c r="CK112" s="390"/>
      <c r="CL112" s="390"/>
      <c r="CM112" s="391"/>
      <c r="CN112" s="389"/>
      <c r="CO112" s="389"/>
      <c r="CP112" s="135"/>
      <c r="CQ112" s="135"/>
      <c r="CR112" s="135"/>
      <c r="CS112" s="135"/>
      <c r="CT112" s="135"/>
      <c r="CU112" s="135"/>
    </row>
    <row r="113" spans="1:99">
      <c r="A113" s="342" t="s">
        <v>248</v>
      </c>
      <c r="B113" s="342" t="s">
        <v>247</v>
      </c>
      <c r="C113" s="342" t="s">
        <v>936</v>
      </c>
      <c r="D113" s="157">
        <v>0</v>
      </c>
      <c r="E113" s="157">
        <v>0</v>
      </c>
      <c r="F113" s="157">
        <v>23757.84</v>
      </c>
      <c r="G113" s="157">
        <v>1432455.27</v>
      </c>
      <c r="H113" s="157">
        <v>227925.4</v>
      </c>
      <c r="I113" s="157">
        <v>314795.73</v>
      </c>
      <c r="J113" s="157">
        <v>552418.42000000004</v>
      </c>
      <c r="K113" s="157">
        <v>508029.02</v>
      </c>
      <c r="L113" s="157">
        <v>31655.439999999999</v>
      </c>
      <c r="M113" s="157">
        <v>802738.86</v>
      </c>
      <c r="N113" s="264">
        <v>5.4199999999999998E-2</v>
      </c>
      <c r="O113" s="265">
        <v>0.19869999999999999</v>
      </c>
      <c r="P113" s="157">
        <v>0</v>
      </c>
      <c r="Q113" s="396">
        <v>0</v>
      </c>
      <c r="R113" s="396">
        <v>0</v>
      </c>
      <c r="S113" s="397">
        <v>0</v>
      </c>
      <c r="T113" s="397">
        <v>0</v>
      </c>
      <c r="U113" s="397">
        <v>0</v>
      </c>
      <c r="V113" s="157">
        <v>0</v>
      </c>
      <c r="W113" s="397">
        <v>0</v>
      </c>
      <c r="X113" s="397">
        <v>0</v>
      </c>
      <c r="Y113" s="157">
        <v>1240.54</v>
      </c>
      <c r="Z113" s="157">
        <v>0</v>
      </c>
      <c r="AA113" s="157">
        <v>0</v>
      </c>
      <c r="AB113" s="157">
        <v>0</v>
      </c>
      <c r="AC113" s="157">
        <v>431066.2</v>
      </c>
      <c r="AD113" s="157">
        <v>47.41</v>
      </c>
      <c r="AE113" s="157">
        <v>407414.82</v>
      </c>
      <c r="AF113" s="398">
        <f t="shared" si="48"/>
        <v>8593.4364058215579</v>
      </c>
      <c r="AG113" s="398">
        <f t="shared" si="49"/>
        <v>9092.3054207973018</v>
      </c>
      <c r="AH113" s="399">
        <f t="shared" si="50"/>
        <v>498.87</v>
      </c>
      <c r="AI113" s="157">
        <v>0</v>
      </c>
      <c r="AJ113" s="157">
        <v>0</v>
      </c>
      <c r="AK113" s="398">
        <f t="shared" si="51"/>
        <v>0</v>
      </c>
      <c r="AL113" s="398">
        <f t="shared" si="52"/>
        <v>0</v>
      </c>
      <c r="AM113" s="399">
        <f t="shared" si="53"/>
        <v>0</v>
      </c>
      <c r="AN113" s="397">
        <v>18378.310000000001</v>
      </c>
      <c r="AO113" s="397">
        <v>0</v>
      </c>
      <c r="AP113" s="46"/>
      <c r="AQ113" s="402">
        <v>30453.929999999993</v>
      </c>
      <c r="AR113" s="274">
        <v>119342.03</v>
      </c>
      <c r="AS113" s="413">
        <v>42109.32</v>
      </c>
      <c r="AX113" s="2"/>
      <c r="BA113" s="342"/>
      <c r="BB113" s="342"/>
      <c r="BC113" s="342"/>
      <c r="BD113" s="386"/>
      <c r="BE113" s="386"/>
      <c r="BF113" s="386"/>
      <c r="BG113" s="386"/>
      <c r="BH113" s="386"/>
      <c r="BI113" s="386"/>
      <c r="BJ113" s="386"/>
      <c r="BK113" s="386"/>
      <c r="BL113" s="386"/>
      <c r="BM113" s="386"/>
      <c r="BN113" s="387"/>
      <c r="BO113" s="265"/>
      <c r="BP113" s="386"/>
      <c r="BQ113" s="388"/>
      <c r="BR113" s="388"/>
      <c r="BS113" s="389"/>
      <c r="BT113" s="389"/>
      <c r="BU113" s="389"/>
      <c r="BV113" s="386"/>
      <c r="BW113" s="389"/>
      <c r="BX113" s="389"/>
      <c r="BY113" s="386"/>
      <c r="BZ113" s="386"/>
      <c r="CA113" s="386"/>
      <c r="CB113" s="386"/>
      <c r="CC113" s="386"/>
      <c r="CD113" s="386"/>
      <c r="CE113" s="386"/>
      <c r="CF113" s="390"/>
      <c r="CG113" s="390"/>
      <c r="CH113" s="391"/>
      <c r="CI113" s="386"/>
      <c r="CJ113" s="386"/>
      <c r="CK113" s="390"/>
      <c r="CL113" s="390"/>
      <c r="CM113" s="391"/>
      <c r="CN113" s="389"/>
      <c r="CO113" s="389"/>
      <c r="CP113" s="135"/>
      <c r="CQ113" s="135"/>
      <c r="CR113" s="135"/>
      <c r="CS113" s="135"/>
      <c r="CT113" s="135"/>
      <c r="CU113" s="135"/>
    </row>
    <row r="114" spans="1:99">
      <c r="A114" s="342" t="s">
        <v>250</v>
      </c>
      <c r="B114" s="342" t="s">
        <v>249</v>
      </c>
      <c r="C114" s="342" t="s">
        <v>937</v>
      </c>
      <c r="D114" s="157">
        <v>0</v>
      </c>
      <c r="E114" s="157">
        <v>777878.77</v>
      </c>
      <c r="F114" s="157">
        <v>518919.7</v>
      </c>
      <c r="G114" s="157">
        <v>30391132.649999999</v>
      </c>
      <c r="H114" s="157">
        <v>5843398.9199999999</v>
      </c>
      <c r="I114" s="157">
        <v>5070697.7</v>
      </c>
      <c r="J114" s="157">
        <v>9648499.1099999994</v>
      </c>
      <c r="K114" s="157">
        <v>10838880.98</v>
      </c>
      <c r="L114" s="157">
        <v>606355.91</v>
      </c>
      <c r="M114" s="157">
        <v>7436985.8200000003</v>
      </c>
      <c r="N114" s="264">
        <v>3.85E-2</v>
      </c>
      <c r="O114" s="265">
        <v>0.1396</v>
      </c>
      <c r="P114" s="157">
        <v>0</v>
      </c>
      <c r="Q114" s="396">
        <v>0</v>
      </c>
      <c r="R114" s="396">
        <v>0</v>
      </c>
      <c r="S114" s="397">
        <v>0</v>
      </c>
      <c r="T114" s="397">
        <v>0</v>
      </c>
      <c r="U114" s="397">
        <v>0</v>
      </c>
      <c r="V114" s="157">
        <v>0</v>
      </c>
      <c r="W114" s="397">
        <v>0</v>
      </c>
      <c r="X114" s="397">
        <v>0</v>
      </c>
      <c r="Y114" s="157">
        <v>20727.16</v>
      </c>
      <c r="Z114" s="157">
        <v>110594.56</v>
      </c>
      <c r="AA114" s="157">
        <v>670204.73</v>
      </c>
      <c r="AB114" s="157">
        <v>1016121.93</v>
      </c>
      <c r="AC114" s="157">
        <v>8212790.7300000004</v>
      </c>
      <c r="AD114" s="157">
        <v>782.95</v>
      </c>
      <c r="AE114" s="157">
        <v>7568283.0499999998</v>
      </c>
      <c r="AF114" s="398">
        <f t="shared" si="48"/>
        <v>9666.36828660834</v>
      </c>
      <c r="AG114" s="398">
        <f t="shared" si="49"/>
        <v>10489.546880388276</v>
      </c>
      <c r="AH114" s="399">
        <f t="shared" si="50"/>
        <v>823.18</v>
      </c>
      <c r="AI114" s="157">
        <v>100.39</v>
      </c>
      <c r="AJ114" s="157">
        <v>943924.59</v>
      </c>
      <c r="AK114" s="398">
        <f t="shared" si="51"/>
        <v>9402.575854168741</v>
      </c>
      <c r="AL114" s="398">
        <f t="shared" si="52"/>
        <v>10121.744496463793</v>
      </c>
      <c r="AM114" s="399">
        <f t="shared" si="53"/>
        <v>719.17</v>
      </c>
      <c r="AN114" s="397">
        <v>0</v>
      </c>
      <c r="AO114" s="397">
        <v>0</v>
      </c>
      <c r="AP114" s="46"/>
      <c r="AQ114" s="402">
        <v>0</v>
      </c>
      <c r="AR114" s="274">
        <v>2303648.75</v>
      </c>
      <c r="AS114" s="413">
        <v>556196.82000000007</v>
      </c>
      <c r="AX114" s="2"/>
      <c r="BA114" s="342"/>
      <c r="BB114" s="342"/>
      <c r="BC114" s="342"/>
      <c r="BD114" s="386"/>
      <c r="BE114" s="386"/>
      <c r="BF114" s="386"/>
      <c r="BG114" s="386"/>
      <c r="BH114" s="386"/>
      <c r="BI114" s="386"/>
      <c r="BJ114" s="386"/>
      <c r="BK114" s="386"/>
      <c r="BL114" s="386"/>
      <c r="BM114" s="386"/>
      <c r="BN114" s="387"/>
      <c r="BO114" s="265"/>
      <c r="BP114" s="386"/>
      <c r="BQ114" s="388"/>
      <c r="BR114" s="388"/>
      <c r="BS114" s="389"/>
      <c r="BT114" s="389"/>
      <c r="BU114" s="389"/>
      <c r="BV114" s="386"/>
      <c r="BW114" s="389"/>
      <c r="BX114" s="389"/>
      <c r="BY114" s="386"/>
      <c r="BZ114" s="386"/>
      <c r="CA114" s="386"/>
      <c r="CB114" s="386"/>
      <c r="CC114" s="386"/>
      <c r="CD114" s="386"/>
      <c r="CE114" s="386"/>
      <c r="CF114" s="390"/>
      <c r="CG114" s="390"/>
      <c r="CH114" s="391"/>
      <c r="CI114" s="386"/>
      <c r="CJ114" s="386"/>
      <c r="CK114" s="390"/>
      <c r="CL114" s="390"/>
      <c r="CM114" s="391"/>
      <c r="CN114" s="389"/>
      <c r="CO114" s="389"/>
      <c r="CP114" s="135"/>
      <c r="CQ114" s="135"/>
      <c r="CR114" s="135"/>
      <c r="CS114" s="135"/>
      <c r="CT114" s="135"/>
      <c r="CU114" s="135"/>
    </row>
    <row r="115" spans="1:99">
      <c r="A115" s="342" t="s">
        <v>252</v>
      </c>
      <c r="B115" s="342" t="s">
        <v>251</v>
      </c>
      <c r="C115" s="342" t="s">
        <v>938</v>
      </c>
      <c r="D115" s="157">
        <v>0</v>
      </c>
      <c r="E115" s="157">
        <v>0</v>
      </c>
      <c r="F115" s="157">
        <v>0</v>
      </c>
      <c r="G115" s="157">
        <v>2243616.1</v>
      </c>
      <c r="H115" s="157">
        <v>342506.94</v>
      </c>
      <c r="I115" s="157">
        <v>0</v>
      </c>
      <c r="J115" s="157">
        <v>241763.76</v>
      </c>
      <c r="K115" s="157">
        <v>123097.23</v>
      </c>
      <c r="L115" s="157">
        <v>62727.9</v>
      </c>
      <c r="M115" s="157">
        <v>1673458.95</v>
      </c>
      <c r="N115" s="264">
        <v>5.3100000000000001E-2</v>
      </c>
      <c r="O115" s="265">
        <v>0.19239999999999999</v>
      </c>
      <c r="P115" s="157">
        <v>0</v>
      </c>
      <c r="Q115" s="396">
        <v>0</v>
      </c>
      <c r="R115" s="396">
        <v>0</v>
      </c>
      <c r="S115" s="397">
        <v>0</v>
      </c>
      <c r="T115" s="397">
        <v>0</v>
      </c>
      <c r="U115" s="397">
        <v>0</v>
      </c>
      <c r="V115" s="157">
        <v>0</v>
      </c>
      <c r="W115" s="397">
        <v>0</v>
      </c>
      <c r="X115" s="397">
        <v>0</v>
      </c>
      <c r="Y115" s="157">
        <v>2283.7199999999998</v>
      </c>
      <c r="Z115" s="157">
        <v>4549.74</v>
      </c>
      <c r="AA115" s="157">
        <v>11588.59</v>
      </c>
      <c r="AB115" s="157">
        <v>104579.1</v>
      </c>
      <c r="AC115" s="157">
        <v>527159.44999999995</v>
      </c>
      <c r="AD115" s="157">
        <v>54.54</v>
      </c>
      <c r="AE115" s="157">
        <v>487998.37</v>
      </c>
      <c r="AF115" s="398">
        <f t="shared" si="48"/>
        <v>8947.5315364869821</v>
      </c>
      <c r="AG115" s="398">
        <f t="shared" si="49"/>
        <v>9665.5564723138978</v>
      </c>
      <c r="AH115" s="399">
        <f t="shared" si="50"/>
        <v>718.02</v>
      </c>
      <c r="AI115" s="157">
        <v>11.17</v>
      </c>
      <c r="AJ115" s="157">
        <v>97185.12</v>
      </c>
      <c r="AK115" s="398">
        <f t="shared" si="51"/>
        <v>8700.5478961504032</v>
      </c>
      <c r="AL115" s="398">
        <f t="shared" si="52"/>
        <v>9362.4977618621306</v>
      </c>
      <c r="AM115" s="399">
        <f t="shared" si="53"/>
        <v>661.95</v>
      </c>
      <c r="AN115" s="397">
        <v>0</v>
      </c>
      <c r="AO115" s="397">
        <v>0</v>
      </c>
      <c r="AP115" s="46"/>
      <c r="AQ115" s="402">
        <v>0</v>
      </c>
      <c r="AR115" s="274">
        <v>193424.22</v>
      </c>
      <c r="AS115" s="413">
        <v>70735.820000000007</v>
      </c>
      <c r="AX115" s="2"/>
      <c r="BA115" s="342"/>
      <c r="BB115" s="342"/>
      <c r="BC115" s="342"/>
      <c r="BD115" s="386"/>
      <c r="BE115" s="386"/>
      <c r="BF115" s="386"/>
      <c r="BG115" s="386"/>
      <c r="BH115" s="386"/>
      <c r="BI115" s="386"/>
      <c r="BJ115" s="386"/>
      <c r="BK115" s="386"/>
      <c r="BL115" s="386"/>
      <c r="BM115" s="386"/>
      <c r="BN115" s="387"/>
      <c r="BO115" s="265"/>
      <c r="BP115" s="386"/>
      <c r="BQ115" s="388"/>
      <c r="BR115" s="388"/>
      <c r="BS115" s="389"/>
      <c r="BT115" s="389"/>
      <c r="BU115" s="389"/>
      <c r="BV115" s="386"/>
      <c r="BW115" s="389"/>
      <c r="BX115" s="389"/>
      <c r="BY115" s="386"/>
      <c r="BZ115" s="386"/>
      <c r="CA115" s="386"/>
      <c r="CB115" s="386"/>
      <c r="CC115" s="386"/>
      <c r="CD115" s="386"/>
      <c r="CE115" s="386"/>
      <c r="CF115" s="390"/>
      <c r="CG115" s="390"/>
      <c r="CH115" s="391"/>
      <c r="CI115" s="386"/>
      <c r="CJ115" s="386"/>
      <c r="CK115" s="390"/>
      <c r="CL115" s="390"/>
      <c r="CM115" s="391"/>
      <c r="CN115" s="389"/>
      <c r="CO115" s="389"/>
      <c r="CP115" s="135"/>
      <c r="CQ115" s="135"/>
      <c r="CR115" s="135"/>
      <c r="CS115" s="135"/>
      <c r="CT115" s="135"/>
      <c r="CU115" s="135"/>
    </row>
    <row r="116" spans="1:99">
      <c r="A116" s="342" t="s">
        <v>254</v>
      </c>
      <c r="B116" s="342" t="s">
        <v>253</v>
      </c>
      <c r="C116" s="342" t="s">
        <v>939</v>
      </c>
      <c r="D116" s="157">
        <v>0</v>
      </c>
      <c r="E116" s="157">
        <v>0</v>
      </c>
      <c r="F116" s="157">
        <v>0</v>
      </c>
      <c r="G116" s="157">
        <v>433888.11</v>
      </c>
      <c r="H116" s="157">
        <v>55287.83</v>
      </c>
      <c r="I116" s="157">
        <v>93621.49</v>
      </c>
      <c r="J116" s="157">
        <v>163759.99</v>
      </c>
      <c r="K116" s="157">
        <v>0</v>
      </c>
      <c r="L116" s="157">
        <v>9724.2099999999991</v>
      </c>
      <c r="M116" s="157">
        <v>568735.5</v>
      </c>
      <c r="N116" s="264">
        <v>7.1400000000000005E-2</v>
      </c>
      <c r="O116" s="265">
        <v>0.2225</v>
      </c>
      <c r="P116" s="157">
        <v>0</v>
      </c>
      <c r="Q116" s="396">
        <v>0</v>
      </c>
      <c r="R116" s="396">
        <v>0</v>
      </c>
      <c r="S116" s="397">
        <v>0</v>
      </c>
      <c r="T116" s="397">
        <v>0</v>
      </c>
      <c r="U116" s="397">
        <v>0</v>
      </c>
      <c r="V116" s="157">
        <v>0</v>
      </c>
      <c r="W116" s="397">
        <v>0</v>
      </c>
      <c r="X116" s="397">
        <v>0</v>
      </c>
      <c r="Y116" s="157">
        <v>390.21</v>
      </c>
      <c r="Z116" s="157">
        <v>0</v>
      </c>
      <c r="AA116" s="157">
        <v>0</v>
      </c>
      <c r="AB116" s="157">
        <v>0</v>
      </c>
      <c r="AC116" s="157">
        <v>0</v>
      </c>
      <c r="AD116" s="157">
        <v>0</v>
      </c>
      <c r="AE116" s="157">
        <v>0</v>
      </c>
      <c r="AF116" s="398">
        <f t="shared" si="48"/>
        <v>0</v>
      </c>
      <c r="AG116" s="398">
        <f t="shared" si="49"/>
        <v>0</v>
      </c>
      <c r="AH116" s="399">
        <f t="shared" si="50"/>
        <v>0</v>
      </c>
      <c r="AI116" s="157">
        <v>0</v>
      </c>
      <c r="AJ116" s="157">
        <v>0</v>
      </c>
      <c r="AK116" s="398">
        <f t="shared" si="51"/>
        <v>0</v>
      </c>
      <c r="AL116" s="398">
        <f t="shared" si="52"/>
        <v>0</v>
      </c>
      <c r="AM116" s="399">
        <f t="shared" si="53"/>
        <v>0</v>
      </c>
      <c r="AN116" s="397">
        <v>1137.22</v>
      </c>
      <c r="AO116" s="397">
        <v>0</v>
      </c>
      <c r="AP116" s="46"/>
      <c r="AQ116" s="402">
        <v>5577.2700000000041</v>
      </c>
      <c r="AR116" s="274">
        <v>36971.61</v>
      </c>
      <c r="AS116" s="413">
        <v>20028.96</v>
      </c>
      <c r="AX116" s="2"/>
      <c r="BA116" s="342"/>
      <c r="BB116" s="342"/>
      <c r="BC116" s="342"/>
      <c r="BD116" s="386"/>
      <c r="BE116" s="386"/>
      <c r="BF116" s="386"/>
      <c r="BG116" s="386"/>
      <c r="BH116" s="386"/>
      <c r="BI116" s="386"/>
      <c r="BJ116" s="386"/>
      <c r="BK116" s="386"/>
      <c r="BL116" s="386"/>
      <c r="BM116" s="386"/>
      <c r="BN116" s="387"/>
      <c r="BO116" s="265"/>
      <c r="BP116" s="386"/>
      <c r="BQ116" s="388"/>
      <c r="BR116" s="388"/>
      <c r="BS116" s="389"/>
      <c r="BT116" s="389"/>
      <c r="BU116" s="389"/>
      <c r="BV116" s="386"/>
      <c r="BW116" s="389"/>
      <c r="BX116" s="389"/>
      <c r="BY116" s="386"/>
      <c r="BZ116" s="386"/>
      <c r="CA116" s="386"/>
      <c r="CB116" s="386"/>
      <c r="CC116" s="386"/>
      <c r="CD116" s="386"/>
      <c r="CE116" s="386"/>
      <c r="CF116" s="390"/>
      <c r="CG116" s="390"/>
      <c r="CH116" s="391"/>
      <c r="CI116" s="386"/>
      <c r="CJ116" s="386"/>
      <c r="CK116" s="390"/>
      <c r="CL116" s="390"/>
      <c r="CM116" s="391"/>
      <c r="CN116" s="389"/>
      <c r="CO116" s="389"/>
      <c r="CP116" s="135"/>
      <c r="CQ116" s="135"/>
      <c r="CR116" s="135"/>
      <c r="CS116" s="135"/>
      <c r="CT116" s="135"/>
      <c r="CU116" s="135"/>
    </row>
    <row r="117" spans="1:99">
      <c r="A117" s="342" t="s">
        <v>256</v>
      </c>
      <c r="B117" s="342" t="s">
        <v>255</v>
      </c>
      <c r="C117" s="342" t="s">
        <v>940</v>
      </c>
      <c r="D117" s="157">
        <v>0</v>
      </c>
      <c r="E117" s="157">
        <v>45606.7</v>
      </c>
      <c r="F117" s="157">
        <v>45581.23</v>
      </c>
      <c r="G117" s="157">
        <v>2185702.2999999998</v>
      </c>
      <c r="H117" s="157">
        <v>328706.39</v>
      </c>
      <c r="I117" s="157">
        <v>475348.81</v>
      </c>
      <c r="J117" s="157">
        <v>793144.59</v>
      </c>
      <c r="K117" s="157">
        <v>176515.98</v>
      </c>
      <c r="L117" s="157">
        <v>48207.3</v>
      </c>
      <c r="M117" s="157">
        <v>1146351.1000000001</v>
      </c>
      <c r="N117" s="264">
        <v>4.0500000000000001E-2</v>
      </c>
      <c r="O117" s="265">
        <v>0.2011</v>
      </c>
      <c r="P117" s="157">
        <v>0</v>
      </c>
      <c r="Q117" s="396">
        <v>0</v>
      </c>
      <c r="R117" s="396">
        <v>0</v>
      </c>
      <c r="S117" s="397">
        <v>0</v>
      </c>
      <c r="T117" s="397">
        <v>0</v>
      </c>
      <c r="U117" s="397">
        <v>0</v>
      </c>
      <c r="V117" s="157">
        <v>0</v>
      </c>
      <c r="W117" s="397">
        <v>0</v>
      </c>
      <c r="X117" s="397">
        <v>0</v>
      </c>
      <c r="Y117" s="157">
        <v>0</v>
      </c>
      <c r="Z117" s="157">
        <v>14199.93</v>
      </c>
      <c r="AA117" s="157">
        <v>84124.78</v>
      </c>
      <c r="AB117" s="157">
        <v>115050.06</v>
      </c>
      <c r="AC117" s="157">
        <v>958111.18</v>
      </c>
      <c r="AD117" s="157">
        <v>104.74</v>
      </c>
      <c r="AE117" s="157">
        <v>899752.59</v>
      </c>
      <c r="AF117" s="398">
        <f t="shared" si="48"/>
        <v>8590.3436127553941</v>
      </c>
      <c r="AG117" s="398">
        <f t="shared" si="49"/>
        <v>9147.5193813251863</v>
      </c>
      <c r="AH117" s="399">
        <f t="shared" si="50"/>
        <v>557.17999999999995</v>
      </c>
      <c r="AI117" s="157">
        <v>12.81</v>
      </c>
      <c r="AJ117" s="157">
        <v>106835.94</v>
      </c>
      <c r="AK117" s="398">
        <f t="shared" si="51"/>
        <v>8340.042154566745</v>
      </c>
      <c r="AL117" s="398">
        <f t="shared" si="52"/>
        <v>8981.2693208430901</v>
      </c>
      <c r="AM117" s="399">
        <f t="shared" si="53"/>
        <v>641.23</v>
      </c>
      <c r="AN117" s="397">
        <v>1004.2</v>
      </c>
      <c r="AO117" s="397">
        <v>1120.02</v>
      </c>
      <c r="AP117" s="46"/>
      <c r="AQ117" s="402">
        <v>0</v>
      </c>
      <c r="AR117" s="274">
        <v>165468.27000000002</v>
      </c>
      <c r="AS117" s="413">
        <v>60478.770000000004</v>
      </c>
      <c r="AX117" s="2"/>
      <c r="BA117" s="342"/>
      <c r="BB117" s="342"/>
      <c r="BC117" s="342"/>
      <c r="BD117" s="386"/>
      <c r="BE117" s="386"/>
      <c r="BF117" s="386"/>
      <c r="BG117" s="386"/>
      <c r="BH117" s="386"/>
      <c r="BI117" s="386"/>
      <c r="BJ117" s="386"/>
      <c r="BK117" s="386"/>
      <c r="BL117" s="386"/>
      <c r="BM117" s="386"/>
      <c r="BN117" s="387"/>
      <c r="BO117" s="265"/>
      <c r="BP117" s="386"/>
      <c r="BQ117" s="388"/>
      <c r="BR117" s="388"/>
      <c r="BS117" s="389"/>
      <c r="BT117" s="389"/>
      <c r="BU117" s="389"/>
      <c r="BV117" s="386"/>
      <c r="BW117" s="389"/>
      <c r="BX117" s="389"/>
      <c r="BY117" s="386"/>
      <c r="BZ117" s="386"/>
      <c r="CA117" s="386"/>
      <c r="CB117" s="386"/>
      <c r="CC117" s="386"/>
      <c r="CD117" s="386"/>
      <c r="CE117" s="386"/>
      <c r="CF117" s="390"/>
      <c r="CG117" s="390"/>
      <c r="CH117" s="391"/>
      <c r="CI117" s="386"/>
      <c r="CJ117" s="386"/>
      <c r="CK117" s="390"/>
      <c r="CL117" s="390"/>
      <c r="CM117" s="391"/>
      <c r="CN117" s="389"/>
      <c r="CO117" s="389"/>
      <c r="CP117" s="135"/>
      <c r="CQ117" s="135"/>
      <c r="CR117" s="135"/>
      <c r="CS117" s="135"/>
      <c r="CT117" s="135"/>
      <c r="CU117" s="135"/>
    </row>
    <row r="118" spans="1:99">
      <c r="A118" s="342" t="s">
        <v>941</v>
      </c>
      <c r="B118" s="343" t="s">
        <v>257</v>
      </c>
      <c r="C118" s="343" t="s">
        <v>942</v>
      </c>
      <c r="D118" s="157">
        <v>0</v>
      </c>
      <c r="E118" s="157">
        <v>0</v>
      </c>
      <c r="F118" s="157">
        <v>0</v>
      </c>
      <c r="G118" s="157">
        <v>303582.59999999998</v>
      </c>
      <c r="H118" s="157">
        <v>20407.16</v>
      </c>
      <c r="I118" s="157">
        <v>87024.960000000006</v>
      </c>
      <c r="J118" s="157">
        <v>103720.93</v>
      </c>
      <c r="K118" s="157">
        <v>39833.19</v>
      </c>
      <c r="L118" s="157">
        <v>10749.46</v>
      </c>
      <c r="M118" s="157">
        <v>252828.24</v>
      </c>
      <c r="N118" s="264">
        <v>0.08</v>
      </c>
      <c r="O118" s="265">
        <v>0.1</v>
      </c>
      <c r="P118" s="157">
        <v>0</v>
      </c>
      <c r="Q118" s="396">
        <v>0</v>
      </c>
      <c r="R118" s="396">
        <v>0</v>
      </c>
      <c r="S118" s="397">
        <v>0</v>
      </c>
      <c r="T118" s="397">
        <v>0</v>
      </c>
      <c r="U118" s="397">
        <v>0</v>
      </c>
      <c r="V118" s="157">
        <v>0</v>
      </c>
      <c r="W118" s="397">
        <v>0</v>
      </c>
      <c r="X118" s="397">
        <v>0</v>
      </c>
      <c r="Y118" s="157">
        <v>0</v>
      </c>
      <c r="Z118" s="157">
        <v>0</v>
      </c>
      <c r="AA118" s="157">
        <v>0</v>
      </c>
      <c r="AB118" s="157">
        <v>0</v>
      </c>
      <c r="AC118" s="157">
        <v>0</v>
      </c>
      <c r="AD118" s="157">
        <v>0</v>
      </c>
      <c r="AE118" s="157">
        <v>0</v>
      </c>
      <c r="AF118" s="398">
        <f t="shared" si="48"/>
        <v>0</v>
      </c>
      <c r="AG118" s="398">
        <f t="shared" si="49"/>
        <v>0</v>
      </c>
      <c r="AH118" s="399">
        <f t="shared" si="50"/>
        <v>0</v>
      </c>
      <c r="AI118" s="157">
        <v>0</v>
      </c>
      <c r="AJ118" s="157">
        <v>0</v>
      </c>
      <c r="AK118" s="398">
        <f t="shared" si="51"/>
        <v>0</v>
      </c>
      <c r="AL118" s="398">
        <f t="shared" si="52"/>
        <v>0</v>
      </c>
      <c r="AM118" s="399">
        <f t="shared" si="53"/>
        <v>0</v>
      </c>
      <c r="AN118" s="397">
        <v>0</v>
      </c>
      <c r="AO118" s="397">
        <v>0</v>
      </c>
      <c r="AP118" s="46"/>
      <c r="AQ118" s="402">
        <v>3484.2200000000012</v>
      </c>
      <c r="AR118" s="274">
        <v>45847.979999999996</v>
      </c>
      <c r="AS118" s="413">
        <v>19001.239999999998</v>
      </c>
      <c r="AX118" s="2"/>
      <c r="BA118" s="342"/>
      <c r="BB118" s="342"/>
      <c r="BC118" s="342"/>
      <c r="BD118" s="386"/>
      <c r="BE118" s="386"/>
      <c r="BF118" s="386"/>
      <c r="BG118" s="386"/>
      <c r="BH118" s="386"/>
      <c r="BI118" s="386"/>
      <c r="BJ118" s="386"/>
      <c r="BK118" s="386"/>
      <c r="BL118" s="386"/>
      <c r="BM118" s="386"/>
      <c r="BN118" s="387"/>
      <c r="BO118" s="265"/>
      <c r="BP118" s="386"/>
      <c r="BQ118" s="388"/>
      <c r="BR118" s="388"/>
      <c r="BS118" s="389"/>
      <c r="BT118" s="389"/>
      <c r="BU118" s="389"/>
      <c r="BV118" s="386"/>
      <c r="BW118" s="389"/>
      <c r="BX118" s="389"/>
      <c r="BY118" s="386"/>
      <c r="BZ118" s="386"/>
      <c r="CA118" s="386"/>
      <c r="CB118" s="386"/>
      <c r="CC118" s="386"/>
      <c r="CD118" s="386"/>
      <c r="CE118" s="386"/>
      <c r="CF118" s="390"/>
      <c r="CG118" s="390"/>
      <c r="CH118" s="391"/>
      <c r="CI118" s="386"/>
      <c r="CJ118" s="386"/>
      <c r="CK118" s="390"/>
      <c r="CL118" s="390"/>
      <c r="CM118" s="391"/>
      <c r="CN118" s="389"/>
      <c r="CO118" s="389"/>
      <c r="CP118" s="135"/>
      <c r="CQ118" s="135"/>
      <c r="CR118" s="135"/>
      <c r="CS118" s="135"/>
      <c r="CT118" s="135"/>
      <c r="CU118" s="135"/>
    </row>
    <row r="119" spans="1:99">
      <c r="A119" s="342" t="s">
        <v>260</v>
      </c>
      <c r="B119" s="343" t="s">
        <v>259</v>
      </c>
      <c r="C119" s="343" t="s">
        <v>943</v>
      </c>
      <c r="D119" s="157">
        <v>0</v>
      </c>
      <c r="E119" s="157">
        <v>0</v>
      </c>
      <c r="F119" s="157">
        <v>0</v>
      </c>
      <c r="G119" s="157">
        <v>410113.06</v>
      </c>
      <c r="H119" s="157">
        <v>29706.26</v>
      </c>
      <c r="I119" s="157">
        <v>204514.83</v>
      </c>
      <c r="J119" s="157">
        <v>267414.82</v>
      </c>
      <c r="K119" s="157">
        <v>266031.7</v>
      </c>
      <c r="L119" s="157">
        <v>20487.43</v>
      </c>
      <c r="M119" s="157">
        <v>298354.83</v>
      </c>
      <c r="N119" s="264">
        <v>0.08</v>
      </c>
      <c r="O119" s="265">
        <v>0.1</v>
      </c>
      <c r="P119" s="157">
        <v>0</v>
      </c>
      <c r="Q119" s="396">
        <v>0</v>
      </c>
      <c r="R119" s="396">
        <v>0</v>
      </c>
      <c r="S119" s="397">
        <v>0</v>
      </c>
      <c r="T119" s="397">
        <v>0</v>
      </c>
      <c r="U119" s="397">
        <v>0</v>
      </c>
      <c r="V119" s="157">
        <v>0</v>
      </c>
      <c r="W119" s="397">
        <v>0</v>
      </c>
      <c r="X119" s="397">
        <v>0</v>
      </c>
      <c r="Y119" s="157">
        <v>0</v>
      </c>
      <c r="Z119" s="157">
        <v>0</v>
      </c>
      <c r="AA119" s="157">
        <v>0</v>
      </c>
      <c r="AB119" s="157">
        <v>0</v>
      </c>
      <c r="AC119" s="157">
        <v>0</v>
      </c>
      <c r="AD119" s="157">
        <v>0</v>
      </c>
      <c r="AE119" s="157">
        <v>0</v>
      </c>
      <c r="AF119" s="398">
        <f t="shared" si="48"/>
        <v>0</v>
      </c>
      <c r="AG119" s="398">
        <f t="shared" si="49"/>
        <v>0</v>
      </c>
      <c r="AH119" s="399">
        <f t="shared" si="50"/>
        <v>0</v>
      </c>
      <c r="AI119" s="157">
        <v>0</v>
      </c>
      <c r="AJ119" s="157">
        <v>0</v>
      </c>
      <c r="AK119" s="398">
        <f t="shared" si="51"/>
        <v>0</v>
      </c>
      <c r="AL119" s="398">
        <f t="shared" si="52"/>
        <v>0</v>
      </c>
      <c r="AM119" s="399">
        <f t="shared" si="53"/>
        <v>0</v>
      </c>
      <c r="AN119" s="397">
        <v>0</v>
      </c>
      <c r="AO119" s="397">
        <v>0</v>
      </c>
      <c r="AP119" s="46"/>
      <c r="AQ119" s="402">
        <v>99933.359999999986</v>
      </c>
      <c r="AR119" s="274">
        <v>84652.2</v>
      </c>
      <c r="AS119" s="413">
        <v>28410.79</v>
      </c>
      <c r="AX119" s="2"/>
      <c r="BA119" s="342"/>
      <c r="BB119" s="342"/>
      <c r="BC119" s="342"/>
      <c r="BD119" s="386"/>
      <c r="BE119" s="386"/>
      <c r="BF119" s="386"/>
      <c r="BG119" s="386"/>
      <c r="BH119" s="386"/>
      <c r="BI119" s="386"/>
      <c r="BJ119" s="386"/>
      <c r="BK119" s="386"/>
      <c r="BL119" s="386"/>
      <c r="BM119" s="386"/>
      <c r="BN119" s="387"/>
      <c r="BO119" s="265"/>
      <c r="BP119" s="386"/>
      <c r="BQ119" s="388"/>
      <c r="BR119" s="388"/>
      <c r="BS119" s="389"/>
      <c r="BT119" s="389"/>
      <c r="BU119" s="389"/>
      <c r="BV119" s="386"/>
      <c r="BW119" s="389"/>
      <c r="BX119" s="389"/>
      <c r="BY119" s="386"/>
      <c r="BZ119" s="386"/>
      <c r="CA119" s="386"/>
      <c r="CB119" s="386"/>
      <c r="CC119" s="386"/>
      <c r="CD119" s="386"/>
      <c r="CE119" s="386"/>
      <c r="CF119" s="390"/>
      <c r="CG119" s="390"/>
      <c r="CH119" s="391"/>
      <c r="CI119" s="386"/>
      <c r="CJ119" s="386"/>
      <c r="CK119" s="390"/>
      <c r="CL119" s="390"/>
      <c r="CM119" s="391"/>
      <c r="CN119" s="389"/>
      <c r="CO119" s="389"/>
      <c r="CP119" s="135"/>
      <c r="CQ119" s="135"/>
      <c r="CR119" s="135"/>
      <c r="CS119" s="135"/>
      <c r="CT119" s="135"/>
      <c r="CU119" s="135"/>
    </row>
    <row r="120" spans="1:99">
      <c r="A120" s="342" t="s">
        <v>262</v>
      </c>
      <c r="B120" s="343" t="s">
        <v>261</v>
      </c>
      <c r="C120" s="343" t="s">
        <v>944</v>
      </c>
      <c r="D120" s="157">
        <v>0</v>
      </c>
      <c r="E120" s="157">
        <v>0</v>
      </c>
      <c r="F120" s="157">
        <v>0</v>
      </c>
      <c r="G120" s="157">
        <v>207938.98</v>
      </c>
      <c r="H120" s="157">
        <v>15038.96</v>
      </c>
      <c r="I120" s="157">
        <v>0</v>
      </c>
      <c r="J120" s="157">
        <v>125200.94</v>
      </c>
      <c r="K120" s="157">
        <v>104860.9</v>
      </c>
      <c r="L120" s="157">
        <v>11501.72</v>
      </c>
      <c r="M120" s="157">
        <v>105116.96</v>
      </c>
      <c r="N120" s="264">
        <v>0.08</v>
      </c>
      <c r="O120" s="265">
        <v>0.1</v>
      </c>
      <c r="P120" s="157">
        <v>0</v>
      </c>
      <c r="Q120" s="396">
        <v>0</v>
      </c>
      <c r="R120" s="396">
        <v>0</v>
      </c>
      <c r="S120" s="397">
        <v>0</v>
      </c>
      <c r="T120" s="397">
        <v>0</v>
      </c>
      <c r="U120" s="397">
        <v>0</v>
      </c>
      <c r="V120" s="157">
        <v>0</v>
      </c>
      <c r="W120" s="397">
        <v>0</v>
      </c>
      <c r="X120" s="397">
        <v>0</v>
      </c>
      <c r="Y120" s="157">
        <v>0</v>
      </c>
      <c r="Z120" s="157">
        <v>0</v>
      </c>
      <c r="AA120" s="157">
        <v>0</v>
      </c>
      <c r="AB120" s="157">
        <v>0</v>
      </c>
      <c r="AC120" s="157">
        <v>0</v>
      </c>
      <c r="AD120" s="157">
        <v>0</v>
      </c>
      <c r="AE120" s="157">
        <v>0</v>
      </c>
      <c r="AF120" s="398">
        <f t="shared" si="48"/>
        <v>0</v>
      </c>
      <c r="AG120" s="398">
        <f t="shared" si="49"/>
        <v>0</v>
      </c>
      <c r="AH120" s="399">
        <f t="shared" si="50"/>
        <v>0</v>
      </c>
      <c r="AI120" s="157">
        <v>0</v>
      </c>
      <c r="AJ120" s="157">
        <v>0</v>
      </c>
      <c r="AK120" s="398">
        <f t="shared" si="51"/>
        <v>0</v>
      </c>
      <c r="AL120" s="398">
        <f t="shared" si="52"/>
        <v>0</v>
      </c>
      <c r="AM120" s="399">
        <f t="shared" si="53"/>
        <v>0</v>
      </c>
      <c r="AN120" s="397">
        <v>0</v>
      </c>
      <c r="AO120" s="397">
        <v>0</v>
      </c>
      <c r="AP120" s="46"/>
      <c r="AQ120" s="402">
        <v>18681.699999999997</v>
      </c>
      <c r="AR120" s="274">
        <v>48226.229999999996</v>
      </c>
      <c r="AS120" s="413">
        <v>19688.48</v>
      </c>
      <c r="AX120" s="2"/>
      <c r="BA120" s="342"/>
      <c r="BB120" s="342"/>
      <c r="BC120" s="342"/>
      <c r="BD120" s="386"/>
      <c r="BE120" s="386"/>
      <c r="BF120" s="386"/>
      <c r="BG120" s="386"/>
      <c r="BH120" s="386"/>
      <c r="BI120" s="386"/>
      <c r="BJ120" s="386"/>
      <c r="BK120" s="386"/>
      <c r="BL120" s="386"/>
      <c r="BM120" s="386"/>
      <c r="BN120" s="387"/>
      <c r="BO120" s="265"/>
      <c r="BP120" s="386"/>
      <c r="BQ120" s="388"/>
      <c r="BR120" s="388"/>
      <c r="BS120" s="389"/>
      <c r="BT120" s="389"/>
      <c r="BU120" s="389"/>
      <c r="BV120" s="386"/>
      <c r="BW120" s="389"/>
      <c r="BX120" s="389"/>
      <c r="BY120" s="386"/>
      <c r="BZ120" s="386"/>
      <c r="CA120" s="386"/>
      <c r="CB120" s="386"/>
      <c r="CC120" s="386"/>
      <c r="CD120" s="386"/>
      <c r="CE120" s="386"/>
      <c r="CF120" s="390"/>
      <c r="CG120" s="390"/>
      <c r="CH120" s="391"/>
      <c r="CI120" s="386"/>
      <c r="CJ120" s="386"/>
      <c r="CK120" s="390"/>
      <c r="CL120" s="390"/>
      <c r="CM120" s="391"/>
      <c r="CN120" s="389"/>
      <c r="CO120" s="389"/>
      <c r="CP120" s="135"/>
      <c r="CQ120" s="135"/>
      <c r="CR120" s="135"/>
      <c r="CS120" s="135"/>
      <c r="CT120" s="135"/>
      <c r="CU120" s="135"/>
    </row>
    <row r="121" spans="1:99">
      <c r="A121" s="342" t="s">
        <v>264</v>
      </c>
      <c r="B121" s="342" t="s">
        <v>263</v>
      </c>
      <c r="C121" s="342" t="s">
        <v>945</v>
      </c>
      <c r="D121" s="157">
        <v>0</v>
      </c>
      <c r="E121" s="157">
        <v>0</v>
      </c>
      <c r="F121" s="157">
        <v>0</v>
      </c>
      <c r="G121" s="157">
        <v>256581.92</v>
      </c>
      <c r="H121" s="157">
        <v>35301.25</v>
      </c>
      <c r="I121" s="157">
        <v>66621.25</v>
      </c>
      <c r="J121" s="157">
        <v>119587.21</v>
      </c>
      <c r="K121" s="157">
        <v>0</v>
      </c>
      <c r="L121" s="157">
        <v>5896.6</v>
      </c>
      <c r="M121" s="157">
        <v>0</v>
      </c>
      <c r="N121" s="264">
        <v>9.6600000000000005E-2</v>
      </c>
      <c r="O121" s="265">
        <v>0.3281</v>
      </c>
      <c r="P121" s="157">
        <v>0</v>
      </c>
      <c r="Q121" s="396">
        <v>0</v>
      </c>
      <c r="R121" s="396">
        <v>0</v>
      </c>
      <c r="S121" s="397">
        <v>0</v>
      </c>
      <c r="T121" s="397">
        <v>0</v>
      </c>
      <c r="U121" s="397">
        <v>0</v>
      </c>
      <c r="V121" s="157">
        <v>0</v>
      </c>
      <c r="W121" s="397">
        <v>0</v>
      </c>
      <c r="X121" s="397">
        <v>0</v>
      </c>
      <c r="Y121" s="157">
        <v>0</v>
      </c>
      <c r="Z121" s="157">
        <v>0</v>
      </c>
      <c r="AA121" s="157">
        <v>0</v>
      </c>
      <c r="AB121" s="157">
        <v>0</v>
      </c>
      <c r="AC121" s="157">
        <v>5069.13</v>
      </c>
      <c r="AD121" s="157">
        <v>0</v>
      </c>
      <c r="AE121" s="157">
        <v>0</v>
      </c>
      <c r="AF121" s="398">
        <f t="shared" si="48"/>
        <v>0</v>
      </c>
      <c r="AG121" s="398">
        <f t="shared" si="49"/>
        <v>0</v>
      </c>
      <c r="AH121" s="399">
        <f t="shared" si="50"/>
        <v>0</v>
      </c>
      <c r="AI121" s="157">
        <v>0</v>
      </c>
      <c r="AJ121" s="157">
        <v>0</v>
      </c>
      <c r="AK121" s="398">
        <f t="shared" si="51"/>
        <v>0</v>
      </c>
      <c r="AL121" s="398">
        <f t="shared" si="52"/>
        <v>0</v>
      </c>
      <c r="AM121" s="399">
        <f t="shared" si="53"/>
        <v>0</v>
      </c>
      <c r="AN121" s="397">
        <v>1506.17</v>
      </c>
      <c r="AO121" s="397">
        <v>0</v>
      </c>
      <c r="AP121" s="46"/>
      <c r="AQ121" s="402">
        <v>12993.740000000002</v>
      </c>
      <c r="AR121" s="274">
        <v>30549.58</v>
      </c>
      <c r="AS121" s="413">
        <v>16531.62</v>
      </c>
      <c r="AX121" s="2"/>
      <c r="BA121" s="342"/>
      <c r="BB121" s="342"/>
      <c r="BC121" s="342"/>
      <c r="BD121" s="386"/>
      <c r="BE121" s="386"/>
      <c r="BF121" s="386"/>
      <c r="BG121" s="386"/>
      <c r="BH121" s="386"/>
      <c r="BI121" s="386"/>
      <c r="BJ121" s="386"/>
      <c r="BK121" s="386"/>
      <c r="BL121" s="386"/>
      <c r="BM121" s="386"/>
      <c r="BN121" s="387"/>
      <c r="BO121" s="265"/>
      <c r="BP121" s="386"/>
      <c r="BQ121" s="388"/>
      <c r="BR121" s="388"/>
      <c r="BS121" s="389"/>
      <c r="BT121" s="389"/>
      <c r="BU121" s="389"/>
      <c r="BV121" s="386"/>
      <c r="BW121" s="389"/>
      <c r="BX121" s="389"/>
      <c r="BY121" s="386"/>
      <c r="BZ121" s="386"/>
      <c r="CA121" s="386"/>
      <c r="CB121" s="386"/>
      <c r="CC121" s="386"/>
      <c r="CD121" s="386"/>
      <c r="CE121" s="386"/>
      <c r="CF121" s="390"/>
      <c r="CG121" s="390"/>
      <c r="CH121" s="391"/>
      <c r="CI121" s="386"/>
      <c r="CJ121" s="386"/>
      <c r="CK121" s="390"/>
      <c r="CL121" s="390"/>
      <c r="CM121" s="391"/>
      <c r="CN121" s="389"/>
      <c r="CO121" s="389"/>
      <c r="CP121" s="135"/>
      <c r="CQ121" s="135"/>
      <c r="CR121" s="135"/>
      <c r="CS121" s="135"/>
      <c r="CT121" s="135"/>
      <c r="CU121" s="135"/>
    </row>
    <row r="122" spans="1:99">
      <c r="A122" s="342" t="s">
        <v>266</v>
      </c>
      <c r="B122" s="342" t="s">
        <v>265</v>
      </c>
      <c r="C122" s="342" t="s">
        <v>946</v>
      </c>
      <c r="D122" s="157">
        <v>0</v>
      </c>
      <c r="E122" s="157">
        <v>0</v>
      </c>
      <c r="F122" s="157">
        <v>0</v>
      </c>
      <c r="G122" s="157">
        <v>27380.31</v>
      </c>
      <c r="H122" s="157">
        <v>3882.71</v>
      </c>
      <c r="I122" s="157">
        <v>0</v>
      </c>
      <c r="J122" s="157">
        <v>9034.1299999999992</v>
      </c>
      <c r="K122" s="157">
        <v>0</v>
      </c>
      <c r="L122" s="157">
        <v>0</v>
      </c>
      <c r="M122" s="157">
        <v>131266.28</v>
      </c>
      <c r="N122" s="264">
        <v>0.26629999999999998</v>
      </c>
      <c r="O122" s="265">
        <v>0.56259999999999999</v>
      </c>
      <c r="P122" s="157">
        <v>0</v>
      </c>
      <c r="Q122" s="396">
        <v>0</v>
      </c>
      <c r="R122" s="396">
        <v>0</v>
      </c>
      <c r="S122" s="397">
        <v>0</v>
      </c>
      <c r="T122" s="397">
        <v>0</v>
      </c>
      <c r="U122" s="397">
        <v>0</v>
      </c>
      <c r="V122" s="157">
        <v>0</v>
      </c>
      <c r="W122" s="397">
        <v>0</v>
      </c>
      <c r="X122" s="397">
        <v>0</v>
      </c>
      <c r="Y122" s="157">
        <v>23.68</v>
      </c>
      <c r="Z122" s="157">
        <v>0</v>
      </c>
      <c r="AA122" s="157">
        <v>0</v>
      </c>
      <c r="AB122" s="157">
        <v>0</v>
      </c>
      <c r="AC122" s="157">
        <v>0</v>
      </c>
      <c r="AD122" s="157">
        <v>0</v>
      </c>
      <c r="AE122" s="157">
        <v>0</v>
      </c>
      <c r="AF122" s="398">
        <f t="shared" si="48"/>
        <v>0</v>
      </c>
      <c r="AG122" s="398">
        <f t="shared" si="49"/>
        <v>0</v>
      </c>
      <c r="AH122" s="399">
        <f t="shared" si="50"/>
        <v>0</v>
      </c>
      <c r="AI122" s="157">
        <v>0</v>
      </c>
      <c r="AJ122" s="157">
        <v>0</v>
      </c>
      <c r="AK122" s="398">
        <f t="shared" si="51"/>
        <v>0</v>
      </c>
      <c r="AL122" s="398">
        <f t="shared" si="52"/>
        <v>0</v>
      </c>
      <c r="AM122" s="399">
        <f t="shared" si="53"/>
        <v>0</v>
      </c>
      <c r="AN122" s="397">
        <v>0</v>
      </c>
      <c r="AO122" s="397">
        <v>0</v>
      </c>
      <c r="AP122" s="46"/>
      <c r="AQ122" s="402">
        <v>9.0949470177292824E-13</v>
      </c>
      <c r="AR122" s="274">
        <v>5499.09</v>
      </c>
      <c r="AS122" s="413">
        <v>10657.550000000001</v>
      </c>
      <c r="AX122" s="2"/>
      <c r="BA122" s="342"/>
      <c r="BB122" s="342"/>
      <c r="BC122" s="342"/>
      <c r="BD122" s="386"/>
      <c r="BE122" s="386"/>
      <c r="BF122" s="386"/>
      <c r="BG122" s="386"/>
      <c r="BH122" s="386"/>
      <c r="BI122" s="386"/>
      <c r="BJ122" s="386"/>
      <c r="BK122" s="386"/>
      <c r="BL122" s="386"/>
      <c r="BM122" s="386"/>
      <c r="BN122" s="387"/>
      <c r="BO122" s="265"/>
      <c r="BP122" s="386"/>
      <c r="BQ122" s="388"/>
      <c r="BR122" s="388"/>
      <c r="BS122" s="389"/>
      <c r="BT122" s="389"/>
      <c r="BU122" s="389"/>
      <c r="BV122" s="386"/>
      <c r="BW122" s="389"/>
      <c r="BX122" s="389"/>
      <c r="BY122" s="386"/>
      <c r="BZ122" s="386"/>
      <c r="CA122" s="386"/>
      <c r="CB122" s="386"/>
      <c r="CC122" s="386"/>
      <c r="CD122" s="386"/>
      <c r="CE122" s="386"/>
      <c r="CF122" s="390"/>
      <c r="CG122" s="390"/>
      <c r="CH122" s="391"/>
      <c r="CI122" s="386"/>
      <c r="CJ122" s="386"/>
      <c r="CK122" s="390"/>
      <c r="CL122" s="390"/>
      <c r="CM122" s="391"/>
      <c r="CN122" s="389"/>
      <c r="CO122" s="389"/>
      <c r="CP122" s="135"/>
      <c r="CQ122" s="135"/>
      <c r="CR122" s="135"/>
      <c r="CS122" s="135"/>
      <c r="CT122" s="135"/>
      <c r="CU122" s="135"/>
    </row>
    <row r="123" spans="1:99">
      <c r="A123" s="342" t="s">
        <v>268</v>
      </c>
      <c r="B123" s="342" t="s">
        <v>267</v>
      </c>
      <c r="C123" s="342" t="s">
        <v>947</v>
      </c>
      <c r="D123" s="157">
        <v>0</v>
      </c>
      <c r="E123" s="157">
        <v>0</v>
      </c>
      <c r="F123" s="157">
        <v>0</v>
      </c>
      <c r="G123" s="157">
        <v>24717168.059999999</v>
      </c>
      <c r="H123" s="157">
        <v>3749195.63</v>
      </c>
      <c r="I123" s="157">
        <v>0</v>
      </c>
      <c r="J123" s="157">
        <v>1493545.3</v>
      </c>
      <c r="K123" s="157">
        <v>2834183.83</v>
      </c>
      <c r="L123" s="157">
        <v>663025.81999999995</v>
      </c>
      <c r="M123" s="157">
        <v>12569307.98</v>
      </c>
      <c r="N123" s="264">
        <v>2.8899999999999999E-2</v>
      </c>
      <c r="O123" s="265">
        <v>0.12770000000000001</v>
      </c>
      <c r="P123" s="157">
        <v>0</v>
      </c>
      <c r="Q123" s="396">
        <v>0</v>
      </c>
      <c r="R123" s="396">
        <v>0</v>
      </c>
      <c r="S123" s="397">
        <v>2038044.8399999999</v>
      </c>
      <c r="T123" s="397">
        <v>115178.27000000031</v>
      </c>
      <c r="U123" s="397">
        <v>63205.5</v>
      </c>
      <c r="V123" s="157">
        <v>0</v>
      </c>
      <c r="W123" s="397">
        <v>0</v>
      </c>
      <c r="X123" s="397">
        <v>0</v>
      </c>
      <c r="Y123" s="157">
        <v>16998.78</v>
      </c>
      <c r="Z123" s="157">
        <v>0</v>
      </c>
      <c r="AA123" s="157">
        <v>22099.279999999999</v>
      </c>
      <c r="AB123" s="157">
        <v>826614.07</v>
      </c>
      <c r="AC123" s="157">
        <v>11150630.449999999</v>
      </c>
      <c r="AD123" s="157">
        <v>1023.23</v>
      </c>
      <c r="AE123" s="157">
        <v>9890857.9700000007</v>
      </c>
      <c r="AF123" s="398">
        <f t="shared" si="48"/>
        <v>9666.3095980375874</v>
      </c>
      <c r="AG123" s="398">
        <f t="shared" si="49"/>
        <v>10897.48194443087</v>
      </c>
      <c r="AH123" s="399">
        <f t="shared" si="50"/>
        <v>1231.17</v>
      </c>
      <c r="AI123" s="157">
        <v>81.66</v>
      </c>
      <c r="AJ123" s="157">
        <v>767995.61</v>
      </c>
      <c r="AK123" s="398">
        <f t="shared" si="51"/>
        <v>9404.795615968651</v>
      </c>
      <c r="AL123" s="398">
        <f t="shared" si="52"/>
        <v>10122.631276022532</v>
      </c>
      <c r="AM123" s="399">
        <f t="shared" si="53"/>
        <v>717.84</v>
      </c>
      <c r="AN123" s="397">
        <v>27274.33</v>
      </c>
      <c r="AO123" s="397">
        <v>0</v>
      </c>
      <c r="AP123" s="46"/>
      <c r="AQ123" s="402">
        <v>423282.28000000073</v>
      </c>
      <c r="AR123" s="274">
        <v>2064749.8000000003</v>
      </c>
      <c r="AS123" s="413">
        <v>603853.73</v>
      </c>
      <c r="AX123" s="2"/>
      <c r="BA123" s="342"/>
      <c r="BB123" s="342"/>
      <c r="BC123" s="342"/>
      <c r="BD123" s="386"/>
      <c r="BE123" s="386"/>
      <c r="BF123" s="386"/>
      <c r="BG123" s="386"/>
      <c r="BH123" s="386"/>
      <c r="BI123" s="386"/>
      <c r="BJ123" s="386"/>
      <c r="BK123" s="386"/>
      <c r="BL123" s="386"/>
      <c r="BM123" s="386"/>
      <c r="BN123" s="387"/>
      <c r="BO123" s="265"/>
      <c r="BP123" s="386"/>
      <c r="BQ123" s="388"/>
      <c r="BR123" s="388"/>
      <c r="BS123" s="389"/>
      <c r="BT123" s="389"/>
      <c r="BU123" s="389"/>
      <c r="BV123" s="386"/>
      <c r="BW123" s="389"/>
      <c r="BX123" s="389"/>
      <c r="BY123" s="386"/>
      <c r="BZ123" s="386"/>
      <c r="CA123" s="386"/>
      <c r="CB123" s="386"/>
      <c r="CC123" s="386"/>
      <c r="CD123" s="386"/>
      <c r="CE123" s="386"/>
      <c r="CF123" s="390"/>
      <c r="CG123" s="390"/>
      <c r="CH123" s="391"/>
      <c r="CI123" s="386"/>
      <c r="CJ123" s="386"/>
      <c r="CK123" s="390"/>
      <c r="CL123" s="390"/>
      <c r="CM123" s="391"/>
      <c r="CN123" s="389"/>
      <c r="CO123" s="389"/>
      <c r="CP123" s="135"/>
      <c r="CQ123" s="135"/>
      <c r="CR123" s="135"/>
      <c r="CS123" s="135"/>
      <c r="CT123" s="135"/>
      <c r="CU123" s="135"/>
    </row>
    <row r="124" spans="1:99">
      <c r="A124" s="342" t="s">
        <v>270</v>
      </c>
      <c r="B124" s="342" t="s">
        <v>269</v>
      </c>
      <c r="C124" s="342" t="s">
        <v>948</v>
      </c>
      <c r="D124" s="157">
        <v>0</v>
      </c>
      <c r="E124" s="157">
        <v>0</v>
      </c>
      <c r="F124" s="157">
        <v>0</v>
      </c>
      <c r="G124" s="157">
        <v>0</v>
      </c>
      <c r="H124" s="157">
        <v>0</v>
      </c>
      <c r="I124" s="157">
        <v>12848.08</v>
      </c>
      <c r="J124" s="157">
        <v>19165.07</v>
      </c>
      <c r="K124" s="157">
        <v>0</v>
      </c>
      <c r="L124" s="157">
        <v>0</v>
      </c>
      <c r="M124" s="157">
        <v>88663.07</v>
      </c>
      <c r="N124" s="264">
        <v>6.7400000000000002E-2</v>
      </c>
      <c r="O124" s="265">
        <v>0.51029999999999998</v>
      </c>
      <c r="P124" s="157">
        <v>0</v>
      </c>
      <c r="Q124" s="396">
        <v>0</v>
      </c>
      <c r="R124" s="396">
        <v>0</v>
      </c>
      <c r="S124" s="397">
        <v>0</v>
      </c>
      <c r="T124" s="397">
        <v>0</v>
      </c>
      <c r="U124" s="397">
        <v>0</v>
      </c>
      <c r="V124" s="157">
        <v>0</v>
      </c>
      <c r="W124" s="397">
        <v>0</v>
      </c>
      <c r="X124" s="397">
        <v>0</v>
      </c>
      <c r="Y124" s="157">
        <v>0</v>
      </c>
      <c r="Z124" s="157">
        <v>0</v>
      </c>
      <c r="AA124" s="157">
        <v>0</v>
      </c>
      <c r="AB124" s="157">
        <v>2142.86</v>
      </c>
      <c r="AC124" s="157">
        <v>28568.18</v>
      </c>
      <c r="AD124" s="157">
        <v>3.13</v>
      </c>
      <c r="AE124" s="157">
        <v>27465.47</v>
      </c>
      <c r="AF124" s="398">
        <f t="shared" si="48"/>
        <v>8774.9105431309908</v>
      </c>
      <c r="AG124" s="398">
        <f t="shared" si="49"/>
        <v>9127.2140575079884</v>
      </c>
      <c r="AH124" s="399">
        <f t="shared" si="50"/>
        <v>352.3</v>
      </c>
      <c r="AI124" s="157">
        <v>0.23</v>
      </c>
      <c r="AJ124" s="157">
        <v>1986.5</v>
      </c>
      <c r="AK124" s="398">
        <f t="shared" si="51"/>
        <v>8636.95652173913</v>
      </c>
      <c r="AL124" s="398">
        <f t="shared" si="52"/>
        <v>9316.782608695652</v>
      </c>
      <c r="AM124" s="399">
        <f t="shared" si="53"/>
        <v>679.83</v>
      </c>
      <c r="AN124" s="397">
        <v>29.55</v>
      </c>
      <c r="AO124" s="397">
        <v>27.01</v>
      </c>
      <c r="AP124" s="46"/>
      <c r="AQ124" s="402">
        <v>5412.0499999999993</v>
      </c>
      <c r="AR124" s="274">
        <v>19860.97</v>
      </c>
      <c r="AS124" s="413">
        <v>12137.130000000001</v>
      </c>
      <c r="AX124" s="2"/>
      <c r="BA124" s="342"/>
      <c r="BB124" s="342"/>
      <c r="BC124" s="342"/>
      <c r="BD124" s="386"/>
      <c r="BE124" s="386"/>
      <c r="BF124" s="386"/>
      <c r="BG124" s="386"/>
      <c r="BH124" s="386"/>
      <c r="BI124" s="386"/>
      <c r="BJ124" s="386"/>
      <c r="BK124" s="386"/>
      <c r="BL124" s="386"/>
      <c r="BM124" s="386"/>
      <c r="BN124" s="387"/>
      <c r="BO124" s="265"/>
      <c r="BP124" s="386"/>
      <c r="BQ124" s="388"/>
      <c r="BR124" s="388"/>
      <c r="BS124" s="389"/>
      <c r="BT124" s="389"/>
      <c r="BU124" s="389"/>
      <c r="BV124" s="386"/>
      <c r="BW124" s="389"/>
      <c r="BX124" s="389"/>
      <c r="BY124" s="386"/>
      <c r="BZ124" s="386"/>
      <c r="CA124" s="386"/>
      <c r="CB124" s="386"/>
      <c r="CC124" s="386"/>
      <c r="CD124" s="386"/>
      <c r="CE124" s="386"/>
      <c r="CF124" s="390"/>
      <c r="CG124" s="390"/>
      <c r="CH124" s="391"/>
      <c r="CI124" s="386"/>
      <c r="CJ124" s="386"/>
      <c r="CK124" s="390"/>
      <c r="CL124" s="390"/>
      <c r="CM124" s="391"/>
      <c r="CN124" s="389"/>
      <c r="CO124" s="389"/>
      <c r="CP124" s="135"/>
      <c r="CQ124" s="135"/>
      <c r="CR124" s="135"/>
      <c r="CS124" s="135"/>
      <c r="CT124" s="135"/>
      <c r="CU124" s="135"/>
    </row>
    <row r="125" spans="1:99">
      <c r="A125" s="342" t="s">
        <v>272</v>
      </c>
      <c r="B125" s="342" t="s">
        <v>271</v>
      </c>
      <c r="C125" s="342" t="s">
        <v>949</v>
      </c>
      <c r="D125" s="157">
        <v>0</v>
      </c>
      <c r="E125" s="157">
        <v>20183.32</v>
      </c>
      <c r="F125" s="157">
        <v>0</v>
      </c>
      <c r="G125" s="157">
        <v>0</v>
      </c>
      <c r="H125" s="157">
        <v>0</v>
      </c>
      <c r="I125" s="157">
        <v>0</v>
      </c>
      <c r="J125" s="157">
        <v>210519</v>
      </c>
      <c r="K125" s="157">
        <v>0</v>
      </c>
      <c r="L125" s="157">
        <v>34241.67</v>
      </c>
      <c r="M125" s="157">
        <v>0</v>
      </c>
      <c r="N125" s="264">
        <v>3.6600000000000001E-2</v>
      </c>
      <c r="O125" s="265">
        <v>0.20050000000000001</v>
      </c>
      <c r="P125" s="157">
        <v>0</v>
      </c>
      <c r="Q125" s="396">
        <v>0</v>
      </c>
      <c r="R125" s="396">
        <v>0</v>
      </c>
      <c r="S125" s="397">
        <v>0</v>
      </c>
      <c r="T125" s="397">
        <v>0</v>
      </c>
      <c r="U125" s="397">
        <v>0</v>
      </c>
      <c r="V125" s="157">
        <v>0</v>
      </c>
      <c r="W125" s="397">
        <v>0</v>
      </c>
      <c r="X125" s="397">
        <v>0</v>
      </c>
      <c r="Y125" s="157">
        <v>1308.21</v>
      </c>
      <c r="Z125" s="157">
        <v>14675.85</v>
      </c>
      <c r="AA125" s="157">
        <v>2796.09</v>
      </c>
      <c r="AB125" s="157">
        <v>146995.85999999999</v>
      </c>
      <c r="AC125" s="157">
        <v>358683.58</v>
      </c>
      <c r="AD125" s="157">
        <v>38.049999999999997</v>
      </c>
      <c r="AE125" s="157">
        <v>326822.18</v>
      </c>
      <c r="AF125" s="398">
        <f t="shared" si="48"/>
        <v>8589.2819973718797</v>
      </c>
      <c r="AG125" s="398">
        <f t="shared" si="49"/>
        <v>9426.6381077529586</v>
      </c>
      <c r="AH125" s="399">
        <f t="shared" si="50"/>
        <v>837.36</v>
      </c>
      <c r="AI125" s="157">
        <v>16.37</v>
      </c>
      <c r="AJ125" s="157">
        <v>136359.71</v>
      </c>
      <c r="AK125" s="398">
        <f t="shared" si="51"/>
        <v>8329.8540012217454</v>
      </c>
      <c r="AL125" s="398">
        <f t="shared" si="52"/>
        <v>8979.5882712278544</v>
      </c>
      <c r="AM125" s="399">
        <f t="shared" si="53"/>
        <v>649.73</v>
      </c>
      <c r="AN125" s="397">
        <v>0</v>
      </c>
      <c r="AO125" s="397">
        <v>0</v>
      </c>
      <c r="AP125" s="46"/>
      <c r="AQ125" s="402">
        <v>111716.03</v>
      </c>
      <c r="AR125" s="274">
        <v>93551.75</v>
      </c>
      <c r="AS125" s="413">
        <v>44939.979999999996</v>
      </c>
      <c r="AX125" s="2"/>
      <c r="BA125" s="342"/>
      <c r="BB125" s="342"/>
      <c r="BC125" s="342"/>
      <c r="BD125" s="386"/>
      <c r="BE125" s="386"/>
      <c r="BF125" s="386"/>
      <c r="BG125" s="386"/>
      <c r="BH125" s="386"/>
      <c r="BI125" s="386"/>
      <c r="BJ125" s="386"/>
      <c r="BK125" s="386"/>
      <c r="BL125" s="386"/>
      <c r="BM125" s="386"/>
      <c r="BN125" s="387"/>
      <c r="BO125" s="265"/>
      <c r="BP125" s="386"/>
      <c r="BQ125" s="388"/>
      <c r="BR125" s="388"/>
      <c r="BS125" s="389"/>
      <c r="BT125" s="389"/>
      <c r="BU125" s="389"/>
      <c r="BV125" s="386"/>
      <c r="BW125" s="389"/>
      <c r="BX125" s="389"/>
      <c r="BY125" s="386"/>
      <c r="BZ125" s="386"/>
      <c r="CA125" s="386"/>
      <c r="CB125" s="386"/>
      <c r="CC125" s="386"/>
      <c r="CD125" s="386"/>
      <c r="CE125" s="386"/>
      <c r="CF125" s="390"/>
      <c r="CG125" s="390"/>
      <c r="CH125" s="391"/>
      <c r="CI125" s="386"/>
      <c r="CJ125" s="386"/>
      <c r="CK125" s="390"/>
      <c r="CL125" s="390"/>
      <c r="CM125" s="391"/>
      <c r="CN125" s="389"/>
      <c r="CO125" s="389"/>
      <c r="CP125" s="135"/>
      <c r="CQ125" s="135"/>
      <c r="CR125" s="135"/>
      <c r="CS125" s="135"/>
      <c r="CT125" s="135"/>
      <c r="CU125" s="135"/>
    </row>
    <row r="126" spans="1:99">
      <c r="A126" s="342" t="s">
        <v>274</v>
      </c>
      <c r="B126" s="342" t="s">
        <v>273</v>
      </c>
      <c r="C126" s="342" t="s">
        <v>950</v>
      </c>
      <c r="D126" s="157">
        <v>0</v>
      </c>
      <c r="E126" s="157">
        <v>0</v>
      </c>
      <c r="F126" s="157">
        <v>0</v>
      </c>
      <c r="G126" s="157">
        <v>57355.15</v>
      </c>
      <c r="H126" s="157">
        <v>3043.78</v>
      </c>
      <c r="I126" s="157">
        <v>10344.9</v>
      </c>
      <c r="J126" s="157">
        <v>21207.07</v>
      </c>
      <c r="K126" s="157">
        <v>0</v>
      </c>
      <c r="L126" s="157">
        <v>1034.49</v>
      </c>
      <c r="M126" s="157">
        <v>154452.26999999999</v>
      </c>
      <c r="N126" s="264">
        <v>2.4299999999999999E-2</v>
      </c>
      <c r="O126" s="265">
        <v>0.25609999999999999</v>
      </c>
      <c r="P126" s="157">
        <v>0</v>
      </c>
      <c r="Q126" s="396">
        <v>0</v>
      </c>
      <c r="R126" s="396">
        <v>0</v>
      </c>
      <c r="S126" s="397">
        <v>0</v>
      </c>
      <c r="T126" s="397">
        <v>0</v>
      </c>
      <c r="U126" s="397">
        <v>0</v>
      </c>
      <c r="V126" s="157">
        <v>0</v>
      </c>
      <c r="W126" s="397">
        <v>0</v>
      </c>
      <c r="X126" s="397">
        <v>0</v>
      </c>
      <c r="Y126" s="157">
        <v>0</v>
      </c>
      <c r="Z126" s="157">
        <v>0</v>
      </c>
      <c r="AA126" s="157">
        <v>0</v>
      </c>
      <c r="AB126" s="157">
        <v>0</v>
      </c>
      <c r="AC126" s="157">
        <v>0</v>
      </c>
      <c r="AD126" s="157">
        <v>0</v>
      </c>
      <c r="AE126" s="157">
        <v>0</v>
      </c>
      <c r="AF126" s="398">
        <f t="shared" si="48"/>
        <v>0</v>
      </c>
      <c r="AG126" s="398">
        <f t="shared" si="49"/>
        <v>0</v>
      </c>
      <c r="AH126" s="399">
        <f t="shared" si="50"/>
        <v>0</v>
      </c>
      <c r="AI126" s="157">
        <v>0</v>
      </c>
      <c r="AJ126" s="157">
        <v>0</v>
      </c>
      <c r="AK126" s="398">
        <f t="shared" si="51"/>
        <v>0</v>
      </c>
      <c r="AL126" s="398">
        <f t="shared" si="52"/>
        <v>0</v>
      </c>
      <c r="AM126" s="399">
        <f t="shared" si="53"/>
        <v>0</v>
      </c>
      <c r="AN126" s="397">
        <v>230.99</v>
      </c>
      <c r="AO126" s="397">
        <v>0</v>
      </c>
      <c r="AP126" s="46"/>
      <c r="AQ126" s="402">
        <v>5316.08</v>
      </c>
      <c r="AR126" s="274">
        <v>5134.91</v>
      </c>
      <c r="AS126" s="413">
        <v>11020.99</v>
      </c>
      <c r="AX126" s="2"/>
      <c r="BA126" s="342"/>
      <c r="BB126" s="342"/>
      <c r="BC126" s="342"/>
      <c r="BD126" s="386"/>
      <c r="BE126" s="386"/>
      <c r="BF126" s="386"/>
      <c r="BG126" s="386"/>
      <c r="BH126" s="386"/>
      <c r="BI126" s="386"/>
      <c r="BJ126" s="386"/>
      <c r="BK126" s="386"/>
      <c r="BL126" s="386"/>
      <c r="BM126" s="386"/>
      <c r="BN126" s="387"/>
      <c r="BO126" s="265"/>
      <c r="BP126" s="386"/>
      <c r="BQ126" s="388"/>
      <c r="BR126" s="388"/>
      <c r="BS126" s="389"/>
      <c r="BT126" s="389"/>
      <c r="BU126" s="389"/>
      <c r="BV126" s="386"/>
      <c r="BW126" s="389"/>
      <c r="BX126" s="389"/>
      <c r="BY126" s="386"/>
      <c r="BZ126" s="386"/>
      <c r="CA126" s="386"/>
      <c r="CB126" s="386"/>
      <c r="CC126" s="386"/>
      <c r="CD126" s="386"/>
      <c r="CE126" s="386"/>
      <c r="CF126" s="390"/>
      <c r="CG126" s="390"/>
      <c r="CH126" s="391"/>
      <c r="CI126" s="386"/>
      <c r="CJ126" s="386"/>
      <c r="CK126" s="390"/>
      <c r="CL126" s="390"/>
      <c r="CM126" s="391"/>
      <c r="CN126" s="389"/>
      <c r="CO126" s="389"/>
      <c r="CP126" s="135"/>
      <c r="CQ126" s="135"/>
      <c r="CR126" s="135"/>
      <c r="CS126" s="135"/>
      <c r="CT126" s="135"/>
      <c r="CU126" s="135"/>
    </row>
    <row r="127" spans="1:99">
      <c r="A127" s="342" t="s">
        <v>276</v>
      </c>
      <c r="B127" s="342" t="s">
        <v>275</v>
      </c>
      <c r="C127" s="342" t="s">
        <v>951</v>
      </c>
      <c r="D127" s="157">
        <v>0</v>
      </c>
      <c r="E127" s="157">
        <v>179067</v>
      </c>
      <c r="F127" s="157">
        <v>49440.51</v>
      </c>
      <c r="G127" s="157">
        <v>7674268.6799999997</v>
      </c>
      <c r="H127" s="157">
        <v>1747894.31</v>
      </c>
      <c r="I127" s="157">
        <v>1381459.86</v>
      </c>
      <c r="J127" s="157">
        <v>1954775.01</v>
      </c>
      <c r="K127" s="157">
        <v>546093.13</v>
      </c>
      <c r="L127" s="157">
        <v>148346.07</v>
      </c>
      <c r="M127" s="157">
        <v>2787443.53</v>
      </c>
      <c r="N127" s="264">
        <v>5.2900000000000003E-2</v>
      </c>
      <c r="O127" s="265">
        <v>0.16020000000000001</v>
      </c>
      <c r="P127" s="157">
        <v>0</v>
      </c>
      <c r="Q127" s="396">
        <v>0</v>
      </c>
      <c r="R127" s="396">
        <v>0</v>
      </c>
      <c r="S127" s="397">
        <v>0</v>
      </c>
      <c r="T127" s="397">
        <v>0</v>
      </c>
      <c r="U127" s="397">
        <v>0</v>
      </c>
      <c r="V127" s="157">
        <v>0</v>
      </c>
      <c r="W127" s="397">
        <v>0</v>
      </c>
      <c r="X127" s="397">
        <v>0</v>
      </c>
      <c r="Y127" s="157">
        <v>4701.6499999999996</v>
      </c>
      <c r="Z127" s="157">
        <v>42053.78</v>
      </c>
      <c r="AA127" s="157">
        <v>184515.97</v>
      </c>
      <c r="AB127" s="157">
        <v>496634.08</v>
      </c>
      <c r="AC127" s="157">
        <v>3290509.83</v>
      </c>
      <c r="AD127" s="157">
        <v>358.16</v>
      </c>
      <c r="AE127" s="157">
        <v>3076543.76</v>
      </c>
      <c r="AF127" s="398">
        <f t="shared" si="48"/>
        <v>8589.8586106767907</v>
      </c>
      <c r="AG127" s="398">
        <f t="shared" si="49"/>
        <v>9187.2622012508364</v>
      </c>
      <c r="AH127" s="399">
        <f t="shared" si="50"/>
        <v>597.4</v>
      </c>
      <c r="AI127" s="157">
        <v>55.33</v>
      </c>
      <c r="AJ127" s="157">
        <v>461174.57</v>
      </c>
      <c r="AK127" s="398">
        <f t="shared" si="51"/>
        <v>8334.9822880896445</v>
      </c>
      <c r="AL127" s="398">
        <f t="shared" si="52"/>
        <v>8975.8554129766853</v>
      </c>
      <c r="AM127" s="399">
        <f t="shared" si="53"/>
        <v>640.87</v>
      </c>
      <c r="AN127" s="397">
        <v>0</v>
      </c>
      <c r="AO127" s="397">
        <v>0</v>
      </c>
      <c r="AP127" s="46"/>
      <c r="AQ127" s="402">
        <v>345037.64</v>
      </c>
      <c r="AR127" s="274">
        <v>511771.32999999996</v>
      </c>
      <c r="AS127" s="413">
        <v>153856.87</v>
      </c>
      <c r="AX127" s="2"/>
      <c r="BA127" s="342"/>
      <c r="BB127" s="342"/>
      <c r="BC127" s="342"/>
      <c r="BD127" s="386"/>
      <c r="BE127" s="386"/>
      <c r="BF127" s="386"/>
      <c r="BG127" s="386"/>
      <c r="BH127" s="386"/>
      <c r="BI127" s="386"/>
      <c r="BJ127" s="386"/>
      <c r="BK127" s="386"/>
      <c r="BL127" s="386"/>
      <c r="BM127" s="386"/>
      <c r="BN127" s="387"/>
      <c r="BO127" s="265"/>
      <c r="BP127" s="386"/>
      <c r="BQ127" s="388"/>
      <c r="BR127" s="388"/>
      <c r="BS127" s="389"/>
      <c r="BT127" s="389"/>
      <c r="BU127" s="389"/>
      <c r="BV127" s="386"/>
      <c r="BW127" s="389"/>
      <c r="BX127" s="389"/>
      <c r="BY127" s="386"/>
      <c r="BZ127" s="386"/>
      <c r="CA127" s="386"/>
      <c r="CB127" s="386"/>
      <c r="CC127" s="386"/>
      <c r="CD127" s="386"/>
      <c r="CE127" s="386"/>
      <c r="CF127" s="390"/>
      <c r="CG127" s="390"/>
      <c r="CH127" s="391"/>
      <c r="CI127" s="386"/>
      <c r="CJ127" s="386"/>
      <c r="CK127" s="390"/>
      <c r="CL127" s="390"/>
      <c r="CM127" s="391"/>
      <c r="CN127" s="389"/>
      <c r="CO127" s="389"/>
      <c r="CP127" s="135"/>
      <c r="CQ127" s="135"/>
      <c r="CR127" s="135"/>
      <c r="CS127" s="135"/>
      <c r="CT127" s="135"/>
      <c r="CU127" s="135"/>
    </row>
    <row r="128" spans="1:99">
      <c r="A128" s="342" t="s">
        <v>278</v>
      </c>
      <c r="B128" s="342" t="s">
        <v>277</v>
      </c>
      <c r="C128" s="342" t="s">
        <v>952</v>
      </c>
      <c r="D128" s="157">
        <v>0</v>
      </c>
      <c r="E128" s="157">
        <v>428651.51</v>
      </c>
      <c r="F128" s="157">
        <v>157216.51999999999</v>
      </c>
      <c r="G128" s="157">
        <v>25283235.109999999</v>
      </c>
      <c r="H128" s="157">
        <v>6090114.7800000003</v>
      </c>
      <c r="I128" s="157">
        <v>3807859.51</v>
      </c>
      <c r="J128" s="157">
        <v>7126301.1299999999</v>
      </c>
      <c r="K128" s="157">
        <v>4732231.9400000004</v>
      </c>
      <c r="L128" s="157">
        <v>553349.47</v>
      </c>
      <c r="M128" s="157">
        <v>9937524.9100000001</v>
      </c>
      <c r="N128" s="264">
        <v>4.99E-2</v>
      </c>
      <c r="O128" s="265">
        <v>0.1215</v>
      </c>
      <c r="P128" s="157">
        <v>161133.94</v>
      </c>
      <c r="Q128" s="396">
        <v>15357.420000000002</v>
      </c>
      <c r="R128" s="396">
        <v>6679.59</v>
      </c>
      <c r="S128" s="397">
        <v>401685.32</v>
      </c>
      <c r="T128" s="397">
        <v>202.95000000001164</v>
      </c>
      <c r="U128" s="397">
        <v>12688.39</v>
      </c>
      <c r="V128" s="157">
        <v>0</v>
      </c>
      <c r="W128" s="397">
        <v>0</v>
      </c>
      <c r="X128" s="397">
        <v>0</v>
      </c>
      <c r="Y128" s="157">
        <v>604.48</v>
      </c>
      <c r="Z128" s="157">
        <v>79836.27</v>
      </c>
      <c r="AA128" s="157">
        <v>129090.74</v>
      </c>
      <c r="AB128" s="157">
        <v>1363883.32</v>
      </c>
      <c r="AC128" s="157">
        <v>7973148.54</v>
      </c>
      <c r="AD128" s="157">
        <v>861.43</v>
      </c>
      <c r="AE128" s="157">
        <v>7399814.2000000002</v>
      </c>
      <c r="AF128" s="398">
        <f t="shared" si="48"/>
        <v>8590.1514922860824</v>
      </c>
      <c r="AG128" s="398">
        <f t="shared" si="49"/>
        <v>9255.7126406092193</v>
      </c>
      <c r="AH128" s="399">
        <f t="shared" si="50"/>
        <v>665.56</v>
      </c>
      <c r="AI128" s="157">
        <v>151.93</v>
      </c>
      <c r="AJ128" s="157">
        <v>1266435.18</v>
      </c>
      <c r="AK128" s="398">
        <f t="shared" si="51"/>
        <v>8335.6491805436708</v>
      </c>
      <c r="AL128" s="398">
        <f t="shared" si="52"/>
        <v>8977.0507470545654</v>
      </c>
      <c r="AM128" s="399">
        <f t="shared" si="53"/>
        <v>641.4</v>
      </c>
      <c r="AN128" s="397">
        <v>0</v>
      </c>
      <c r="AO128" s="397">
        <v>0</v>
      </c>
      <c r="AP128" s="46"/>
      <c r="AQ128" s="402">
        <v>0</v>
      </c>
      <c r="AR128" s="274">
        <v>1937495.91</v>
      </c>
      <c r="AS128" s="413">
        <v>567466.53</v>
      </c>
      <c r="AX128" s="2"/>
      <c r="BA128" s="342"/>
      <c r="BB128" s="342"/>
      <c r="BC128" s="342"/>
      <c r="BD128" s="386"/>
      <c r="BE128" s="386"/>
      <c r="BF128" s="386"/>
      <c r="BG128" s="386"/>
      <c r="BH128" s="386"/>
      <c r="BI128" s="386"/>
      <c r="BJ128" s="386"/>
      <c r="BK128" s="386"/>
      <c r="BL128" s="386"/>
      <c r="BM128" s="386"/>
      <c r="BN128" s="387"/>
      <c r="BO128" s="265"/>
      <c r="BP128" s="386"/>
      <c r="BQ128" s="388"/>
      <c r="BR128" s="388"/>
      <c r="BS128" s="389"/>
      <c r="BT128" s="389"/>
      <c r="BU128" s="389"/>
      <c r="BV128" s="386"/>
      <c r="BW128" s="389"/>
      <c r="BX128" s="389"/>
      <c r="BY128" s="386"/>
      <c r="BZ128" s="386"/>
      <c r="CA128" s="386"/>
      <c r="CB128" s="386"/>
      <c r="CC128" s="386"/>
      <c r="CD128" s="386"/>
      <c r="CE128" s="386"/>
      <c r="CF128" s="390"/>
      <c r="CG128" s="390"/>
      <c r="CH128" s="391"/>
      <c r="CI128" s="386"/>
      <c r="CJ128" s="386"/>
      <c r="CK128" s="390"/>
      <c r="CL128" s="390"/>
      <c r="CM128" s="391"/>
      <c r="CN128" s="389"/>
      <c r="CO128" s="389"/>
      <c r="CP128" s="135"/>
      <c r="CQ128" s="135"/>
      <c r="CR128" s="135"/>
      <c r="CS128" s="135"/>
      <c r="CT128" s="135"/>
      <c r="CU128" s="135"/>
    </row>
    <row r="129" spans="1:99">
      <c r="A129" s="342" t="s">
        <v>280</v>
      </c>
      <c r="B129" s="342" t="s">
        <v>279</v>
      </c>
      <c r="C129" s="342" t="s">
        <v>953</v>
      </c>
      <c r="D129" s="157">
        <v>0</v>
      </c>
      <c r="E129" s="157">
        <v>946792.64</v>
      </c>
      <c r="F129" s="157">
        <v>382066.57</v>
      </c>
      <c r="G129" s="157">
        <v>39957478.579999998</v>
      </c>
      <c r="H129" s="157">
        <v>8062371.4199999999</v>
      </c>
      <c r="I129" s="157">
        <v>4044289.67</v>
      </c>
      <c r="J129" s="157">
        <v>9891952.0299999993</v>
      </c>
      <c r="K129" s="157">
        <v>11908532.91</v>
      </c>
      <c r="L129" s="157">
        <v>869337.77</v>
      </c>
      <c r="M129" s="157">
        <v>14895863.93</v>
      </c>
      <c r="N129" s="264">
        <v>4.2900000000000001E-2</v>
      </c>
      <c r="O129" s="265">
        <v>0.12180000000000001</v>
      </c>
      <c r="P129" s="157">
        <v>0</v>
      </c>
      <c r="Q129" s="396">
        <v>0</v>
      </c>
      <c r="R129" s="396">
        <v>0</v>
      </c>
      <c r="S129" s="397">
        <v>0</v>
      </c>
      <c r="T129" s="397">
        <v>0</v>
      </c>
      <c r="U129" s="397">
        <v>0</v>
      </c>
      <c r="V129" s="157">
        <v>0</v>
      </c>
      <c r="W129" s="397">
        <v>0</v>
      </c>
      <c r="X129" s="397">
        <v>0</v>
      </c>
      <c r="Y129" s="157">
        <v>28791.73</v>
      </c>
      <c r="Z129" s="157">
        <v>118037.92</v>
      </c>
      <c r="AA129" s="157">
        <v>1408888.71</v>
      </c>
      <c r="AB129" s="157">
        <v>1980817.39</v>
      </c>
      <c r="AC129" s="157">
        <v>14811309.83</v>
      </c>
      <c r="AD129" s="157">
        <v>1399.01</v>
      </c>
      <c r="AE129" s="157">
        <v>13523290.23</v>
      </c>
      <c r="AF129" s="398">
        <f t="shared" si="48"/>
        <v>9666.3284965797247</v>
      </c>
      <c r="AG129" s="398">
        <f t="shared" si="49"/>
        <v>10586.99353828779</v>
      </c>
      <c r="AH129" s="399">
        <f t="shared" si="50"/>
        <v>920.67</v>
      </c>
      <c r="AI129" s="157">
        <v>195.71</v>
      </c>
      <c r="AJ129" s="157">
        <v>1840232.88</v>
      </c>
      <c r="AK129" s="398">
        <f t="shared" si="51"/>
        <v>9402.8556537734385</v>
      </c>
      <c r="AL129" s="398">
        <f t="shared" si="52"/>
        <v>10121.186398242296</v>
      </c>
      <c r="AM129" s="399">
        <f t="shared" si="53"/>
        <v>718.33</v>
      </c>
      <c r="AN129" s="397">
        <v>0</v>
      </c>
      <c r="AO129" s="397">
        <v>0</v>
      </c>
      <c r="AP129" s="46"/>
      <c r="AQ129" s="402">
        <v>0</v>
      </c>
      <c r="AR129" s="274">
        <v>3079348.44</v>
      </c>
      <c r="AS129" s="413">
        <v>784651.4</v>
      </c>
      <c r="AX129" s="2"/>
      <c r="BA129" s="342"/>
      <c r="BB129" s="342"/>
      <c r="BC129" s="342"/>
      <c r="BD129" s="386"/>
      <c r="BE129" s="386"/>
      <c r="BF129" s="386"/>
      <c r="BG129" s="386"/>
      <c r="BH129" s="386"/>
      <c r="BI129" s="386"/>
      <c r="BJ129" s="386"/>
      <c r="BK129" s="386"/>
      <c r="BL129" s="386"/>
      <c r="BM129" s="386"/>
      <c r="BN129" s="387"/>
      <c r="BO129" s="265"/>
      <c r="BP129" s="386"/>
      <c r="BQ129" s="388"/>
      <c r="BR129" s="388"/>
      <c r="BS129" s="389"/>
      <c r="BT129" s="389"/>
      <c r="BU129" s="389"/>
      <c r="BV129" s="386"/>
      <c r="BW129" s="389"/>
      <c r="BX129" s="389"/>
      <c r="BY129" s="386"/>
      <c r="BZ129" s="386"/>
      <c r="CA129" s="386"/>
      <c r="CB129" s="386"/>
      <c r="CC129" s="386"/>
      <c r="CD129" s="386"/>
      <c r="CE129" s="386"/>
      <c r="CF129" s="390"/>
      <c r="CG129" s="390"/>
      <c r="CH129" s="391"/>
      <c r="CI129" s="386"/>
      <c r="CJ129" s="386"/>
      <c r="CK129" s="390"/>
      <c r="CL129" s="390"/>
      <c r="CM129" s="391"/>
      <c r="CN129" s="389"/>
      <c r="CO129" s="389"/>
      <c r="CP129" s="135"/>
      <c r="CQ129" s="135"/>
      <c r="CR129" s="135"/>
      <c r="CS129" s="135"/>
      <c r="CT129" s="135"/>
      <c r="CU129" s="135"/>
    </row>
    <row r="130" spans="1:99">
      <c r="A130" s="342" t="s">
        <v>282</v>
      </c>
      <c r="B130" s="342" t="s">
        <v>281</v>
      </c>
      <c r="C130" s="342" t="s">
        <v>954</v>
      </c>
      <c r="D130" s="157">
        <v>25684.71</v>
      </c>
      <c r="E130" s="157">
        <v>0</v>
      </c>
      <c r="F130" s="157">
        <v>377.85</v>
      </c>
      <c r="G130" s="157">
        <v>1430106.54</v>
      </c>
      <c r="H130" s="157">
        <v>210656.41</v>
      </c>
      <c r="I130" s="157">
        <v>228267.86</v>
      </c>
      <c r="J130" s="157">
        <v>382873.29</v>
      </c>
      <c r="K130" s="157">
        <v>0</v>
      </c>
      <c r="L130" s="157">
        <v>33083.85</v>
      </c>
      <c r="M130" s="157">
        <v>896894.96</v>
      </c>
      <c r="N130" s="264">
        <v>4.7199999999999999E-2</v>
      </c>
      <c r="O130" s="265">
        <v>0.1646</v>
      </c>
      <c r="P130" s="157">
        <v>0</v>
      </c>
      <c r="Q130" s="396">
        <v>0</v>
      </c>
      <c r="R130" s="396">
        <v>0</v>
      </c>
      <c r="S130" s="397">
        <v>0</v>
      </c>
      <c r="T130" s="397">
        <v>0</v>
      </c>
      <c r="U130" s="397">
        <v>0</v>
      </c>
      <c r="V130" s="157">
        <v>0</v>
      </c>
      <c r="W130" s="397">
        <v>0</v>
      </c>
      <c r="X130" s="397">
        <v>0</v>
      </c>
      <c r="Y130" s="157">
        <v>0</v>
      </c>
      <c r="Z130" s="157">
        <v>0</v>
      </c>
      <c r="AA130" s="157">
        <v>47629.89</v>
      </c>
      <c r="AB130" s="157">
        <v>0</v>
      </c>
      <c r="AC130" s="157">
        <v>301549.42</v>
      </c>
      <c r="AD130" s="157">
        <v>31.86</v>
      </c>
      <c r="AE130" s="157">
        <v>279122.87</v>
      </c>
      <c r="AF130" s="398">
        <f t="shared" si="48"/>
        <v>8760.9187068424362</v>
      </c>
      <c r="AG130" s="398">
        <f t="shared" si="49"/>
        <v>9464.8279974890138</v>
      </c>
      <c r="AH130" s="399">
        <f t="shared" si="50"/>
        <v>703.91</v>
      </c>
      <c r="AI130" s="157">
        <v>0</v>
      </c>
      <c r="AJ130" s="157">
        <v>0</v>
      </c>
      <c r="AK130" s="398">
        <f t="shared" si="51"/>
        <v>0</v>
      </c>
      <c r="AL130" s="398">
        <f t="shared" si="52"/>
        <v>0</v>
      </c>
      <c r="AM130" s="399">
        <f t="shared" si="53"/>
        <v>0</v>
      </c>
      <c r="AN130" s="397">
        <v>0</v>
      </c>
      <c r="AO130" s="397">
        <v>0</v>
      </c>
      <c r="AP130" s="46"/>
      <c r="AQ130" s="402">
        <v>6574.5599999999977</v>
      </c>
      <c r="AR130" s="274">
        <v>88001.64</v>
      </c>
      <c r="AS130" s="413">
        <v>36312.570000000007</v>
      </c>
      <c r="AX130" s="2"/>
      <c r="BA130" s="342"/>
      <c r="BB130" s="342"/>
      <c r="BC130" s="342"/>
      <c r="BD130" s="386"/>
      <c r="BE130" s="386"/>
      <c r="BF130" s="386"/>
      <c r="BG130" s="386"/>
      <c r="BH130" s="386"/>
      <c r="BI130" s="386"/>
      <c r="BJ130" s="386"/>
      <c r="BK130" s="386"/>
      <c r="BL130" s="386"/>
      <c r="BM130" s="386"/>
      <c r="BN130" s="387"/>
      <c r="BO130" s="265"/>
      <c r="BP130" s="386"/>
      <c r="BQ130" s="388"/>
      <c r="BR130" s="388"/>
      <c r="BS130" s="389"/>
      <c r="BT130" s="389"/>
      <c r="BU130" s="389"/>
      <c r="BV130" s="386"/>
      <c r="BW130" s="389"/>
      <c r="BX130" s="389"/>
      <c r="BY130" s="386"/>
      <c r="BZ130" s="386"/>
      <c r="CA130" s="386"/>
      <c r="CB130" s="386"/>
      <c r="CC130" s="386"/>
      <c r="CD130" s="386"/>
      <c r="CE130" s="386"/>
      <c r="CF130" s="390"/>
      <c r="CG130" s="390"/>
      <c r="CH130" s="391"/>
      <c r="CI130" s="386"/>
      <c r="CJ130" s="386"/>
      <c r="CK130" s="390"/>
      <c r="CL130" s="390"/>
      <c r="CM130" s="391"/>
      <c r="CN130" s="389"/>
      <c r="CO130" s="389"/>
      <c r="CP130" s="135"/>
      <c r="CQ130" s="135"/>
      <c r="CR130" s="135"/>
      <c r="CS130" s="135"/>
      <c r="CT130" s="135"/>
      <c r="CU130" s="135"/>
    </row>
    <row r="131" spans="1:99">
      <c r="A131" s="342" t="s">
        <v>284</v>
      </c>
      <c r="B131" s="342" t="s">
        <v>283</v>
      </c>
      <c r="C131" s="342" t="s">
        <v>955</v>
      </c>
      <c r="D131" s="157">
        <v>19007.64</v>
      </c>
      <c r="E131" s="157">
        <v>31191.96</v>
      </c>
      <c r="F131" s="157">
        <v>31070.639999999999</v>
      </c>
      <c r="G131" s="157">
        <v>1822287.16</v>
      </c>
      <c r="H131" s="157">
        <v>279504.71000000002</v>
      </c>
      <c r="I131" s="157">
        <v>424451.82</v>
      </c>
      <c r="J131" s="157">
        <v>652453.75</v>
      </c>
      <c r="K131" s="157">
        <v>551269.85</v>
      </c>
      <c r="L131" s="157">
        <v>41276.21</v>
      </c>
      <c r="M131" s="157">
        <v>769421.45</v>
      </c>
      <c r="N131" s="264">
        <v>6.5100000000000005E-2</v>
      </c>
      <c r="O131" s="265">
        <v>0.1988</v>
      </c>
      <c r="P131" s="157">
        <v>0</v>
      </c>
      <c r="Q131" s="396">
        <v>0</v>
      </c>
      <c r="R131" s="396">
        <v>0</v>
      </c>
      <c r="S131" s="397">
        <v>0</v>
      </c>
      <c r="T131" s="397">
        <v>0</v>
      </c>
      <c r="U131" s="397">
        <v>0</v>
      </c>
      <c r="V131" s="157">
        <v>0</v>
      </c>
      <c r="W131" s="397">
        <v>0</v>
      </c>
      <c r="X131" s="397">
        <v>0</v>
      </c>
      <c r="Y131" s="157">
        <v>1589.02</v>
      </c>
      <c r="Z131" s="157">
        <v>0</v>
      </c>
      <c r="AA131" s="157">
        <v>0</v>
      </c>
      <c r="AB131" s="157">
        <v>0</v>
      </c>
      <c r="AC131" s="157">
        <v>891229.64</v>
      </c>
      <c r="AD131" s="157">
        <v>97.52</v>
      </c>
      <c r="AE131" s="157">
        <v>837837.19</v>
      </c>
      <c r="AF131" s="398">
        <f t="shared" si="48"/>
        <v>8591.4396021328957</v>
      </c>
      <c r="AG131" s="398">
        <f t="shared" si="49"/>
        <v>9138.9421657095991</v>
      </c>
      <c r="AH131" s="399">
        <f t="shared" si="50"/>
        <v>547.5</v>
      </c>
      <c r="AI131" s="157">
        <v>0</v>
      </c>
      <c r="AJ131" s="157">
        <v>0</v>
      </c>
      <c r="AK131" s="398">
        <f t="shared" si="51"/>
        <v>0</v>
      </c>
      <c r="AL131" s="398">
        <f t="shared" si="52"/>
        <v>0</v>
      </c>
      <c r="AM131" s="399">
        <f t="shared" si="53"/>
        <v>0</v>
      </c>
      <c r="AN131" s="397">
        <v>0</v>
      </c>
      <c r="AO131" s="397">
        <v>0</v>
      </c>
      <c r="AP131" s="46"/>
      <c r="AQ131" s="402">
        <v>0</v>
      </c>
      <c r="AR131" s="274">
        <v>150374.20000000001</v>
      </c>
      <c r="AS131" s="413">
        <v>51590.720000000001</v>
      </c>
      <c r="AX131" s="2"/>
      <c r="BA131" s="342"/>
      <c r="BB131" s="342"/>
      <c r="BC131" s="342"/>
      <c r="BD131" s="386"/>
      <c r="BE131" s="386"/>
      <c r="BF131" s="386"/>
      <c r="BG131" s="386"/>
      <c r="BH131" s="386"/>
      <c r="BI131" s="386"/>
      <c r="BJ131" s="386"/>
      <c r="BK131" s="386"/>
      <c r="BL131" s="386"/>
      <c r="BM131" s="386"/>
      <c r="BN131" s="387"/>
      <c r="BO131" s="265"/>
      <c r="BP131" s="386"/>
      <c r="BQ131" s="388"/>
      <c r="BR131" s="388"/>
      <c r="BS131" s="389"/>
      <c r="BT131" s="389"/>
      <c r="BU131" s="389"/>
      <c r="BV131" s="386"/>
      <c r="BW131" s="389"/>
      <c r="BX131" s="389"/>
      <c r="BY131" s="386"/>
      <c r="BZ131" s="386"/>
      <c r="CA131" s="386"/>
      <c r="CB131" s="386"/>
      <c r="CC131" s="386"/>
      <c r="CD131" s="386"/>
      <c r="CE131" s="386"/>
      <c r="CF131" s="390"/>
      <c r="CG131" s="390"/>
      <c r="CH131" s="391"/>
      <c r="CI131" s="386"/>
      <c r="CJ131" s="386"/>
      <c r="CK131" s="390"/>
      <c r="CL131" s="390"/>
      <c r="CM131" s="391"/>
      <c r="CN131" s="389"/>
      <c r="CO131" s="389"/>
      <c r="CP131" s="135"/>
      <c r="CQ131" s="135"/>
      <c r="CR131" s="135"/>
      <c r="CS131" s="135"/>
      <c r="CT131" s="135"/>
      <c r="CU131" s="135"/>
    </row>
    <row r="132" spans="1:99">
      <c r="A132" s="342" t="s">
        <v>286</v>
      </c>
      <c r="B132" s="342" t="s">
        <v>285</v>
      </c>
      <c r="C132" s="342" t="s">
        <v>956</v>
      </c>
      <c r="D132" s="157">
        <v>0</v>
      </c>
      <c r="E132" s="157">
        <v>17531.990000000002</v>
      </c>
      <c r="F132" s="157">
        <v>0</v>
      </c>
      <c r="G132" s="157">
        <v>779230.6</v>
      </c>
      <c r="H132" s="157">
        <v>123777.86</v>
      </c>
      <c r="I132" s="157">
        <v>0</v>
      </c>
      <c r="J132" s="157">
        <v>180829.1</v>
      </c>
      <c r="K132" s="157">
        <v>79376.37</v>
      </c>
      <c r="L132" s="157">
        <v>17689.8</v>
      </c>
      <c r="M132" s="157">
        <v>422870.85</v>
      </c>
      <c r="N132" s="264">
        <v>5.4800000000000001E-2</v>
      </c>
      <c r="O132" s="265">
        <v>0.28960000000000002</v>
      </c>
      <c r="P132" s="157">
        <v>0</v>
      </c>
      <c r="Q132" s="396">
        <v>0</v>
      </c>
      <c r="R132" s="396">
        <v>0</v>
      </c>
      <c r="S132" s="397">
        <v>185830.65000000002</v>
      </c>
      <c r="T132" s="397">
        <v>15478.109</v>
      </c>
      <c r="U132" s="397">
        <v>5710.79</v>
      </c>
      <c r="V132" s="157">
        <v>0</v>
      </c>
      <c r="W132" s="397">
        <v>0</v>
      </c>
      <c r="X132" s="397">
        <v>0</v>
      </c>
      <c r="Y132" s="157">
        <v>694.7</v>
      </c>
      <c r="Z132" s="157">
        <v>6453.33</v>
      </c>
      <c r="AA132" s="157">
        <v>0</v>
      </c>
      <c r="AB132" s="157">
        <v>201327.49</v>
      </c>
      <c r="AC132" s="157">
        <v>451106.7</v>
      </c>
      <c r="AD132" s="157">
        <v>50.19</v>
      </c>
      <c r="AE132" s="157">
        <v>431154.31</v>
      </c>
      <c r="AF132" s="398">
        <f t="shared" si="48"/>
        <v>8590.4425184299671</v>
      </c>
      <c r="AG132" s="398">
        <f t="shared" si="49"/>
        <v>8987.9796772265399</v>
      </c>
      <c r="AH132" s="399">
        <f t="shared" si="50"/>
        <v>397.54</v>
      </c>
      <c r="AI132" s="157">
        <v>22.42</v>
      </c>
      <c r="AJ132" s="157">
        <v>186925.56</v>
      </c>
      <c r="AK132" s="398">
        <f t="shared" si="51"/>
        <v>8337.4469223907217</v>
      </c>
      <c r="AL132" s="398">
        <f t="shared" si="52"/>
        <v>8979.8166815343429</v>
      </c>
      <c r="AM132" s="399">
        <f t="shared" si="53"/>
        <v>642.37</v>
      </c>
      <c r="AN132" s="397">
        <v>0</v>
      </c>
      <c r="AO132" s="397">
        <v>100000</v>
      </c>
      <c r="AP132" s="46"/>
      <c r="AQ132" s="402">
        <v>43625.810000000005</v>
      </c>
      <c r="AR132" s="274">
        <v>60208.66</v>
      </c>
      <c r="AS132" s="413">
        <v>28194.81</v>
      </c>
      <c r="AX132" s="2"/>
      <c r="BA132" s="342"/>
      <c r="BB132" s="342"/>
      <c r="BC132" s="342"/>
      <c r="BD132" s="386"/>
      <c r="BE132" s="386"/>
      <c r="BF132" s="386"/>
      <c r="BG132" s="386"/>
      <c r="BH132" s="386"/>
      <c r="BI132" s="386"/>
      <c r="BJ132" s="386"/>
      <c r="BK132" s="386"/>
      <c r="BL132" s="386"/>
      <c r="BM132" s="386"/>
      <c r="BN132" s="387"/>
      <c r="BO132" s="265"/>
      <c r="BP132" s="386"/>
      <c r="BQ132" s="388"/>
      <c r="BR132" s="388"/>
      <c r="BS132" s="389"/>
      <c r="BT132" s="389"/>
      <c r="BU132" s="389"/>
      <c r="BV132" s="386"/>
      <c r="BW132" s="389"/>
      <c r="BX132" s="389"/>
      <c r="BY132" s="386"/>
      <c r="BZ132" s="386"/>
      <c r="CA132" s="386"/>
      <c r="CB132" s="386"/>
      <c r="CC132" s="386"/>
      <c r="CD132" s="386"/>
      <c r="CE132" s="386"/>
      <c r="CF132" s="390"/>
      <c r="CG132" s="390"/>
      <c r="CH132" s="391"/>
      <c r="CI132" s="386"/>
      <c r="CJ132" s="386"/>
      <c r="CK132" s="390"/>
      <c r="CL132" s="390"/>
      <c r="CM132" s="391"/>
      <c r="CN132" s="389"/>
      <c r="CO132" s="389"/>
      <c r="CP132" s="135"/>
      <c r="CQ132" s="135"/>
      <c r="CR132" s="135"/>
      <c r="CS132" s="135"/>
      <c r="CT132" s="135"/>
      <c r="CU132" s="135"/>
    </row>
    <row r="133" spans="1:99">
      <c r="A133" s="342" t="s">
        <v>288</v>
      </c>
      <c r="B133" s="342" t="s">
        <v>287</v>
      </c>
      <c r="C133" s="342" t="s">
        <v>957</v>
      </c>
      <c r="D133" s="157">
        <v>0</v>
      </c>
      <c r="E133" s="157">
        <v>0</v>
      </c>
      <c r="F133" s="157">
        <v>0</v>
      </c>
      <c r="G133" s="157">
        <v>0</v>
      </c>
      <c r="H133" s="157">
        <v>0</v>
      </c>
      <c r="I133" s="157">
        <v>29764.76</v>
      </c>
      <c r="J133" s="157">
        <v>32441.45</v>
      </c>
      <c r="K133" s="157">
        <v>0</v>
      </c>
      <c r="L133" s="157">
        <v>0</v>
      </c>
      <c r="M133" s="157">
        <v>0</v>
      </c>
      <c r="N133" s="264">
        <v>7.8200000000000006E-2</v>
      </c>
      <c r="O133" s="265">
        <v>0.3866</v>
      </c>
      <c r="P133" s="157">
        <v>0</v>
      </c>
      <c r="Q133" s="396">
        <v>0</v>
      </c>
      <c r="R133" s="396">
        <v>0</v>
      </c>
      <c r="S133" s="397">
        <v>0</v>
      </c>
      <c r="T133" s="397">
        <v>0</v>
      </c>
      <c r="U133" s="397">
        <v>0</v>
      </c>
      <c r="V133" s="157">
        <v>0</v>
      </c>
      <c r="W133" s="397">
        <v>0</v>
      </c>
      <c r="X133" s="397">
        <v>0</v>
      </c>
      <c r="Y133" s="157">
        <v>117.29</v>
      </c>
      <c r="Z133" s="157">
        <v>0</v>
      </c>
      <c r="AA133" s="157">
        <v>0</v>
      </c>
      <c r="AB133" s="157">
        <v>0</v>
      </c>
      <c r="AC133" s="157">
        <v>0</v>
      </c>
      <c r="AD133" s="157">
        <v>0</v>
      </c>
      <c r="AE133" s="157">
        <v>0</v>
      </c>
      <c r="AF133" s="398">
        <f t="shared" si="48"/>
        <v>0</v>
      </c>
      <c r="AG133" s="398">
        <f t="shared" si="49"/>
        <v>0</v>
      </c>
      <c r="AH133" s="399">
        <f t="shared" si="50"/>
        <v>0</v>
      </c>
      <c r="AI133" s="157">
        <v>0</v>
      </c>
      <c r="AJ133" s="157">
        <v>0</v>
      </c>
      <c r="AK133" s="398">
        <f t="shared" si="51"/>
        <v>0</v>
      </c>
      <c r="AL133" s="398">
        <f t="shared" si="52"/>
        <v>0</v>
      </c>
      <c r="AM133" s="399">
        <f t="shared" si="53"/>
        <v>0</v>
      </c>
      <c r="AN133" s="397">
        <v>0</v>
      </c>
      <c r="AO133" s="397">
        <v>0</v>
      </c>
      <c r="AP133" s="46"/>
      <c r="AQ133" s="402">
        <v>23874.87</v>
      </c>
      <c r="AR133" s="274">
        <v>21159.54</v>
      </c>
      <c r="AS133" s="413">
        <v>42118.729999999996</v>
      </c>
      <c r="AX133" s="2"/>
      <c r="BA133" s="342"/>
      <c r="BB133" s="342"/>
      <c r="BC133" s="342"/>
      <c r="BD133" s="386"/>
      <c r="BE133" s="386"/>
      <c r="BF133" s="386"/>
      <c r="BG133" s="386"/>
      <c r="BH133" s="386"/>
      <c r="BI133" s="386"/>
      <c r="BJ133" s="386"/>
      <c r="BK133" s="386"/>
      <c r="BL133" s="386"/>
      <c r="BM133" s="386"/>
      <c r="BN133" s="387"/>
      <c r="BO133" s="265"/>
      <c r="BP133" s="386"/>
      <c r="BQ133" s="388"/>
      <c r="BR133" s="388"/>
      <c r="BS133" s="389"/>
      <c r="BT133" s="389"/>
      <c r="BU133" s="389"/>
      <c r="BV133" s="386"/>
      <c r="BW133" s="389"/>
      <c r="BX133" s="389"/>
      <c r="BY133" s="386"/>
      <c r="BZ133" s="386"/>
      <c r="CA133" s="386"/>
      <c r="CB133" s="386"/>
      <c r="CC133" s="386"/>
      <c r="CD133" s="386"/>
      <c r="CE133" s="386"/>
      <c r="CF133" s="390"/>
      <c r="CG133" s="390"/>
      <c r="CH133" s="391"/>
      <c r="CI133" s="386"/>
      <c r="CJ133" s="386"/>
      <c r="CK133" s="390"/>
      <c r="CL133" s="390"/>
      <c r="CM133" s="391"/>
      <c r="CN133" s="389"/>
      <c r="CO133" s="389"/>
      <c r="CP133" s="135"/>
      <c r="CQ133" s="135"/>
      <c r="CR133" s="135"/>
      <c r="CS133" s="135"/>
      <c r="CT133" s="135"/>
      <c r="CU133" s="135"/>
    </row>
    <row r="134" spans="1:99">
      <c r="A134" s="342" t="s">
        <v>290</v>
      </c>
      <c r="B134" s="342" t="s">
        <v>289</v>
      </c>
      <c r="C134" s="342" t="s">
        <v>958</v>
      </c>
      <c r="D134" s="157">
        <v>0</v>
      </c>
      <c r="E134" s="157">
        <v>7218.44</v>
      </c>
      <c r="F134" s="157">
        <v>0</v>
      </c>
      <c r="G134" s="157">
        <v>928323.99</v>
      </c>
      <c r="H134" s="157">
        <v>122988.25</v>
      </c>
      <c r="I134" s="157">
        <v>195365.59</v>
      </c>
      <c r="J134" s="157">
        <v>236302.69</v>
      </c>
      <c r="K134" s="157">
        <v>24424.62</v>
      </c>
      <c r="L134" s="157">
        <v>18050.09</v>
      </c>
      <c r="M134" s="157">
        <v>541310.43000000005</v>
      </c>
      <c r="N134" s="264">
        <v>6.5799999999999997E-2</v>
      </c>
      <c r="O134" s="265">
        <v>0.1973</v>
      </c>
      <c r="P134" s="157">
        <v>0</v>
      </c>
      <c r="Q134" s="396">
        <v>0</v>
      </c>
      <c r="R134" s="396">
        <v>0</v>
      </c>
      <c r="S134" s="397">
        <v>0</v>
      </c>
      <c r="T134" s="397">
        <v>0</v>
      </c>
      <c r="U134" s="397">
        <v>0</v>
      </c>
      <c r="V134" s="157">
        <v>0</v>
      </c>
      <c r="W134" s="397">
        <v>0</v>
      </c>
      <c r="X134" s="397">
        <v>0</v>
      </c>
      <c r="Y134" s="157">
        <v>0</v>
      </c>
      <c r="Z134" s="157">
        <v>0</v>
      </c>
      <c r="AA134" s="157">
        <v>0</v>
      </c>
      <c r="AB134" s="157">
        <v>0</v>
      </c>
      <c r="AC134" s="157">
        <v>155508.56</v>
      </c>
      <c r="AD134" s="157">
        <v>15.18</v>
      </c>
      <c r="AE134" s="157">
        <v>144036.51</v>
      </c>
      <c r="AF134" s="398">
        <f t="shared" si="48"/>
        <v>9488.5711462450599</v>
      </c>
      <c r="AG134" s="398">
        <f t="shared" si="49"/>
        <v>10244.305665349144</v>
      </c>
      <c r="AH134" s="399">
        <f t="shared" si="50"/>
        <v>755.73</v>
      </c>
      <c r="AI134" s="157">
        <v>0</v>
      </c>
      <c r="AJ134" s="157">
        <v>0</v>
      </c>
      <c r="AK134" s="398">
        <f t="shared" si="51"/>
        <v>0</v>
      </c>
      <c r="AL134" s="398">
        <f t="shared" si="52"/>
        <v>0</v>
      </c>
      <c r="AM134" s="399">
        <f t="shared" si="53"/>
        <v>0</v>
      </c>
      <c r="AN134" s="397">
        <v>0</v>
      </c>
      <c r="AO134" s="397">
        <v>0</v>
      </c>
      <c r="AP134" s="46"/>
      <c r="AQ134" s="402">
        <v>0</v>
      </c>
      <c r="AR134" s="274">
        <v>69114.070000000007</v>
      </c>
      <c r="AS134" s="413">
        <v>27154.28</v>
      </c>
      <c r="AX134" s="2"/>
      <c r="BA134" s="342"/>
      <c r="BB134" s="342"/>
      <c r="BC134" s="342"/>
      <c r="BD134" s="386"/>
      <c r="BE134" s="386"/>
      <c r="BF134" s="386"/>
      <c r="BG134" s="386"/>
      <c r="BH134" s="386"/>
      <c r="BI134" s="386"/>
      <c r="BJ134" s="386"/>
      <c r="BK134" s="386"/>
      <c r="BL134" s="386"/>
      <c r="BM134" s="386"/>
      <c r="BN134" s="387"/>
      <c r="BO134" s="265"/>
      <c r="BP134" s="386"/>
      <c r="BQ134" s="388"/>
      <c r="BR134" s="388"/>
      <c r="BS134" s="389"/>
      <c r="BT134" s="389"/>
      <c r="BU134" s="389"/>
      <c r="BV134" s="386"/>
      <c r="BW134" s="389"/>
      <c r="BX134" s="389"/>
      <c r="BY134" s="386"/>
      <c r="BZ134" s="386"/>
      <c r="CA134" s="386"/>
      <c r="CB134" s="386"/>
      <c r="CC134" s="386"/>
      <c r="CD134" s="386"/>
      <c r="CE134" s="386"/>
      <c r="CF134" s="390"/>
      <c r="CG134" s="390"/>
      <c r="CH134" s="391"/>
      <c r="CI134" s="386"/>
      <c r="CJ134" s="386"/>
      <c r="CK134" s="390"/>
      <c r="CL134" s="390"/>
      <c r="CM134" s="391"/>
      <c r="CN134" s="389"/>
      <c r="CO134" s="389"/>
      <c r="CP134" s="135"/>
      <c r="CQ134" s="135"/>
      <c r="CR134" s="135"/>
      <c r="CS134" s="135"/>
      <c r="CT134" s="135"/>
      <c r="CU134" s="135"/>
    </row>
    <row r="135" spans="1:99">
      <c r="A135" s="342" t="s">
        <v>292</v>
      </c>
      <c r="B135" s="342" t="s">
        <v>291</v>
      </c>
      <c r="C135" s="342" t="s">
        <v>959</v>
      </c>
      <c r="D135" s="157">
        <v>0</v>
      </c>
      <c r="E135" s="157">
        <v>0</v>
      </c>
      <c r="F135" s="157">
        <v>0</v>
      </c>
      <c r="G135" s="157">
        <v>2792625.68</v>
      </c>
      <c r="H135" s="157">
        <v>569076.97</v>
      </c>
      <c r="I135" s="157">
        <v>0</v>
      </c>
      <c r="J135" s="157">
        <v>306169.46000000002</v>
      </c>
      <c r="K135" s="157">
        <v>73419.679999999993</v>
      </c>
      <c r="L135" s="157">
        <v>55360.29</v>
      </c>
      <c r="M135" s="157">
        <v>0</v>
      </c>
      <c r="N135" s="264">
        <v>4.1000000000000002E-2</v>
      </c>
      <c r="O135" s="265">
        <v>0.18140000000000001</v>
      </c>
      <c r="P135" s="157">
        <v>0</v>
      </c>
      <c r="Q135" s="396">
        <v>0</v>
      </c>
      <c r="R135" s="396">
        <v>0</v>
      </c>
      <c r="S135" s="397">
        <v>0</v>
      </c>
      <c r="T135" s="397">
        <v>0</v>
      </c>
      <c r="U135" s="397">
        <v>0</v>
      </c>
      <c r="V135" s="157">
        <v>0</v>
      </c>
      <c r="W135" s="397">
        <v>0</v>
      </c>
      <c r="X135" s="397">
        <v>0</v>
      </c>
      <c r="Y135" s="157">
        <v>2001.78</v>
      </c>
      <c r="Z135" s="157">
        <v>0</v>
      </c>
      <c r="AA135" s="157">
        <v>0</v>
      </c>
      <c r="AB135" s="157">
        <v>0</v>
      </c>
      <c r="AC135" s="157">
        <v>489767.5</v>
      </c>
      <c r="AD135" s="157">
        <v>48.52</v>
      </c>
      <c r="AE135" s="157">
        <v>442565.57</v>
      </c>
      <c r="AF135" s="398">
        <f t="shared" ref="AF135:AF198" si="54">IFERROR(AE135/AD135,0)</f>
        <v>9121.3019373454244</v>
      </c>
      <c r="AG135" s="398">
        <f t="shared" ref="AG135:AG198" si="55">IFERROR(AC135/AD135,0)</f>
        <v>10094.136438582027</v>
      </c>
      <c r="AH135" s="399">
        <f t="shared" ref="AH135:AH198" si="56">ROUND(AG135-AF135,2)</f>
        <v>972.83</v>
      </c>
      <c r="AI135" s="157">
        <v>0</v>
      </c>
      <c r="AJ135" s="157">
        <v>0</v>
      </c>
      <c r="AK135" s="398">
        <f t="shared" ref="AK135:AK198" si="57">IFERROR(AJ135/AI135,0)</f>
        <v>0</v>
      </c>
      <c r="AL135" s="398">
        <f t="shared" ref="AL135:AL198" si="58">IFERROR(AB135/AI135,0)</f>
        <v>0</v>
      </c>
      <c r="AM135" s="399">
        <f t="shared" ref="AM135:AM198" si="59">ROUND(AL135-AK135,2)</f>
        <v>0</v>
      </c>
      <c r="AN135" s="397">
        <v>0</v>
      </c>
      <c r="AO135" s="397">
        <v>0</v>
      </c>
      <c r="AP135" s="46"/>
      <c r="AQ135" s="402">
        <v>0</v>
      </c>
      <c r="AR135" s="274">
        <v>174685.7</v>
      </c>
      <c r="AS135" s="413">
        <v>60921.39</v>
      </c>
      <c r="AX135" s="2"/>
      <c r="BA135" s="342"/>
      <c r="BB135" s="342"/>
      <c r="BC135" s="342"/>
      <c r="BD135" s="386"/>
      <c r="BE135" s="386"/>
      <c r="BF135" s="386"/>
      <c r="BG135" s="386"/>
      <c r="BH135" s="386"/>
      <c r="BI135" s="386"/>
      <c r="BJ135" s="386"/>
      <c r="BK135" s="386"/>
      <c r="BL135" s="386"/>
      <c r="BM135" s="386"/>
      <c r="BN135" s="387"/>
      <c r="BO135" s="265"/>
      <c r="BP135" s="386"/>
      <c r="BQ135" s="388"/>
      <c r="BR135" s="388"/>
      <c r="BS135" s="389"/>
      <c r="BT135" s="389"/>
      <c r="BU135" s="389"/>
      <c r="BV135" s="386"/>
      <c r="BW135" s="389"/>
      <c r="BX135" s="389"/>
      <c r="BY135" s="386"/>
      <c r="BZ135" s="386"/>
      <c r="CA135" s="386"/>
      <c r="CB135" s="386"/>
      <c r="CC135" s="386"/>
      <c r="CD135" s="386"/>
      <c r="CE135" s="386"/>
      <c r="CF135" s="390"/>
      <c r="CG135" s="390"/>
      <c r="CH135" s="391"/>
      <c r="CI135" s="386"/>
      <c r="CJ135" s="386"/>
      <c r="CK135" s="390"/>
      <c r="CL135" s="390"/>
      <c r="CM135" s="391"/>
      <c r="CN135" s="389"/>
      <c r="CO135" s="389"/>
      <c r="CP135" s="135"/>
      <c r="CQ135" s="135"/>
      <c r="CR135" s="135"/>
      <c r="CS135" s="135"/>
      <c r="CT135" s="135"/>
      <c r="CU135" s="135"/>
    </row>
    <row r="136" spans="1:99">
      <c r="A136" s="342" t="s">
        <v>294</v>
      </c>
      <c r="B136" s="342" t="s">
        <v>293</v>
      </c>
      <c r="C136" s="342" t="s">
        <v>960</v>
      </c>
      <c r="D136" s="157">
        <v>0</v>
      </c>
      <c r="E136" s="157">
        <v>1777.1</v>
      </c>
      <c r="F136" s="157">
        <v>0</v>
      </c>
      <c r="G136" s="157">
        <v>118712.09</v>
      </c>
      <c r="H136" s="157">
        <v>22807.95</v>
      </c>
      <c r="I136" s="157">
        <v>0</v>
      </c>
      <c r="J136" s="157">
        <v>23340.71</v>
      </c>
      <c r="K136" s="157">
        <v>0</v>
      </c>
      <c r="L136" s="157">
        <v>2783.76</v>
      </c>
      <c r="M136" s="157">
        <v>303933.21000000002</v>
      </c>
      <c r="N136" s="264">
        <v>3.5200000000000002E-2</v>
      </c>
      <c r="O136" s="265">
        <v>0.26369999999999999</v>
      </c>
      <c r="P136" s="157">
        <v>0</v>
      </c>
      <c r="Q136" s="396">
        <v>0</v>
      </c>
      <c r="R136" s="396">
        <v>0</v>
      </c>
      <c r="S136" s="397">
        <v>0</v>
      </c>
      <c r="T136" s="397">
        <v>0</v>
      </c>
      <c r="U136" s="397">
        <v>0</v>
      </c>
      <c r="V136" s="157">
        <v>0</v>
      </c>
      <c r="W136" s="397">
        <v>0</v>
      </c>
      <c r="X136" s="397">
        <v>0</v>
      </c>
      <c r="Y136" s="157">
        <v>0</v>
      </c>
      <c r="Z136" s="157">
        <v>0</v>
      </c>
      <c r="AA136" s="157">
        <v>0</v>
      </c>
      <c r="AB136" s="157">
        <v>0</v>
      </c>
      <c r="AC136" s="157">
        <v>43544.04</v>
      </c>
      <c r="AD136" s="157">
        <v>4.74</v>
      </c>
      <c r="AE136" s="157">
        <v>41618.160000000003</v>
      </c>
      <c r="AF136" s="398">
        <f t="shared" si="54"/>
        <v>8780.2025316455693</v>
      </c>
      <c r="AG136" s="398">
        <f t="shared" si="55"/>
        <v>9186.5063291139231</v>
      </c>
      <c r="AH136" s="399">
        <f t="shared" si="56"/>
        <v>406.3</v>
      </c>
      <c r="AI136" s="157">
        <v>0</v>
      </c>
      <c r="AJ136" s="157">
        <v>0</v>
      </c>
      <c r="AK136" s="398">
        <f t="shared" si="57"/>
        <v>0</v>
      </c>
      <c r="AL136" s="398">
        <f t="shared" si="58"/>
        <v>0</v>
      </c>
      <c r="AM136" s="399">
        <f t="shared" si="59"/>
        <v>0</v>
      </c>
      <c r="AN136" s="397">
        <v>0</v>
      </c>
      <c r="AO136" s="397">
        <v>0</v>
      </c>
      <c r="AP136" s="46"/>
      <c r="AQ136" s="402">
        <v>10273.189999999999</v>
      </c>
      <c r="AR136" s="274">
        <v>21339.62</v>
      </c>
      <c r="AS136" s="413"/>
      <c r="AX136" s="2"/>
      <c r="BA136" s="342"/>
      <c r="BB136" s="342"/>
      <c r="BC136" s="342"/>
      <c r="BD136" s="386"/>
      <c r="BE136" s="386"/>
      <c r="BF136" s="386"/>
      <c r="BG136" s="386"/>
      <c r="BH136" s="386"/>
      <c r="BI136" s="386"/>
      <c r="BJ136" s="386"/>
      <c r="BK136" s="386"/>
      <c r="BL136" s="386"/>
      <c r="BM136" s="386"/>
      <c r="BN136" s="387"/>
      <c r="BO136" s="265"/>
      <c r="BP136" s="386"/>
      <c r="BQ136" s="388"/>
      <c r="BR136" s="388"/>
      <c r="BS136" s="389"/>
      <c r="BT136" s="389"/>
      <c r="BU136" s="389"/>
      <c r="BV136" s="386"/>
      <c r="BW136" s="389"/>
      <c r="BX136" s="389"/>
      <c r="BY136" s="386"/>
      <c r="BZ136" s="386"/>
      <c r="CA136" s="386"/>
      <c r="CB136" s="386"/>
      <c r="CC136" s="386"/>
      <c r="CD136" s="386"/>
      <c r="CE136" s="386"/>
      <c r="CF136" s="390"/>
      <c r="CG136" s="390"/>
      <c r="CH136" s="391"/>
      <c r="CI136" s="386"/>
      <c r="CJ136" s="386"/>
      <c r="CK136" s="390"/>
      <c r="CL136" s="390"/>
      <c r="CM136" s="391"/>
      <c r="CN136" s="389"/>
      <c r="CO136" s="389"/>
      <c r="CP136" s="135"/>
      <c r="CQ136" s="135"/>
      <c r="CR136" s="135"/>
      <c r="CS136" s="135"/>
      <c r="CT136" s="135"/>
      <c r="CU136" s="135"/>
    </row>
    <row r="137" spans="1:99">
      <c r="A137" s="342" t="s">
        <v>296</v>
      </c>
      <c r="B137" s="342" t="s">
        <v>295</v>
      </c>
      <c r="C137" s="342" t="s">
        <v>961</v>
      </c>
      <c r="D137" s="157">
        <v>0</v>
      </c>
      <c r="E137" s="157">
        <v>47609.33</v>
      </c>
      <c r="F137" s="157">
        <v>27401.67</v>
      </c>
      <c r="G137" s="157">
        <v>1240016.18</v>
      </c>
      <c r="H137" s="157">
        <v>144401.81</v>
      </c>
      <c r="I137" s="157">
        <v>379968.71</v>
      </c>
      <c r="J137" s="157">
        <v>448555.49</v>
      </c>
      <c r="K137" s="157">
        <v>565074.43000000005</v>
      </c>
      <c r="L137" s="157">
        <v>37862.39</v>
      </c>
      <c r="M137" s="157">
        <v>878369.11</v>
      </c>
      <c r="N137" s="264">
        <v>2.6700000000000002E-2</v>
      </c>
      <c r="O137" s="265">
        <v>0.1764</v>
      </c>
      <c r="P137" s="157">
        <v>0</v>
      </c>
      <c r="Q137" s="396">
        <v>0</v>
      </c>
      <c r="R137" s="396">
        <v>0</v>
      </c>
      <c r="S137" s="397">
        <v>0</v>
      </c>
      <c r="T137" s="397">
        <v>0</v>
      </c>
      <c r="U137" s="397">
        <v>0</v>
      </c>
      <c r="V137" s="157">
        <v>0</v>
      </c>
      <c r="W137" s="397">
        <v>0</v>
      </c>
      <c r="X137" s="397">
        <v>0</v>
      </c>
      <c r="Y137" s="157">
        <v>1499.93</v>
      </c>
      <c r="Z137" s="157">
        <v>0</v>
      </c>
      <c r="AA137" s="157">
        <v>0</v>
      </c>
      <c r="AB137" s="157">
        <v>37628.03</v>
      </c>
      <c r="AC137" s="157">
        <v>1128488</v>
      </c>
      <c r="AD137" s="157">
        <v>124.31</v>
      </c>
      <c r="AE137" s="157">
        <v>1067687.67</v>
      </c>
      <c r="AF137" s="398">
        <f t="shared" si="54"/>
        <v>8588.9121550961299</v>
      </c>
      <c r="AG137" s="398">
        <f t="shared" si="55"/>
        <v>9078.0146408173114</v>
      </c>
      <c r="AH137" s="399">
        <f t="shared" si="56"/>
        <v>489.1</v>
      </c>
      <c r="AI137" s="157">
        <v>4.2</v>
      </c>
      <c r="AJ137" s="157">
        <v>35083.19</v>
      </c>
      <c r="AK137" s="398">
        <f t="shared" si="57"/>
        <v>8353.140476190476</v>
      </c>
      <c r="AL137" s="398">
        <f t="shared" si="58"/>
        <v>8959.0547619047611</v>
      </c>
      <c r="AM137" s="399">
        <f t="shared" si="59"/>
        <v>605.91</v>
      </c>
      <c r="AN137" s="397">
        <v>4293.97</v>
      </c>
      <c r="AO137" s="397">
        <v>0</v>
      </c>
      <c r="AP137" s="46"/>
      <c r="AQ137" s="402">
        <v>51568.61</v>
      </c>
      <c r="AR137" s="274">
        <v>136293.36000000002</v>
      </c>
      <c r="AS137" s="413">
        <v>49844</v>
      </c>
      <c r="AX137" s="2"/>
      <c r="BA137" s="342"/>
      <c r="BB137" s="342"/>
      <c r="BC137" s="342"/>
      <c r="BD137" s="386"/>
      <c r="BE137" s="386"/>
      <c r="BF137" s="386"/>
      <c r="BG137" s="386"/>
      <c r="BH137" s="386"/>
      <c r="BI137" s="386"/>
      <c r="BJ137" s="386"/>
      <c r="BK137" s="386"/>
      <c r="BL137" s="386"/>
      <c r="BM137" s="386"/>
      <c r="BN137" s="387"/>
      <c r="BO137" s="265"/>
      <c r="BP137" s="386"/>
      <c r="BQ137" s="388"/>
      <c r="BR137" s="388"/>
      <c r="BS137" s="389"/>
      <c r="BT137" s="389"/>
      <c r="BU137" s="389"/>
      <c r="BV137" s="386"/>
      <c r="BW137" s="389"/>
      <c r="BX137" s="389"/>
      <c r="BY137" s="386"/>
      <c r="BZ137" s="386"/>
      <c r="CA137" s="386"/>
      <c r="CB137" s="386"/>
      <c r="CC137" s="386"/>
      <c r="CD137" s="386"/>
      <c r="CE137" s="386"/>
      <c r="CF137" s="390"/>
      <c r="CG137" s="390"/>
      <c r="CH137" s="391"/>
      <c r="CI137" s="386"/>
      <c r="CJ137" s="386"/>
      <c r="CK137" s="390"/>
      <c r="CL137" s="390"/>
      <c r="CM137" s="391"/>
      <c r="CN137" s="389"/>
      <c r="CO137" s="389"/>
      <c r="CP137" s="135"/>
      <c r="CQ137" s="135"/>
      <c r="CR137" s="135"/>
      <c r="CS137" s="135"/>
      <c r="CT137" s="135"/>
      <c r="CU137" s="135"/>
    </row>
    <row r="138" spans="1:99">
      <c r="A138" s="342" t="s">
        <v>298</v>
      </c>
      <c r="B138" s="342" t="s">
        <v>297</v>
      </c>
      <c r="C138" s="342" t="s">
        <v>962</v>
      </c>
      <c r="D138" s="157">
        <v>0</v>
      </c>
      <c r="E138" s="157">
        <v>40505.57</v>
      </c>
      <c r="F138" s="157">
        <v>0</v>
      </c>
      <c r="G138" s="157">
        <v>17326352.48</v>
      </c>
      <c r="H138" s="157">
        <v>3474008.22</v>
      </c>
      <c r="I138" s="157">
        <v>0</v>
      </c>
      <c r="J138" s="157">
        <v>1684401.84</v>
      </c>
      <c r="K138" s="157">
        <v>1225179.95</v>
      </c>
      <c r="L138" s="157">
        <v>322646.99</v>
      </c>
      <c r="M138" s="157">
        <v>6011093.3300000001</v>
      </c>
      <c r="N138" s="264">
        <v>4.02E-2</v>
      </c>
      <c r="O138" s="265">
        <v>0.14499999999999999</v>
      </c>
      <c r="P138" s="157">
        <v>0</v>
      </c>
      <c r="Q138" s="396">
        <v>0</v>
      </c>
      <c r="R138" s="396">
        <v>0</v>
      </c>
      <c r="S138" s="397">
        <v>0</v>
      </c>
      <c r="T138" s="397">
        <v>0</v>
      </c>
      <c r="U138" s="397">
        <v>0</v>
      </c>
      <c r="V138" s="157">
        <v>0</v>
      </c>
      <c r="W138" s="397">
        <v>0</v>
      </c>
      <c r="X138" s="397">
        <v>0</v>
      </c>
      <c r="Y138" s="157">
        <v>10693.45</v>
      </c>
      <c r="Z138" s="157">
        <v>32094.27</v>
      </c>
      <c r="AA138" s="157">
        <v>361878.13</v>
      </c>
      <c r="AB138" s="157">
        <v>1285386.1100000001</v>
      </c>
      <c r="AC138" s="157">
        <v>4591132.3600000003</v>
      </c>
      <c r="AD138" s="157">
        <v>440.59</v>
      </c>
      <c r="AE138" s="157">
        <v>4258767.5</v>
      </c>
      <c r="AF138" s="398">
        <f t="shared" si="54"/>
        <v>9666.0557434349394</v>
      </c>
      <c r="AG138" s="398">
        <f t="shared" si="55"/>
        <v>10420.418892848227</v>
      </c>
      <c r="AH138" s="399">
        <f t="shared" si="56"/>
        <v>754.36</v>
      </c>
      <c r="AI138" s="157">
        <v>126.99</v>
      </c>
      <c r="AJ138" s="157">
        <v>1193890.1599999999</v>
      </c>
      <c r="AK138" s="398">
        <f t="shared" si="57"/>
        <v>9401.4501929285761</v>
      </c>
      <c r="AL138" s="398">
        <f t="shared" si="58"/>
        <v>10121.947476179228</v>
      </c>
      <c r="AM138" s="399">
        <f t="shared" si="59"/>
        <v>720.5</v>
      </c>
      <c r="AN138" s="397">
        <v>0</v>
      </c>
      <c r="AO138" s="397">
        <v>0</v>
      </c>
      <c r="AP138" s="46"/>
      <c r="AQ138" s="402">
        <v>0</v>
      </c>
      <c r="AR138" s="274">
        <v>1080841.6299999999</v>
      </c>
      <c r="AS138" s="413">
        <v>304245.76000000001</v>
      </c>
      <c r="AX138" s="2"/>
      <c r="BA138" s="342"/>
      <c r="BB138" s="342"/>
      <c r="BC138" s="342"/>
      <c r="BD138" s="386"/>
      <c r="BE138" s="386"/>
      <c r="BF138" s="386"/>
      <c r="BG138" s="386"/>
      <c r="BH138" s="386"/>
      <c r="BI138" s="386"/>
      <c r="BJ138" s="386"/>
      <c r="BK138" s="386"/>
      <c r="BL138" s="386"/>
      <c r="BM138" s="386"/>
      <c r="BN138" s="387"/>
      <c r="BO138" s="265"/>
      <c r="BP138" s="386"/>
      <c r="BQ138" s="388"/>
      <c r="BR138" s="388"/>
      <c r="BS138" s="389"/>
      <c r="BT138" s="389"/>
      <c r="BU138" s="389"/>
      <c r="BV138" s="386"/>
      <c r="BW138" s="389"/>
      <c r="BX138" s="389"/>
      <c r="BY138" s="386"/>
      <c r="BZ138" s="386"/>
      <c r="CA138" s="386"/>
      <c r="CB138" s="386"/>
      <c r="CC138" s="386"/>
      <c r="CD138" s="386"/>
      <c r="CE138" s="386"/>
      <c r="CF138" s="390"/>
      <c r="CG138" s="390"/>
      <c r="CH138" s="391"/>
      <c r="CI138" s="386"/>
      <c r="CJ138" s="386"/>
      <c r="CK138" s="390"/>
      <c r="CL138" s="390"/>
      <c r="CM138" s="391"/>
      <c r="CN138" s="389"/>
      <c r="CO138" s="389"/>
      <c r="CP138" s="135"/>
      <c r="CQ138" s="135"/>
      <c r="CR138" s="135"/>
      <c r="CS138" s="135"/>
      <c r="CT138" s="135"/>
      <c r="CU138" s="135"/>
    </row>
    <row r="139" spans="1:99">
      <c r="A139" s="342" t="s">
        <v>300</v>
      </c>
      <c r="B139" s="342" t="s">
        <v>299</v>
      </c>
      <c r="C139" s="342" t="s">
        <v>963</v>
      </c>
      <c r="D139" s="157">
        <v>0</v>
      </c>
      <c r="E139" s="157">
        <v>214318.97</v>
      </c>
      <c r="F139" s="157">
        <v>0</v>
      </c>
      <c r="G139" s="157">
        <v>40970304.039999999</v>
      </c>
      <c r="H139" s="157">
        <v>5804046.1600000001</v>
      </c>
      <c r="I139" s="157">
        <v>0</v>
      </c>
      <c r="J139" s="157">
        <v>2292914.3199999998</v>
      </c>
      <c r="K139" s="157">
        <v>7263617.2800000003</v>
      </c>
      <c r="L139" s="157">
        <v>1055042.51</v>
      </c>
      <c r="M139" s="157">
        <v>14406249.310000001</v>
      </c>
      <c r="N139" s="264">
        <v>3.95E-2</v>
      </c>
      <c r="O139" s="265">
        <v>0.1172</v>
      </c>
      <c r="P139" s="157">
        <v>0</v>
      </c>
      <c r="Q139" s="396">
        <v>0</v>
      </c>
      <c r="R139" s="396">
        <v>0</v>
      </c>
      <c r="S139" s="397">
        <v>0</v>
      </c>
      <c r="T139" s="397">
        <v>0</v>
      </c>
      <c r="U139" s="397">
        <v>0</v>
      </c>
      <c r="V139" s="157">
        <v>0</v>
      </c>
      <c r="W139" s="397">
        <v>0</v>
      </c>
      <c r="X139" s="397">
        <v>0</v>
      </c>
      <c r="Y139" s="157">
        <v>12353.52</v>
      </c>
      <c r="Z139" s="157">
        <v>41846.230000000003</v>
      </c>
      <c r="AA139" s="157">
        <v>567082.74</v>
      </c>
      <c r="AB139" s="157">
        <v>3374327.06</v>
      </c>
      <c r="AC139" s="157">
        <v>17356367.66</v>
      </c>
      <c r="AD139" s="157">
        <v>1655.48</v>
      </c>
      <c r="AE139" s="157">
        <v>16002477.91</v>
      </c>
      <c r="AF139" s="398">
        <f t="shared" si="54"/>
        <v>9666.367404015753</v>
      </c>
      <c r="AG139" s="398">
        <f t="shared" si="55"/>
        <v>10484.190482518665</v>
      </c>
      <c r="AH139" s="399">
        <f t="shared" si="56"/>
        <v>817.82</v>
      </c>
      <c r="AI139" s="157">
        <v>333.38</v>
      </c>
      <c r="AJ139" s="157">
        <v>3134442.55</v>
      </c>
      <c r="AK139" s="398">
        <f t="shared" si="57"/>
        <v>9402.0113684084226</v>
      </c>
      <c r="AL139" s="398">
        <f t="shared" si="58"/>
        <v>10121.564161017457</v>
      </c>
      <c r="AM139" s="399">
        <f t="shared" si="59"/>
        <v>719.55</v>
      </c>
      <c r="AN139" s="397">
        <v>0</v>
      </c>
      <c r="AO139" s="397">
        <v>0</v>
      </c>
      <c r="AP139" s="46"/>
      <c r="AQ139" s="402">
        <v>0</v>
      </c>
      <c r="AR139" s="274">
        <v>3378890.89</v>
      </c>
      <c r="AS139" s="413">
        <v>918866.36</v>
      </c>
      <c r="AX139" s="2"/>
      <c r="BA139" s="342"/>
      <c r="BB139" s="342"/>
      <c r="BC139" s="342"/>
      <c r="BD139" s="386"/>
      <c r="BE139" s="386"/>
      <c r="BF139" s="386"/>
      <c r="BG139" s="386"/>
      <c r="BH139" s="386"/>
      <c r="BI139" s="386"/>
      <c r="BJ139" s="386"/>
      <c r="BK139" s="386"/>
      <c r="BL139" s="386"/>
      <c r="BM139" s="386"/>
      <c r="BN139" s="387"/>
      <c r="BO139" s="265"/>
      <c r="BP139" s="386"/>
      <c r="BQ139" s="388"/>
      <c r="BR139" s="388"/>
      <c r="BS139" s="389"/>
      <c r="BT139" s="389"/>
      <c r="BU139" s="389"/>
      <c r="BV139" s="386"/>
      <c r="BW139" s="389"/>
      <c r="BX139" s="389"/>
      <c r="BY139" s="386"/>
      <c r="BZ139" s="386"/>
      <c r="CA139" s="386"/>
      <c r="CB139" s="386"/>
      <c r="CC139" s="386"/>
      <c r="CD139" s="386"/>
      <c r="CE139" s="386"/>
      <c r="CF139" s="390"/>
      <c r="CG139" s="390"/>
      <c r="CH139" s="391"/>
      <c r="CI139" s="386"/>
      <c r="CJ139" s="386"/>
      <c r="CK139" s="390"/>
      <c r="CL139" s="390"/>
      <c r="CM139" s="391"/>
      <c r="CN139" s="389"/>
      <c r="CO139" s="389"/>
      <c r="CP139" s="135"/>
      <c r="CQ139" s="135"/>
      <c r="CR139" s="135"/>
      <c r="CS139" s="135"/>
      <c r="CT139" s="135"/>
      <c r="CU139" s="135"/>
    </row>
    <row r="140" spans="1:99">
      <c r="A140" s="342" t="s">
        <v>302</v>
      </c>
      <c r="B140" s="342" t="s">
        <v>301</v>
      </c>
      <c r="C140" s="342" t="s">
        <v>964</v>
      </c>
      <c r="D140" s="157">
        <v>0</v>
      </c>
      <c r="E140" s="157">
        <v>68138.45</v>
      </c>
      <c r="F140" s="157">
        <v>0</v>
      </c>
      <c r="G140" s="157">
        <v>4269902.21</v>
      </c>
      <c r="H140" s="157">
        <v>961222.34</v>
      </c>
      <c r="I140" s="157">
        <v>0</v>
      </c>
      <c r="J140" s="157">
        <v>812203.23</v>
      </c>
      <c r="K140" s="157">
        <v>464006.87</v>
      </c>
      <c r="L140" s="157">
        <v>85470.44</v>
      </c>
      <c r="M140" s="157">
        <v>2235720.9</v>
      </c>
      <c r="N140" s="264">
        <v>6.1100000000000002E-2</v>
      </c>
      <c r="O140" s="265">
        <v>0.1762</v>
      </c>
      <c r="P140" s="157">
        <v>0</v>
      </c>
      <c r="Q140" s="396">
        <v>0</v>
      </c>
      <c r="R140" s="396">
        <v>0</v>
      </c>
      <c r="S140" s="397">
        <v>0</v>
      </c>
      <c r="T140" s="397">
        <v>0</v>
      </c>
      <c r="U140" s="397">
        <v>0</v>
      </c>
      <c r="V140" s="157">
        <v>0</v>
      </c>
      <c r="W140" s="397">
        <v>0</v>
      </c>
      <c r="X140" s="397">
        <v>0</v>
      </c>
      <c r="Y140" s="157">
        <v>2987.45</v>
      </c>
      <c r="Z140" s="157">
        <v>0</v>
      </c>
      <c r="AA140" s="157">
        <v>107965.27</v>
      </c>
      <c r="AB140" s="157">
        <v>142388.54</v>
      </c>
      <c r="AC140" s="157">
        <v>985477.7</v>
      </c>
      <c r="AD140" s="157">
        <v>97.09</v>
      </c>
      <c r="AE140" s="157">
        <v>921080.54</v>
      </c>
      <c r="AF140" s="398">
        <f t="shared" si="54"/>
        <v>9486.8734164177567</v>
      </c>
      <c r="AG140" s="398">
        <f t="shared" si="55"/>
        <v>10150.146256051086</v>
      </c>
      <c r="AH140" s="399">
        <f t="shared" si="56"/>
        <v>663.27</v>
      </c>
      <c r="AI140" s="157">
        <v>14.33</v>
      </c>
      <c r="AJ140" s="157">
        <v>132413.47</v>
      </c>
      <c r="AK140" s="398">
        <f t="shared" si="57"/>
        <v>9240.2979762735522</v>
      </c>
      <c r="AL140" s="398">
        <f t="shared" si="58"/>
        <v>9936.3949755757167</v>
      </c>
      <c r="AM140" s="399">
        <f t="shared" si="59"/>
        <v>696.1</v>
      </c>
      <c r="AN140" s="397">
        <v>0</v>
      </c>
      <c r="AO140" s="397">
        <v>0</v>
      </c>
      <c r="AP140" s="46"/>
      <c r="AQ140" s="402">
        <v>263365.38</v>
      </c>
      <c r="AR140" s="274">
        <v>292310.61</v>
      </c>
      <c r="AS140" s="413">
        <v>90536.97</v>
      </c>
      <c r="AX140" s="2"/>
      <c r="BA140" s="342"/>
      <c r="BB140" s="342"/>
      <c r="BC140" s="342"/>
      <c r="BD140" s="386"/>
      <c r="BE140" s="386"/>
      <c r="BF140" s="386"/>
      <c r="BG140" s="386"/>
      <c r="BH140" s="386"/>
      <c r="BI140" s="386"/>
      <c r="BJ140" s="386"/>
      <c r="BK140" s="386"/>
      <c r="BL140" s="386"/>
      <c r="BM140" s="386"/>
      <c r="BN140" s="387"/>
      <c r="BO140" s="265"/>
      <c r="BP140" s="386"/>
      <c r="BQ140" s="388"/>
      <c r="BR140" s="388"/>
      <c r="BS140" s="389"/>
      <c r="BT140" s="389"/>
      <c r="BU140" s="389"/>
      <c r="BV140" s="386"/>
      <c r="BW140" s="389"/>
      <c r="BX140" s="389"/>
      <c r="BY140" s="386"/>
      <c r="BZ140" s="386"/>
      <c r="CA140" s="386"/>
      <c r="CB140" s="386"/>
      <c r="CC140" s="386"/>
      <c r="CD140" s="386"/>
      <c r="CE140" s="386"/>
      <c r="CF140" s="390"/>
      <c r="CG140" s="390"/>
      <c r="CH140" s="391"/>
      <c r="CI140" s="386"/>
      <c r="CJ140" s="386"/>
      <c r="CK140" s="390"/>
      <c r="CL140" s="390"/>
      <c r="CM140" s="391"/>
      <c r="CN140" s="389"/>
      <c r="CO140" s="389"/>
      <c r="CP140" s="135"/>
      <c r="CQ140" s="135"/>
      <c r="CR140" s="135"/>
      <c r="CS140" s="135"/>
      <c r="CT140" s="135"/>
      <c r="CU140" s="135"/>
    </row>
    <row r="141" spans="1:99">
      <c r="A141" s="342" t="s">
        <v>304</v>
      </c>
      <c r="B141" s="342" t="s">
        <v>303</v>
      </c>
      <c r="C141" s="342" t="s">
        <v>965</v>
      </c>
      <c r="D141" s="157">
        <v>0</v>
      </c>
      <c r="E141" s="157">
        <v>0</v>
      </c>
      <c r="F141" s="157">
        <v>0</v>
      </c>
      <c r="G141" s="157">
        <v>31116.16</v>
      </c>
      <c r="H141" s="157">
        <v>11386.75</v>
      </c>
      <c r="I141" s="157">
        <v>10758.71</v>
      </c>
      <c r="J141" s="157">
        <v>13965.64</v>
      </c>
      <c r="K141" s="157">
        <v>0</v>
      </c>
      <c r="L141" s="157">
        <v>827.6</v>
      </c>
      <c r="M141" s="157">
        <v>73584.429999999993</v>
      </c>
      <c r="N141" s="264">
        <v>0.2198</v>
      </c>
      <c r="O141" s="265">
        <v>0.39319999999999999</v>
      </c>
      <c r="P141" s="157">
        <v>0</v>
      </c>
      <c r="Q141" s="396">
        <v>0</v>
      </c>
      <c r="R141" s="396">
        <v>0</v>
      </c>
      <c r="S141" s="397">
        <v>0</v>
      </c>
      <c r="T141" s="397">
        <v>0</v>
      </c>
      <c r="U141" s="397">
        <v>0</v>
      </c>
      <c r="V141" s="157">
        <v>0</v>
      </c>
      <c r="W141" s="397">
        <v>0</v>
      </c>
      <c r="X141" s="397">
        <v>0</v>
      </c>
      <c r="Y141" s="157">
        <v>31.58</v>
      </c>
      <c r="Z141" s="157">
        <v>0</v>
      </c>
      <c r="AA141" s="157">
        <v>0</v>
      </c>
      <c r="AB141" s="157">
        <v>0</v>
      </c>
      <c r="AC141" s="157">
        <v>0</v>
      </c>
      <c r="AD141" s="157">
        <v>0</v>
      </c>
      <c r="AE141" s="157">
        <v>0</v>
      </c>
      <c r="AF141" s="398">
        <f t="shared" si="54"/>
        <v>0</v>
      </c>
      <c r="AG141" s="398">
        <f t="shared" si="55"/>
        <v>0</v>
      </c>
      <c r="AH141" s="399">
        <f t="shared" si="56"/>
        <v>0</v>
      </c>
      <c r="AI141" s="157">
        <v>0</v>
      </c>
      <c r="AJ141" s="157">
        <v>0</v>
      </c>
      <c r="AK141" s="398">
        <f t="shared" si="57"/>
        <v>0</v>
      </c>
      <c r="AL141" s="398">
        <f t="shared" si="58"/>
        <v>0</v>
      </c>
      <c r="AM141" s="399">
        <f t="shared" si="59"/>
        <v>0</v>
      </c>
      <c r="AN141" s="397">
        <v>0</v>
      </c>
      <c r="AO141" s="397">
        <v>0</v>
      </c>
      <c r="AP141" s="46"/>
      <c r="AQ141" s="402">
        <v>0</v>
      </c>
      <c r="AR141" s="274">
        <v>6084.83</v>
      </c>
      <c r="AS141" s="413">
        <v>11041.89</v>
      </c>
      <c r="AX141" s="2"/>
      <c r="BA141" s="342"/>
      <c r="BB141" s="342"/>
      <c r="BC141" s="342"/>
      <c r="BD141" s="386"/>
      <c r="BE141" s="386"/>
      <c r="BF141" s="386"/>
      <c r="BG141" s="386"/>
      <c r="BH141" s="386"/>
      <c r="BI141" s="386"/>
      <c r="BJ141" s="386"/>
      <c r="BK141" s="386"/>
      <c r="BL141" s="386"/>
      <c r="BM141" s="386"/>
      <c r="BN141" s="387"/>
      <c r="BO141" s="265"/>
      <c r="BP141" s="386"/>
      <c r="BQ141" s="388"/>
      <c r="BR141" s="388"/>
      <c r="BS141" s="389"/>
      <c r="BT141" s="389"/>
      <c r="BU141" s="389"/>
      <c r="BV141" s="386"/>
      <c r="BW141" s="389"/>
      <c r="BX141" s="389"/>
      <c r="BY141" s="386"/>
      <c r="BZ141" s="386"/>
      <c r="CA141" s="386"/>
      <c r="CB141" s="386"/>
      <c r="CC141" s="386"/>
      <c r="CD141" s="386"/>
      <c r="CE141" s="386"/>
      <c r="CF141" s="390"/>
      <c r="CG141" s="390"/>
      <c r="CH141" s="391"/>
      <c r="CI141" s="386"/>
      <c r="CJ141" s="386"/>
      <c r="CK141" s="390"/>
      <c r="CL141" s="390"/>
      <c r="CM141" s="391"/>
      <c r="CN141" s="389"/>
      <c r="CO141" s="389"/>
      <c r="CP141" s="135"/>
      <c r="CQ141" s="135"/>
      <c r="CR141" s="135"/>
      <c r="CS141" s="135"/>
      <c r="CT141" s="135"/>
      <c r="CU141" s="135"/>
    </row>
    <row r="142" spans="1:99">
      <c r="A142" s="342" t="s">
        <v>306</v>
      </c>
      <c r="B142" s="342" t="s">
        <v>305</v>
      </c>
      <c r="C142" s="342" t="s">
        <v>966</v>
      </c>
      <c r="D142" s="157">
        <v>0</v>
      </c>
      <c r="E142" s="157">
        <v>8835.9</v>
      </c>
      <c r="F142" s="157">
        <v>0</v>
      </c>
      <c r="G142" s="157">
        <v>621161.89</v>
      </c>
      <c r="H142" s="157">
        <v>101100.07</v>
      </c>
      <c r="I142" s="157">
        <v>0</v>
      </c>
      <c r="J142" s="157">
        <v>112242.32</v>
      </c>
      <c r="K142" s="157">
        <v>0</v>
      </c>
      <c r="L142" s="157">
        <v>17172.560000000001</v>
      </c>
      <c r="M142" s="157">
        <v>638295.44999999995</v>
      </c>
      <c r="N142" s="264">
        <v>2.3699999999999999E-2</v>
      </c>
      <c r="O142" s="265">
        <v>0.2276</v>
      </c>
      <c r="P142" s="157">
        <v>0</v>
      </c>
      <c r="Q142" s="396">
        <v>0</v>
      </c>
      <c r="R142" s="396">
        <v>0</v>
      </c>
      <c r="S142" s="397">
        <v>0</v>
      </c>
      <c r="T142" s="397">
        <v>0</v>
      </c>
      <c r="U142" s="397">
        <v>0</v>
      </c>
      <c r="V142" s="157">
        <v>0</v>
      </c>
      <c r="W142" s="397">
        <v>0</v>
      </c>
      <c r="X142" s="397">
        <v>0</v>
      </c>
      <c r="Y142" s="157">
        <v>0</v>
      </c>
      <c r="Z142" s="157">
        <v>0</v>
      </c>
      <c r="AA142" s="157">
        <v>0</v>
      </c>
      <c r="AB142" s="157">
        <v>0</v>
      </c>
      <c r="AC142" s="157">
        <v>257003.66</v>
      </c>
      <c r="AD142" s="157">
        <v>27.46</v>
      </c>
      <c r="AE142" s="157">
        <v>236040.01</v>
      </c>
      <c r="AF142" s="398">
        <f t="shared" si="54"/>
        <v>8595.776037873271</v>
      </c>
      <c r="AG142" s="398">
        <f t="shared" si="55"/>
        <v>9359.2010196649662</v>
      </c>
      <c r="AH142" s="399">
        <f t="shared" si="56"/>
        <v>763.42</v>
      </c>
      <c r="AI142" s="157">
        <v>0</v>
      </c>
      <c r="AJ142" s="157">
        <v>0</v>
      </c>
      <c r="AK142" s="398">
        <f t="shared" si="57"/>
        <v>0</v>
      </c>
      <c r="AL142" s="398">
        <f t="shared" si="58"/>
        <v>0</v>
      </c>
      <c r="AM142" s="399">
        <f t="shared" si="59"/>
        <v>0</v>
      </c>
      <c r="AN142" s="397">
        <v>0</v>
      </c>
      <c r="AO142" s="397">
        <v>0</v>
      </c>
      <c r="AP142" s="46"/>
      <c r="AQ142" s="402">
        <v>0</v>
      </c>
      <c r="AR142" s="274">
        <v>58452.549999999996</v>
      </c>
      <c r="AS142" s="413">
        <v>28112.11</v>
      </c>
      <c r="AX142" s="2"/>
      <c r="BA142" s="342"/>
      <c r="BB142" s="342"/>
      <c r="BC142" s="342"/>
      <c r="BD142" s="386"/>
      <c r="BE142" s="386"/>
      <c r="BF142" s="386"/>
      <c r="BG142" s="386"/>
      <c r="BH142" s="386"/>
      <c r="BI142" s="386"/>
      <c r="BJ142" s="386"/>
      <c r="BK142" s="386"/>
      <c r="BL142" s="386"/>
      <c r="BM142" s="386"/>
      <c r="BN142" s="387"/>
      <c r="BO142" s="265"/>
      <c r="BP142" s="386"/>
      <c r="BQ142" s="388"/>
      <c r="BR142" s="388"/>
      <c r="BS142" s="389"/>
      <c r="BT142" s="389"/>
      <c r="BU142" s="389"/>
      <c r="BV142" s="386"/>
      <c r="BW142" s="389"/>
      <c r="BX142" s="389"/>
      <c r="BY142" s="386"/>
      <c r="BZ142" s="386"/>
      <c r="CA142" s="386"/>
      <c r="CB142" s="386"/>
      <c r="CC142" s="386"/>
      <c r="CD142" s="386"/>
      <c r="CE142" s="386"/>
      <c r="CF142" s="390"/>
      <c r="CG142" s="390"/>
      <c r="CH142" s="391"/>
      <c r="CI142" s="386"/>
      <c r="CJ142" s="386"/>
      <c r="CK142" s="390"/>
      <c r="CL142" s="390"/>
      <c r="CM142" s="391"/>
      <c r="CN142" s="389"/>
      <c r="CO142" s="389"/>
      <c r="CP142" s="135"/>
      <c r="CQ142" s="135"/>
      <c r="CR142" s="135"/>
      <c r="CS142" s="135"/>
      <c r="CT142" s="135"/>
      <c r="CU142" s="135"/>
    </row>
    <row r="143" spans="1:99">
      <c r="A143" s="342" t="s">
        <v>308</v>
      </c>
      <c r="B143" s="342" t="s">
        <v>307</v>
      </c>
      <c r="C143" s="342" t="s">
        <v>967</v>
      </c>
      <c r="D143" s="157">
        <v>0</v>
      </c>
      <c r="E143" s="157">
        <v>0</v>
      </c>
      <c r="F143" s="157">
        <v>5635.28</v>
      </c>
      <c r="G143" s="157">
        <v>228319.97</v>
      </c>
      <c r="H143" s="157">
        <v>24909.16</v>
      </c>
      <c r="I143" s="157">
        <v>58448.77</v>
      </c>
      <c r="J143" s="157">
        <v>84000.71</v>
      </c>
      <c r="K143" s="157">
        <v>50853.66</v>
      </c>
      <c r="L143" s="157">
        <v>6000.05</v>
      </c>
      <c r="M143" s="157">
        <v>920831.32</v>
      </c>
      <c r="N143" s="264">
        <v>5.4899999999999997E-2</v>
      </c>
      <c r="O143" s="265">
        <v>0.1925</v>
      </c>
      <c r="P143" s="157">
        <v>0</v>
      </c>
      <c r="Q143" s="396">
        <v>0</v>
      </c>
      <c r="R143" s="396">
        <v>0</v>
      </c>
      <c r="S143" s="397">
        <v>0</v>
      </c>
      <c r="T143" s="397">
        <v>0</v>
      </c>
      <c r="U143" s="397">
        <v>0</v>
      </c>
      <c r="V143" s="157">
        <v>0</v>
      </c>
      <c r="W143" s="397">
        <v>0</v>
      </c>
      <c r="X143" s="397">
        <v>0</v>
      </c>
      <c r="Y143" s="157">
        <v>0</v>
      </c>
      <c r="Z143" s="157">
        <v>0</v>
      </c>
      <c r="AA143" s="157">
        <v>0</v>
      </c>
      <c r="AB143" s="157">
        <v>55183.89</v>
      </c>
      <c r="AC143" s="157">
        <v>115242.35</v>
      </c>
      <c r="AD143" s="157">
        <v>12.82</v>
      </c>
      <c r="AE143" s="157">
        <v>110185.25</v>
      </c>
      <c r="AF143" s="398">
        <f t="shared" si="54"/>
        <v>8594.7932917316684</v>
      </c>
      <c r="AG143" s="398">
        <f t="shared" si="55"/>
        <v>8989.26287051482</v>
      </c>
      <c r="AH143" s="399">
        <f t="shared" si="56"/>
        <v>394.47</v>
      </c>
      <c r="AI143" s="157">
        <v>6.14</v>
      </c>
      <c r="AJ143" s="157">
        <v>51047.95</v>
      </c>
      <c r="AK143" s="398">
        <f t="shared" si="57"/>
        <v>8313.998371335505</v>
      </c>
      <c r="AL143" s="398">
        <f t="shared" si="58"/>
        <v>8987.6042345276874</v>
      </c>
      <c r="AM143" s="399">
        <f t="shared" si="59"/>
        <v>673.61</v>
      </c>
      <c r="AN143" s="397">
        <v>18.350000000000001</v>
      </c>
      <c r="AO143" s="397">
        <v>0</v>
      </c>
      <c r="AP143" s="46"/>
      <c r="AQ143" s="402">
        <v>0</v>
      </c>
      <c r="AR143" s="274">
        <v>32128</v>
      </c>
      <c r="AS143" s="413">
        <v>16570</v>
      </c>
      <c r="AX143" s="2"/>
      <c r="BA143" s="342"/>
      <c r="BB143" s="342"/>
      <c r="BC143" s="342"/>
      <c r="BD143" s="386"/>
      <c r="BE143" s="386"/>
      <c r="BF143" s="386"/>
      <c r="BG143" s="386"/>
      <c r="BH143" s="386"/>
      <c r="BI143" s="386"/>
      <c r="BJ143" s="386"/>
      <c r="BK143" s="386"/>
      <c r="BL143" s="386"/>
      <c r="BM143" s="386"/>
      <c r="BN143" s="387"/>
      <c r="BO143" s="265"/>
      <c r="BP143" s="386"/>
      <c r="BQ143" s="388"/>
      <c r="BR143" s="388"/>
      <c r="BS143" s="389"/>
      <c r="BT143" s="389"/>
      <c r="BU143" s="389"/>
      <c r="BV143" s="386"/>
      <c r="BW143" s="389"/>
      <c r="BX143" s="389"/>
      <c r="BY143" s="386"/>
      <c r="BZ143" s="386"/>
      <c r="CA143" s="386"/>
      <c r="CB143" s="386"/>
      <c r="CC143" s="386"/>
      <c r="CD143" s="386"/>
      <c r="CE143" s="386"/>
      <c r="CF143" s="390"/>
      <c r="CG143" s="390"/>
      <c r="CH143" s="391"/>
      <c r="CI143" s="386"/>
      <c r="CJ143" s="386"/>
      <c r="CK143" s="390"/>
      <c r="CL143" s="390"/>
      <c r="CM143" s="391"/>
      <c r="CN143" s="389"/>
      <c r="CO143" s="389"/>
      <c r="CP143" s="135"/>
      <c r="CQ143" s="135"/>
      <c r="CR143" s="135"/>
      <c r="CS143" s="135"/>
      <c r="CT143" s="135"/>
      <c r="CU143" s="135"/>
    </row>
    <row r="144" spans="1:99">
      <c r="A144" s="342" t="s">
        <v>310</v>
      </c>
      <c r="B144" s="342" t="s">
        <v>309</v>
      </c>
      <c r="C144" s="342" t="s">
        <v>968</v>
      </c>
      <c r="D144" s="157">
        <v>0</v>
      </c>
      <c r="E144" s="157">
        <v>53566.3</v>
      </c>
      <c r="F144" s="157">
        <v>104973.14</v>
      </c>
      <c r="G144" s="157">
        <v>9819688.8399999999</v>
      </c>
      <c r="H144" s="157">
        <v>2284365.62</v>
      </c>
      <c r="I144" s="157">
        <v>1312252.3700000001</v>
      </c>
      <c r="J144" s="157">
        <v>2562745.62</v>
      </c>
      <c r="K144" s="157">
        <v>661300.5</v>
      </c>
      <c r="L144" s="157">
        <v>183932.57</v>
      </c>
      <c r="M144" s="157">
        <v>3097423.34</v>
      </c>
      <c r="N144" s="264">
        <v>5.8799999999999998E-2</v>
      </c>
      <c r="O144" s="265">
        <v>0.17710000000000001</v>
      </c>
      <c r="P144" s="157">
        <v>0</v>
      </c>
      <c r="Q144" s="396">
        <v>0</v>
      </c>
      <c r="R144" s="396">
        <v>0</v>
      </c>
      <c r="S144" s="397">
        <v>0</v>
      </c>
      <c r="T144" s="397">
        <v>0</v>
      </c>
      <c r="U144" s="397">
        <v>0</v>
      </c>
      <c r="V144" s="157">
        <v>0</v>
      </c>
      <c r="W144" s="397">
        <v>0</v>
      </c>
      <c r="X144" s="397">
        <v>0</v>
      </c>
      <c r="Y144" s="157">
        <v>466.89</v>
      </c>
      <c r="Z144" s="157">
        <v>0</v>
      </c>
      <c r="AA144" s="157">
        <v>281512.78000000003</v>
      </c>
      <c r="AB144" s="157">
        <v>377787.55</v>
      </c>
      <c r="AC144" s="157">
        <v>3020750.56</v>
      </c>
      <c r="AD144" s="157">
        <v>323.70999999999998</v>
      </c>
      <c r="AE144" s="157">
        <v>2780683.16</v>
      </c>
      <c r="AF144" s="398">
        <f t="shared" si="54"/>
        <v>8590.0440517747375</v>
      </c>
      <c r="AG144" s="398">
        <f t="shared" si="55"/>
        <v>9331.6566062216189</v>
      </c>
      <c r="AH144" s="399">
        <f t="shared" si="56"/>
        <v>741.61</v>
      </c>
      <c r="AI144" s="157">
        <v>42.09</v>
      </c>
      <c r="AJ144" s="157">
        <v>350859.77</v>
      </c>
      <c r="AK144" s="398">
        <f t="shared" si="57"/>
        <v>8335.9413162271321</v>
      </c>
      <c r="AL144" s="398">
        <f t="shared" si="58"/>
        <v>8975.7080066524104</v>
      </c>
      <c r="AM144" s="399">
        <f t="shared" si="59"/>
        <v>639.77</v>
      </c>
      <c r="AN144" s="397">
        <v>0</v>
      </c>
      <c r="AO144" s="397">
        <v>541.85</v>
      </c>
      <c r="AP144" s="46"/>
      <c r="AQ144" s="402">
        <v>0</v>
      </c>
      <c r="AR144" s="274">
        <v>646232.68999999994</v>
      </c>
      <c r="AS144" s="413">
        <v>195946.82</v>
      </c>
      <c r="AX144" s="2"/>
      <c r="BA144" s="342"/>
      <c r="BB144" s="342"/>
      <c r="BC144" s="342"/>
      <c r="BD144" s="386"/>
      <c r="BE144" s="386"/>
      <c r="BF144" s="386"/>
      <c r="BG144" s="386"/>
      <c r="BH144" s="386"/>
      <c r="BI144" s="386"/>
      <c r="BJ144" s="386"/>
      <c r="BK144" s="386"/>
      <c r="BL144" s="386"/>
      <c r="BM144" s="386"/>
      <c r="BN144" s="387"/>
      <c r="BO144" s="265"/>
      <c r="BP144" s="386"/>
      <c r="BQ144" s="388"/>
      <c r="BR144" s="388"/>
      <c r="BS144" s="389"/>
      <c r="BT144" s="389"/>
      <c r="BU144" s="389"/>
      <c r="BV144" s="386"/>
      <c r="BW144" s="389"/>
      <c r="BX144" s="389"/>
      <c r="BY144" s="386"/>
      <c r="BZ144" s="386"/>
      <c r="CA144" s="386"/>
      <c r="CB144" s="386"/>
      <c r="CC144" s="386"/>
      <c r="CD144" s="386"/>
      <c r="CE144" s="386"/>
      <c r="CF144" s="390"/>
      <c r="CG144" s="390"/>
      <c r="CH144" s="391"/>
      <c r="CI144" s="386"/>
      <c r="CJ144" s="386"/>
      <c r="CK144" s="390"/>
      <c r="CL144" s="390"/>
      <c r="CM144" s="391"/>
      <c r="CN144" s="389"/>
      <c r="CO144" s="389"/>
      <c r="CP144" s="135"/>
      <c r="CQ144" s="135"/>
      <c r="CR144" s="135"/>
      <c r="CS144" s="135"/>
      <c r="CT144" s="135"/>
      <c r="CU144" s="135"/>
    </row>
    <row r="145" spans="1:99">
      <c r="A145" s="342" t="s">
        <v>312</v>
      </c>
      <c r="B145" s="342" t="s">
        <v>311</v>
      </c>
      <c r="C145" s="342" t="s">
        <v>969</v>
      </c>
      <c r="D145" s="157">
        <v>0</v>
      </c>
      <c r="E145" s="157">
        <v>0</v>
      </c>
      <c r="F145" s="157">
        <v>0</v>
      </c>
      <c r="G145" s="157">
        <v>154291.24</v>
      </c>
      <c r="H145" s="157">
        <v>23661.919999999998</v>
      </c>
      <c r="I145" s="157">
        <v>31758.89</v>
      </c>
      <c r="J145" s="157">
        <v>86897.27</v>
      </c>
      <c r="K145" s="157">
        <v>0</v>
      </c>
      <c r="L145" s="157">
        <v>6827.64</v>
      </c>
      <c r="M145" s="157">
        <v>0</v>
      </c>
      <c r="N145" s="264">
        <v>0.14829999999999999</v>
      </c>
      <c r="O145" s="265">
        <v>0.29470000000000002</v>
      </c>
      <c r="P145" s="157">
        <v>0</v>
      </c>
      <c r="Q145" s="396">
        <v>0</v>
      </c>
      <c r="R145" s="396">
        <v>0</v>
      </c>
      <c r="S145" s="397">
        <v>0</v>
      </c>
      <c r="T145" s="397">
        <v>0</v>
      </c>
      <c r="U145" s="397">
        <v>0</v>
      </c>
      <c r="V145" s="157">
        <v>0</v>
      </c>
      <c r="W145" s="397">
        <v>0</v>
      </c>
      <c r="X145" s="397">
        <v>0</v>
      </c>
      <c r="Y145" s="157">
        <v>277.43</v>
      </c>
      <c r="Z145" s="157">
        <v>0</v>
      </c>
      <c r="AA145" s="157">
        <v>0</v>
      </c>
      <c r="AB145" s="157">
        <v>0</v>
      </c>
      <c r="AC145" s="157">
        <v>0</v>
      </c>
      <c r="AD145" s="157">
        <v>0</v>
      </c>
      <c r="AE145" s="157">
        <v>0</v>
      </c>
      <c r="AF145" s="398">
        <f t="shared" si="54"/>
        <v>0</v>
      </c>
      <c r="AG145" s="398">
        <f t="shared" si="55"/>
        <v>0</v>
      </c>
      <c r="AH145" s="399">
        <f t="shared" si="56"/>
        <v>0</v>
      </c>
      <c r="AI145" s="157">
        <v>0</v>
      </c>
      <c r="AJ145" s="157">
        <v>0</v>
      </c>
      <c r="AK145" s="398">
        <f t="shared" si="57"/>
        <v>0</v>
      </c>
      <c r="AL145" s="398">
        <f t="shared" si="58"/>
        <v>0</v>
      </c>
      <c r="AM145" s="399">
        <f t="shared" si="59"/>
        <v>0</v>
      </c>
      <c r="AN145" s="397">
        <v>0</v>
      </c>
      <c r="AO145" s="397">
        <v>0</v>
      </c>
      <c r="AP145" s="46"/>
      <c r="AQ145" s="402">
        <v>0</v>
      </c>
      <c r="AR145" s="274">
        <v>13010.560000000001</v>
      </c>
      <c r="AS145" s="413">
        <v>14207.19</v>
      </c>
      <c r="AX145" s="2"/>
      <c r="BA145" s="342"/>
      <c r="BB145" s="342"/>
      <c r="BC145" s="342"/>
      <c r="BD145" s="386"/>
      <c r="BE145" s="386"/>
      <c r="BF145" s="386"/>
      <c r="BG145" s="386"/>
      <c r="BH145" s="386"/>
      <c r="BI145" s="386"/>
      <c r="BJ145" s="386"/>
      <c r="BK145" s="386"/>
      <c r="BL145" s="386"/>
      <c r="BM145" s="386"/>
      <c r="BN145" s="387"/>
      <c r="BO145" s="265"/>
      <c r="BP145" s="386"/>
      <c r="BQ145" s="388"/>
      <c r="BR145" s="388"/>
      <c r="BS145" s="389"/>
      <c r="BT145" s="389"/>
      <c r="BU145" s="389"/>
      <c r="BV145" s="386"/>
      <c r="BW145" s="389"/>
      <c r="BX145" s="389"/>
      <c r="BY145" s="386"/>
      <c r="BZ145" s="386"/>
      <c r="CA145" s="386"/>
      <c r="CB145" s="386"/>
      <c r="CC145" s="386"/>
      <c r="CD145" s="386"/>
      <c r="CE145" s="386"/>
      <c r="CF145" s="390"/>
      <c r="CG145" s="390"/>
      <c r="CH145" s="391"/>
      <c r="CI145" s="386"/>
      <c r="CJ145" s="386"/>
      <c r="CK145" s="390"/>
      <c r="CL145" s="390"/>
      <c r="CM145" s="391"/>
      <c r="CN145" s="389"/>
      <c r="CO145" s="389"/>
      <c r="CP145" s="135"/>
      <c r="CQ145" s="135"/>
      <c r="CR145" s="135"/>
      <c r="CS145" s="135"/>
      <c r="CT145" s="135"/>
      <c r="CU145" s="135"/>
    </row>
    <row r="146" spans="1:99">
      <c r="A146" s="342" t="s">
        <v>314</v>
      </c>
      <c r="B146" s="342" t="s">
        <v>313</v>
      </c>
      <c r="C146" s="342" t="s">
        <v>970</v>
      </c>
      <c r="D146" s="157">
        <v>0</v>
      </c>
      <c r="E146" s="157">
        <v>2575.7800000000002</v>
      </c>
      <c r="F146" s="157">
        <v>0</v>
      </c>
      <c r="G146" s="157">
        <v>461671.42</v>
      </c>
      <c r="H146" s="157">
        <v>43388.97</v>
      </c>
      <c r="I146" s="157">
        <v>0</v>
      </c>
      <c r="J146" s="157">
        <v>77876.47</v>
      </c>
      <c r="K146" s="157">
        <v>39496.57</v>
      </c>
      <c r="L146" s="157">
        <v>7433.14</v>
      </c>
      <c r="M146" s="157">
        <v>255019.5</v>
      </c>
      <c r="N146" s="264">
        <v>0.111</v>
      </c>
      <c r="O146" s="265">
        <v>0.29070000000000001</v>
      </c>
      <c r="P146" s="157">
        <v>0</v>
      </c>
      <c r="Q146" s="396">
        <v>0</v>
      </c>
      <c r="R146" s="396">
        <v>0</v>
      </c>
      <c r="S146" s="397">
        <v>0</v>
      </c>
      <c r="T146" s="397">
        <v>0</v>
      </c>
      <c r="U146" s="397">
        <v>0</v>
      </c>
      <c r="V146" s="157">
        <v>0</v>
      </c>
      <c r="W146" s="397">
        <v>0</v>
      </c>
      <c r="X146" s="397">
        <v>0</v>
      </c>
      <c r="Y146" s="157">
        <v>0</v>
      </c>
      <c r="Z146" s="157">
        <v>0</v>
      </c>
      <c r="AA146" s="157">
        <v>2897</v>
      </c>
      <c r="AB146" s="157">
        <v>14187.5</v>
      </c>
      <c r="AC146" s="157">
        <v>26710.34</v>
      </c>
      <c r="AD146" s="157">
        <v>2.17</v>
      </c>
      <c r="AE146" s="157">
        <v>20246.93</v>
      </c>
      <c r="AF146" s="398">
        <f t="shared" si="54"/>
        <v>9330.382488479263</v>
      </c>
      <c r="AG146" s="398">
        <f t="shared" si="55"/>
        <v>12308.912442396313</v>
      </c>
      <c r="AH146" s="399">
        <f t="shared" si="56"/>
        <v>2978.53</v>
      </c>
      <c r="AI146" s="157">
        <v>1.45</v>
      </c>
      <c r="AJ146" s="157">
        <v>13213.63</v>
      </c>
      <c r="AK146" s="398">
        <f t="shared" si="57"/>
        <v>9112.8482758620685</v>
      </c>
      <c r="AL146" s="398">
        <f t="shared" si="58"/>
        <v>9784.4827586206902</v>
      </c>
      <c r="AM146" s="399">
        <f t="shared" si="59"/>
        <v>671.63</v>
      </c>
      <c r="AN146" s="397">
        <v>0</v>
      </c>
      <c r="AO146" s="397">
        <v>0</v>
      </c>
      <c r="AP146" s="46"/>
      <c r="AQ146" s="402">
        <v>34217.32</v>
      </c>
      <c r="AR146" s="274">
        <v>36294.899999999994</v>
      </c>
      <c r="AS146" s="413">
        <v>17631.54</v>
      </c>
      <c r="AX146" s="2"/>
      <c r="BA146" s="342"/>
      <c r="BB146" s="342"/>
      <c r="BC146" s="342"/>
      <c r="BD146" s="386"/>
      <c r="BE146" s="386"/>
      <c r="BF146" s="386"/>
      <c r="BG146" s="386"/>
      <c r="BH146" s="386"/>
      <c r="BI146" s="386"/>
      <c r="BJ146" s="386"/>
      <c r="BK146" s="386"/>
      <c r="BL146" s="386"/>
      <c r="BM146" s="386"/>
      <c r="BN146" s="387"/>
      <c r="BO146" s="265"/>
      <c r="BP146" s="386"/>
      <c r="BQ146" s="388"/>
      <c r="BR146" s="388"/>
      <c r="BS146" s="389"/>
      <c r="BT146" s="389"/>
      <c r="BU146" s="389"/>
      <c r="BV146" s="386"/>
      <c r="BW146" s="389"/>
      <c r="BX146" s="389"/>
      <c r="BY146" s="386"/>
      <c r="BZ146" s="386"/>
      <c r="CA146" s="386"/>
      <c r="CB146" s="386"/>
      <c r="CC146" s="386"/>
      <c r="CD146" s="386"/>
      <c r="CE146" s="386"/>
      <c r="CF146" s="390"/>
      <c r="CG146" s="390"/>
      <c r="CH146" s="391"/>
      <c r="CI146" s="386"/>
      <c r="CJ146" s="386"/>
      <c r="CK146" s="390"/>
      <c r="CL146" s="390"/>
      <c r="CM146" s="391"/>
      <c r="CN146" s="389"/>
      <c r="CO146" s="389"/>
      <c r="CP146" s="135"/>
      <c r="CQ146" s="135"/>
      <c r="CR146" s="135"/>
      <c r="CS146" s="135"/>
      <c r="CT146" s="135"/>
      <c r="CU146" s="135"/>
    </row>
    <row r="147" spans="1:99">
      <c r="A147" s="342" t="s">
        <v>316</v>
      </c>
      <c r="B147" s="261" t="s">
        <v>315</v>
      </c>
      <c r="C147" s="343" t="s">
        <v>971</v>
      </c>
      <c r="D147" s="157">
        <v>0</v>
      </c>
      <c r="E147" s="157">
        <v>0</v>
      </c>
      <c r="F147" s="157">
        <v>0</v>
      </c>
      <c r="G147" s="157">
        <v>42658.04</v>
      </c>
      <c r="H147" s="157">
        <v>8099.3</v>
      </c>
      <c r="I147" s="157">
        <v>11360.81</v>
      </c>
      <c r="J147" s="157">
        <v>21659.88</v>
      </c>
      <c r="K147" s="157">
        <v>0</v>
      </c>
      <c r="L147" s="157">
        <v>0</v>
      </c>
      <c r="M147" s="157">
        <v>10493.66</v>
      </c>
      <c r="N147" s="264">
        <v>0.08</v>
      </c>
      <c r="O147" s="265">
        <v>0.1</v>
      </c>
      <c r="P147" s="157">
        <v>0</v>
      </c>
      <c r="Q147" s="396">
        <v>0</v>
      </c>
      <c r="R147" s="396">
        <v>0</v>
      </c>
      <c r="S147" s="397">
        <v>0</v>
      </c>
      <c r="T147" s="397">
        <v>0</v>
      </c>
      <c r="U147" s="397">
        <v>0</v>
      </c>
      <c r="V147" s="157">
        <v>0</v>
      </c>
      <c r="W147" s="397">
        <v>0</v>
      </c>
      <c r="X147" s="397">
        <v>0</v>
      </c>
      <c r="Y147" s="157">
        <v>0</v>
      </c>
      <c r="Z147" s="157">
        <v>0</v>
      </c>
      <c r="AA147" s="157">
        <v>0</v>
      </c>
      <c r="AB147" s="157">
        <v>0</v>
      </c>
      <c r="AC147" s="157">
        <v>0</v>
      </c>
      <c r="AD147" s="157">
        <v>0</v>
      </c>
      <c r="AE147" s="157">
        <v>0</v>
      </c>
      <c r="AF147" s="398">
        <f t="shared" si="54"/>
        <v>0</v>
      </c>
      <c r="AG147" s="398">
        <f t="shared" si="55"/>
        <v>0</v>
      </c>
      <c r="AH147" s="399">
        <f t="shared" si="56"/>
        <v>0</v>
      </c>
      <c r="AI147" s="157">
        <v>0</v>
      </c>
      <c r="AJ147" s="157">
        <v>0</v>
      </c>
      <c r="AK147" s="398">
        <f t="shared" si="57"/>
        <v>0</v>
      </c>
      <c r="AL147" s="398">
        <f t="shared" si="58"/>
        <v>0</v>
      </c>
      <c r="AM147" s="399">
        <f t="shared" si="59"/>
        <v>0</v>
      </c>
      <c r="AN147" s="397">
        <v>0</v>
      </c>
      <c r="AO147" s="397">
        <v>0</v>
      </c>
      <c r="AP147" s="46"/>
      <c r="AQ147" s="402">
        <v>0</v>
      </c>
      <c r="AR147" s="274">
        <v>14609.08</v>
      </c>
      <c r="AS147" s="413">
        <v>11067.36</v>
      </c>
      <c r="AX147" s="2"/>
      <c r="BA147" s="342"/>
      <c r="BB147" s="392"/>
      <c r="BC147" s="342"/>
      <c r="BD147" s="386"/>
      <c r="BE147" s="386"/>
      <c r="BF147" s="386"/>
      <c r="BG147" s="386"/>
      <c r="BH147" s="386"/>
      <c r="BI147" s="386"/>
      <c r="BJ147" s="386"/>
      <c r="BK147" s="386"/>
      <c r="BL147" s="386"/>
      <c r="BM147" s="386"/>
      <c r="BN147" s="387"/>
      <c r="BO147" s="265"/>
      <c r="BP147" s="386"/>
      <c r="BQ147" s="388"/>
      <c r="BR147" s="388"/>
      <c r="BS147" s="389"/>
      <c r="BT147" s="389"/>
      <c r="BU147" s="389"/>
      <c r="BV147" s="386"/>
      <c r="BW147" s="389"/>
      <c r="BX147" s="389"/>
      <c r="BY147" s="386"/>
      <c r="BZ147" s="386"/>
      <c r="CA147" s="386"/>
      <c r="CB147" s="386"/>
      <c r="CC147" s="386"/>
      <c r="CD147" s="386"/>
      <c r="CE147" s="386"/>
      <c r="CF147" s="390"/>
      <c r="CG147" s="390"/>
      <c r="CH147" s="391"/>
      <c r="CI147" s="386"/>
      <c r="CJ147" s="386"/>
      <c r="CK147" s="390"/>
      <c r="CL147" s="390"/>
      <c r="CM147" s="391"/>
      <c r="CN147" s="389"/>
      <c r="CO147" s="389"/>
      <c r="CP147" s="135"/>
      <c r="CQ147" s="135"/>
      <c r="CR147" s="135"/>
      <c r="CS147" s="135"/>
      <c r="CT147" s="135"/>
      <c r="CU147" s="135"/>
    </row>
    <row r="148" spans="1:99">
      <c r="A148" s="342" t="s">
        <v>972</v>
      </c>
      <c r="B148" s="342" t="s">
        <v>317</v>
      </c>
      <c r="C148" s="345" t="s">
        <v>973</v>
      </c>
      <c r="D148" s="157">
        <v>0</v>
      </c>
      <c r="E148" s="157">
        <v>0</v>
      </c>
      <c r="F148" s="157">
        <v>0</v>
      </c>
      <c r="G148" s="157">
        <v>674440.47</v>
      </c>
      <c r="H148" s="157">
        <v>176807.67</v>
      </c>
      <c r="I148" s="157">
        <v>128820.24</v>
      </c>
      <c r="J148" s="157">
        <v>260766.1</v>
      </c>
      <c r="K148" s="157">
        <v>0</v>
      </c>
      <c r="L148" s="157">
        <v>0</v>
      </c>
      <c r="M148" s="157">
        <v>592159.91</v>
      </c>
      <c r="N148" s="264">
        <v>0.08</v>
      </c>
      <c r="O148" s="265">
        <v>0.1</v>
      </c>
      <c r="P148" s="157">
        <v>0</v>
      </c>
      <c r="Q148" s="396">
        <v>0</v>
      </c>
      <c r="R148" s="396">
        <v>0</v>
      </c>
      <c r="S148" s="397">
        <v>0</v>
      </c>
      <c r="T148" s="397">
        <v>0</v>
      </c>
      <c r="U148" s="397">
        <v>0</v>
      </c>
      <c r="V148" s="157">
        <v>0</v>
      </c>
      <c r="W148" s="397">
        <v>0</v>
      </c>
      <c r="X148" s="397">
        <v>0</v>
      </c>
      <c r="Y148" s="157">
        <v>0</v>
      </c>
      <c r="Z148" s="157">
        <v>0</v>
      </c>
      <c r="AA148" s="157">
        <v>0</v>
      </c>
      <c r="AB148" s="157">
        <v>0</v>
      </c>
      <c r="AC148" s="157">
        <v>0</v>
      </c>
      <c r="AD148" s="157">
        <v>0</v>
      </c>
      <c r="AE148" s="157">
        <v>0</v>
      </c>
      <c r="AF148" s="398">
        <f t="shared" si="54"/>
        <v>0</v>
      </c>
      <c r="AG148" s="398">
        <f t="shared" si="55"/>
        <v>0</v>
      </c>
      <c r="AH148" s="399">
        <f t="shared" si="56"/>
        <v>0</v>
      </c>
      <c r="AI148" s="157">
        <v>0</v>
      </c>
      <c r="AJ148" s="157">
        <v>0</v>
      </c>
      <c r="AK148" s="398">
        <f t="shared" si="57"/>
        <v>0</v>
      </c>
      <c r="AL148" s="398">
        <f t="shared" si="58"/>
        <v>0</v>
      </c>
      <c r="AM148" s="399">
        <f t="shared" si="59"/>
        <v>0</v>
      </c>
      <c r="AN148" s="397">
        <v>0</v>
      </c>
      <c r="AO148" s="397">
        <v>0</v>
      </c>
      <c r="AP148" s="46"/>
      <c r="AQ148" s="402">
        <v>110095.94</v>
      </c>
      <c r="AR148" s="274">
        <v>54646.81</v>
      </c>
      <c r="AS148" s="413">
        <v>22085.21</v>
      </c>
      <c r="AX148" s="2"/>
      <c r="BA148" s="342"/>
      <c r="BB148" s="342"/>
      <c r="BC148" s="342"/>
      <c r="BD148" s="386"/>
      <c r="BE148" s="386"/>
      <c r="BF148" s="386"/>
      <c r="BG148" s="386"/>
      <c r="BH148" s="386"/>
      <c r="BI148" s="386"/>
      <c r="BJ148" s="386"/>
      <c r="BK148" s="386"/>
      <c r="BL148" s="386"/>
      <c r="BM148" s="386"/>
      <c r="BN148" s="387"/>
      <c r="BO148" s="265"/>
      <c r="BP148" s="386"/>
      <c r="BQ148" s="388"/>
      <c r="BR148" s="388"/>
      <c r="BS148" s="389"/>
      <c r="BT148" s="389"/>
      <c r="BU148" s="389"/>
      <c r="BV148" s="386"/>
      <c r="BW148" s="389"/>
      <c r="BX148" s="389"/>
      <c r="BY148" s="386"/>
      <c r="BZ148" s="386"/>
      <c r="CA148" s="386"/>
      <c r="CB148" s="386"/>
      <c r="CC148" s="386"/>
      <c r="CD148" s="386"/>
      <c r="CE148" s="386"/>
      <c r="CF148" s="390"/>
      <c r="CG148" s="390"/>
      <c r="CH148" s="391"/>
      <c r="CI148" s="386"/>
      <c r="CJ148" s="386"/>
      <c r="CK148" s="390"/>
      <c r="CL148" s="390"/>
      <c r="CM148" s="391"/>
      <c r="CN148" s="389"/>
      <c r="CO148" s="389"/>
      <c r="CP148" s="135"/>
      <c r="CQ148" s="135"/>
      <c r="CR148" s="135"/>
      <c r="CS148" s="135"/>
      <c r="CT148" s="135"/>
      <c r="CU148" s="135"/>
    </row>
    <row r="149" spans="1:99">
      <c r="A149" s="342" t="s">
        <v>320</v>
      </c>
      <c r="B149" s="342" t="s">
        <v>319</v>
      </c>
      <c r="C149" s="342" t="s">
        <v>974</v>
      </c>
      <c r="D149" s="157">
        <v>0</v>
      </c>
      <c r="E149" s="157">
        <v>8100.72</v>
      </c>
      <c r="F149" s="157">
        <v>5987.49</v>
      </c>
      <c r="G149" s="157">
        <v>0</v>
      </c>
      <c r="H149" s="157">
        <v>0</v>
      </c>
      <c r="I149" s="157">
        <v>62276.38</v>
      </c>
      <c r="J149" s="157">
        <v>120414.79</v>
      </c>
      <c r="K149" s="157">
        <v>0</v>
      </c>
      <c r="L149" s="157">
        <v>6103.51</v>
      </c>
      <c r="M149" s="157">
        <v>0</v>
      </c>
      <c r="N149" s="264">
        <v>2.98E-2</v>
      </c>
      <c r="O149" s="265">
        <v>0.20580000000000001</v>
      </c>
      <c r="P149" s="157">
        <v>0</v>
      </c>
      <c r="Q149" s="396">
        <v>0</v>
      </c>
      <c r="R149" s="396">
        <v>0</v>
      </c>
      <c r="S149" s="397">
        <v>0</v>
      </c>
      <c r="T149" s="397">
        <v>0</v>
      </c>
      <c r="U149" s="397">
        <v>0</v>
      </c>
      <c r="V149" s="157">
        <v>0</v>
      </c>
      <c r="W149" s="397">
        <v>0</v>
      </c>
      <c r="X149" s="397">
        <v>0</v>
      </c>
      <c r="Y149" s="157">
        <v>0</v>
      </c>
      <c r="Z149" s="157">
        <v>0</v>
      </c>
      <c r="AA149" s="157">
        <v>0</v>
      </c>
      <c r="AB149" s="157">
        <v>0</v>
      </c>
      <c r="AC149" s="157">
        <v>3347.54</v>
      </c>
      <c r="AD149" s="157">
        <v>0</v>
      </c>
      <c r="AE149" s="157">
        <v>0</v>
      </c>
      <c r="AF149" s="398">
        <f t="shared" si="54"/>
        <v>0</v>
      </c>
      <c r="AG149" s="398">
        <f t="shared" si="55"/>
        <v>0</v>
      </c>
      <c r="AH149" s="399">
        <f t="shared" si="56"/>
        <v>0</v>
      </c>
      <c r="AI149" s="157">
        <v>0</v>
      </c>
      <c r="AJ149" s="157">
        <v>0</v>
      </c>
      <c r="AK149" s="398">
        <f t="shared" si="57"/>
        <v>0</v>
      </c>
      <c r="AL149" s="398">
        <f t="shared" si="58"/>
        <v>0</v>
      </c>
      <c r="AM149" s="399">
        <f t="shared" si="59"/>
        <v>0</v>
      </c>
      <c r="AN149" s="397">
        <v>0</v>
      </c>
      <c r="AO149" s="397">
        <v>0</v>
      </c>
      <c r="AP149" s="46"/>
      <c r="AQ149" s="402">
        <v>15634.430000000004</v>
      </c>
      <c r="AR149" s="274">
        <v>28452.86</v>
      </c>
      <c r="AS149" s="413"/>
      <c r="AX149" s="2"/>
      <c r="BA149" s="342"/>
      <c r="BB149" s="342"/>
      <c r="BC149" s="342"/>
      <c r="BD149" s="386"/>
      <c r="BE149" s="386"/>
      <c r="BF149" s="386"/>
      <c r="BG149" s="386"/>
      <c r="BH149" s="386"/>
      <c r="BI149" s="386"/>
      <c r="BJ149" s="386"/>
      <c r="BK149" s="386"/>
      <c r="BL149" s="386"/>
      <c r="BM149" s="386"/>
      <c r="BN149" s="387"/>
      <c r="BO149" s="265"/>
      <c r="BP149" s="386"/>
      <c r="BQ149" s="388"/>
      <c r="BR149" s="388"/>
      <c r="BS149" s="389"/>
      <c r="BT149" s="389"/>
      <c r="BU149" s="389"/>
      <c r="BV149" s="386"/>
      <c r="BW149" s="389"/>
      <c r="BX149" s="389"/>
      <c r="BY149" s="386"/>
      <c r="BZ149" s="386"/>
      <c r="CA149" s="386"/>
      <c r="CB149" s="386"/>
      <c r="CC149" s="386"/>
      <c r="CD149" s="386"/>
      <c r="CE149" s="386"/>
      <c r="CF149" s="390"/>
      <c r="CG149" s="390"/>
      <c r="CH149" s="391"/>
      <c r="CI149" s="386"/>
      <c r="CJ149" s="386"/>
      <c r="CK149" s="390"/>
      <c r="CL149" s="390"/>
      <c r="CM149" s="391"/>
      <c r="CN149" s="389"/>
      <c r="CO149" s="389"/>
      <c r="CP149" s="135"/>
      <c r="CQ149" s="135"/>
      <c r="CR149" s="135"/>
      <c r="CS149" s="135"/>
      <c r="CT149" s="135"/>
      <c r="CU149" s="135"/>
    </row>
    <row r="150" spans="1:99">
      <c r="A150" s="342" t="s">
        <v>322</v>
      </c>
      <c r="B150" s="342" t="s">
        <v>321</v>
      </c>
      <c r="C150" s="342" t="s">
        <v>975</v>
      </c>
      <c r="D150" s="157">
        <v>0</v>
      </c>
      <c r="E150" s="157">
        <v>11527.19</v>
      </c>
      <c r="F150" s="157">
        <v>0</v>
      </c>
      <c r="G150" s="157">
        <v>5127087.3899999997</v>
      </c>
      <c r="H150" s="157">
        <v>798301.06</v>
      </c>
      <c r="I150" s="157">
        <v>0</v>
      </c>
      <c r="J150" s="157">
        <v>556492.26</v>
      </c>
      <c r="K150" s="157">
        <v>674790.78</v>
      </c>
      <c r="L150" s="157">
        <v>107813.57</v>
      </c>
      <c r="M150" s="157">
        <v>1763535.5</v>
      </c>
      <c r="N150" s="264">
        <v>4.4200000000000003E-2</v>
      </c>
      <c r="O150" s="265">
        <v>0.13500000000000001</v>
      </c>
      <c r="P150" s="157">
        <v>0</v>
      </c>
      <c r="Q150" s="396">
        <v>0</v>
      </c>
      <c r="R150" s="396">
        <v>0</v>
      </c>
      <c r="S150" s="397">
        <v>0</v>
      </c>
      <c r="T150" s="397">
        <v>0</v>
      </c>
      <c r="U150" s="397">
        <v>0</v>
      </c>
      <c r="V150" s="157">
        <v>0</v>
      </c>
      <c r="W150" s="397">
        <v>0</v>
      </c>
      <c r="X150" s="397">
        <v>0</v>
      </c>
      <c r="Y150" s="157">
        <v>0</v>
      </c>
      <c r="Z150" s="157">
        <v>3305.7</v>
      </c>
      <c r="AA150" s="157">
        <v>11120.06</v>
      </c>
      <c r="AB150" s="157">
        <v>157517.03</v>
      </c>
      <c r="AC150" s="157">
        <v>1903702.38</v>
      </c>
      <c r="AD150" s="157">
        <v>190.07</v>
      </c>
      <c r="AE150" s="157">
        <v>1700816.91</v>
      </c>
      <c r="AF150" s="398">
        <f t="shared" si="54"/>
        <v>8948.3711790393008</v>
      </c>
      <c r="AG150" s="398">
        <f t="shared" si="55"/>
        <v>10015.796180354606</v>
      </c>
      <c r="AH150" s="399">
        <f t="shared" si="56"/>
        <v>1067.43</v>
      </c>
      <c r="AI150" s="157">
        <v>16.829999999999998</v>
      </c>
      <c r="AJ150" s="157">
        <v>146387.93</v>
      </c>
      <c r="AK150" s="398">
        <f t="shared" si="57"/>
        <v>8698.0350564468208</v>
      </c>
      <c r="AL150" s="398">
        <f t="shared" si="58"/>
        <v>9359.3006535947716</v>
      </c>
      <c r="AM150" s="399">
        <f t="shared" si="59"/>
        <v>661.27</v>
      </c>
      <c r="AN150" s="397">
        <v>0</v>
      </c>
      <c r="AO150" s="397">
        <v>0</v>
      </c>
      <c r="AP150" s="46"/>
      <c r="AQ150" s="402">
        <v>22490.180000000051</v>
      </c>
      <c r="AR150" s="274">
        <v>326496.51</v>
      </c>
      <c r="AS150" s="413">
        <v>101926.5</v>
      </c>
      <c r="AX150" s="2"/>
      <c r="BA150" s="342"/>
      <c r="BB150" s="342"/>
      <c r="BC150" s="342"/>
      <c r="BD150" s="386"/>
      <c r="BE150" s="386"/>
      <c r="BF150" s="386"/>
      <c r="BG150" s="386"/>
      <c r="BH150" s="386"/>
      <c r="BI150" s="386"/>
      <c r="BJ150" s="386"/>
      <c r="BK150" s="386"/>
      <c r="BL150" s="386"/>
      <c r="BM150" s="386"/>
      <c r="BN150" s="387"/>
      <c r="BO150" s="265"/>
      <c r="BP150" s="386"/>
      <c r="BQ150" s="388"/>
      <c r="BR150" s="388"/>
      <c r="BS150" s="389"/>
      <c r="BT150" s="389"/>
      <c r="BU150" s="389"/>
      <c r="BV150" s="386"/>
      <c r="BW150" s="389"/>
      <c r="BX150" s="389"/>
      <c r="BY150" s="386"/>
      <c r="BZ150" s="386"/>
      <c r="CA150" s="386"/>
      <c r="CB150" s="386"/>
      <c r="CC150" s="386"/>
      <c r="CD150" s="386"/>
      <c r="CE150" s="386"/>
      <c r="CF150" s="390"/>
      <c r="CG150" s="390"/>
      <c r="CH150" s="391"/>
      <c r="CI150" s="386"/>
      <c r="CJ150" s="386"/>
      <c r="CK150" s="390"/>
      <c r="CL150" s="390"/>
      <c r="CM150" s="391"/>
      <c r="CN150" s="389"/>
      <c r="CO150" s="389"/>
      <c r="CP150" s="135"/>
      <c r="CQ150" s="135"/>
      <c r="CR150" s="135"/>
      <c r="CS150" s="135"/>
      <c r="CT150" s="135"/>
      <c r="CU150" s="135"/>
    </row>
    <row r="151" spans="1:99">
      <c r="A151" s="342" t="s">
        <v>324</v>
      </c>
      <c r="B151" s="342" t="s">
        <v>323</v>
      </c>
      <c r="C151" s="342" t="s">
        <v>976</v>
      </c>
      <c r="D151" s="157">
        <v>0</v>
      </c>
      <c r="E151" s="157">
        <v>52194.86</v>
      </c>
      <c r="F151" s="157">
        <v>24057.57</v>
      </c>
      <c r="G151" s="157">
        <v>799983.34</v>
      </c>
      <c r="H151" s="157">
        <v>164359.63</v>
      </c>
      <c r="I151" s="157">
        <v>243105.48</v>
      </c>
      <c r="J151" s="157">
        <v>527280.29</v>
      </c>
      <c r="K151" s="157">
        <v>514423.79</v>
      </c>
      <c r="L151" s="157">
        <v>22862.26</v>
      </c>
      <c r="M151" s="157">
        <v>242069.35</v>
      </c>
      <c r="N151" s="264">
        <v>6.93E-2</v>
      </c>
      <c r="O151" s="265">
        <v>0.22120000000000001</v>
      </c>
      <c r="P151" s="157">
        <v>0</v>
      </c>
      <c r="Q151" s="396">
        <v>0</v>
      </c>
      <c r="R151" s="396">
        <v>0</v>
      </c>
      <c r="S151" s="397">
        <v>0</v>
      </c>
      <c r="T151" s="397">
        <v>0</v>
      </c>
      <c r="U151" s="397">
        <v>0</v>
      </c>
      <c r="V151" s="157">
        <v>0</v>
      </c>
      <c r="W151" s="397">
        <v>0</v>
      </c>
      <c r="X151" s="397">
        <v>0</v>
      </c>
      <c r="Y151" s="157">
        <v>0</v>
      </c>
      <c r="Z151" s="157">
        <v>0</v>
      </c>
      <c r="AA151" s="157">
        <v>7879.06</v>
      </c>
      <c r="AB151" s="157">
        <v>0</v>
      </c>
      <c r="AC151" s="157">
        <v>721445.33</v>
      </c>
      <c r="AD151" s="157">
        <v>78.27</v>
      </c>
      <c r="AE151" s="157">
        <v>672370.57</v>
      </c>
      <c r="AF151" s="398">
        <f t="shared" si="54"/>
        <v>8590.3995145010849</v>
      </c>
      <c r="AG151" s="398">
        <f t="shared" si="55"/>
        <v>9217.3927430688636</v>
      </c>
      <c r="AH151" s="399">
        <f t="shared" si="56"/>
        <v>626.99</v>
      </c>
      <c r="AI151" s="157">
        <v>0</v>
      </c>
      <c r="AJ151" s="157">
        <v>0</v>
      </c>
      <c r="AK151" s="398">
        <f t="shared" si="57"/>
        <v>0</v>
      </c>
      <c r="AL151" s="398">
        <f t="shared" si="58"/>
        <v>0</v>
      </c>
      <c r="AM151" s="399">
        <f t="shared" si="59"/>
        <v>0</v>
      </c>
      <c r="AN151" s="397">
        <v>2009.51</v>
      </c>
      <c r="AO151" s="397">
        <v>0</v>
      </c>
      <c r="AP151" s="46"/>
      <c r="AQ151" s="402">
        <v>111195.63000000002</v>
      </c>
      <c r="AR151" s="274">
        <v>91870.43</v>
      </c>
      <c r="AS151" s="413">
        <v>34448.65</v>
      </c>
      <c r="AX151" s="2"/>
      <c r="BA151" s="342"/>
      <c r="BB151" s="342"/>
      <c r="BC151" s="342"/>
      <c r="BD151" s="386"/>
      <c r="BE151" s="386"/>
      <c r="BF151" s="386"/>
      <c r="BG151" s="386"/>
      <c r="BH151" s="386"/>
      <c r="BI151" s="386"/>
      <c r="BJ151" s="386"/>
      <c r="BK151" s="386"/>
      <c r="BL151" s="386"/>
      <c r="BM151" s="386"/>
      <c r="BN151" s="387"/>
      <c r="BO151" s="265"/>
      <c r="BP151" s="386"/>
      <c r="BQ151" s="388"/>
      <c r="BR151" s="388"/>
      <c r="BS151" s="389"/>
      <c r="BT151" s="389"/>
      <c r="BU151" s="389"/>
      <c r="BV151" s="386"/>
      <c r="BW151" s="389"/>
      <c r="BX151" s="389"/>
      <c r="BY151" s="386"/>
      <c r="BZ151" s="386"/>
      <c r="CA151" s="386"/>
      <c r="CB151" s="386"/>
      <c r="CC151" s="386"/>
      <c r="CD151" s="386"/>
      <c r="CE151" s="386"/>
      <c r="CF151" s="390"/>
      <c r="CG151" s="390"/>
      <c r="CH151" s="391"/>
      <c r="CI151" s="386"/>
      <c r="CJ151" s="386"/>
      <c r="CK151" s="390"/>
      <c r="CL151" s="390"/>
      <c r="CM151" s="391"/>
      <c r="CN151" s="389"/>
      <c r="CO151" s="389"/>
      <c r="CP151" s="135"/>
      <c r="CQ151" s="135"/>
      <c r="CR151" s="135"/>
      <c r="CS151" s="135"/>
      <c r="CT151" s="135"/>
      <c r="CU151" s="135"/>
    </row>
    <row r="152" spans="1:99">
      <c r="A152" s="342" t="s">
        <v>326</v>
      </c>
      <c r="B152" s="342" t="s">
        <v>325</v>
      </c>
      <c r="C152" s="342" t="s">
        <v>977</v>
      </c>
      <c r="D152" s="157">
        <v>0</v>
      </c>
      <c r="E152" s="157">
        <v>3316.3</v>
      </c>
      <c r="F152" s="157">
        <v>2252.0500000000002</v>
      </c>
      <c r="G152" s="157">
        <v>100465.26</v>
      </c>
      <c r="H152" s="157">
        <v>14548.86</v>
      </c>
      <c r="I152" s="157">
        <v>27207.119999999999</v>
      </c>
      <c r="J152" s="157">
        <v>38793.43</v>
      </c>
      <c r="K152" s="157">
        <v>0</v>
      </c>
      <c r="L152" s="157">
        <v>0</v>
      </c>
      <c r="M152" s="157">
        <v>138287.07999999999</v>
      </c>
      <c r="N152" s="264">
        <v>2.4199999999999999E-2</v>
      </c>
      <c r="O152" s="265">
        <v>0.31080000000000002</v>
      </c>
      <c r="P152" s="157">
        <v>0</v>
      </c>
      <c r="Q152" s="396">
        <v>0</v>
      </c>
      <c r="R152" s="396">
        <v>0</v>
      </c>
      <c r="S152" s="397">
        <v>0</v>
      </c>
      <c r="T152" s="397">
        <v>0</v>
      </c>
      <c r="U152" s="397">
        <v>0</v>
      </c>
      <c r="V152" s="157">
        <v>0</v>
      </c>
      <c r="W152" s="397">
        <v>0</v>
      </c>
      <c r="X152" s="397">
        <v>0</v>
      </c>
      <c r="Y152" s="157">
        <v>116.16</v>
      </c>
      <c r="Z152" s="157">
        <v>0</v>
      </c>
      <c r="AA152" s="157">
        <v>0</v>
      </c>
      <c r="AB152" s="157">
        <v>584.17999999999995</v>
      </c>
      <c r="AC152" s="157">
        <v>29679.74</v>
      </c>
      <c r="AD152" s="157">
        <v>3.3</v>
      </c>
      <c r="AE152" s="157">
        <v>28358.67</v>
      </c>
      <c r="AF152" s="398">
        <f t="shared" si="54"/>
        <v>8593.5363636363636</v>
      </c>
      <c r="AG152" s="398">
        <f t="shared" si="55"/>
        <v>8993.8606060606071</v>
      </c>
      <c r="AH152" s="399">
        <f t="shared" si="56"/>
        <v>400.32</v>
      </c>
      <c r="AI152" s="157">
        <v>7.0000000000000007E-2</v>
      </c>
      <c r="AJ152" s="157">
        <v>494.49</v>
      </c>
      <c r="AK152" s="398">
        <f t="shared" si="57"/>
        <v>7064.1428571428569</v>
      </c>
      <c r="AL152" s="398">
        <f t="shared" si="58"/>
        <v>8345.4285714285706</v>
      </c>
      <c r="AM152" s="399">
        <f t="shared" si="59"/>
        <v>1281.29</v>
      </c>
      <c r="AN152" s="397">
        <v>0</v>
      </c>
      <c r="AO152" s="397">
        <v>0</v>
      </c>
      <c r="AP152" s="46"/>
      <c r="AQ152" s="402">
        <v>11712.369999999997</v>
      </c>
      <c r="AR152" s="274">
        <v>21844.89</v>
      </c>
      <c r="AS152" s="413">
        <v>13122.7</v>
      </c>
      <c r="AX152" s="2"/>
      <c r="BA152" s="342"/>
      <c r="BB152" s="342"/>
      <c r="BC152" s="342"/>
      <c r="BD152" s="386"/>
      <c r="BE152" s="386"/>
      <c r="BF152" s="386"/>
      <c r="BG152" s="386"/>
      <c r="BH152" s="386"/>
      <c r="BI152" s="386"/>
      <c r="BJ152" s="386"/>
      <c r="BK152" s="386"/>
      <c r="BL152" s="386"/>
      <c r="BM152" s="386"/>
      <c r="BN152" s="387"/>
      <c r="BO152" s="265"/>
      <c r="BP152" s="386"/>
      <c r="BQ152" s="388"/>
      <c r="BR152" s="388"/>
      <c r="BS152" s="389"/>
      <c r="BT152" s="389"/>
      <c r="BU152" s="389"/>
      <c r="BV152" s="386"/>
      <c r="BW152" s="389"/>
      <c r="BX152" s="389"/>
      <c r="BY152" s="386"/>
      <c r="BZ152" s="386"/>
      <c r="CA152" s="386"/>
      <c r="CB152" s="386"/>
      <c r="CC152" s="386"/>
      <c r="CD152" s="386"/>
      <c r="CE152" s="386"/>
      <c r="CF152" s="390"/>
      <c r="CG152" s="390"/>
      <c r="CH152" s="391"/>
      <c r="CI152" s="386"/>
      <c r="CJ152" s="386"/>
      <c r="CK152" s="390"/>
      <c r="CL152" s="390"/>
      <c r="CM152" s="391"/>
      <c r="CN152" s="389"/>
      <c r="CO152" s="389"/>
      <c r="CP152" s="135"/>
      <c r="CQ152" s="135"/>
      <c r="CR152" s="135"/>
      <c r="CS152" s="135"/>
      <c r="CT152" s="135"/>
      <c r="CU152" s="135"/>
    </row>
    <row r="153" spans="1:99">
      <c r="A153" s="342" t="s">
        <v>328</v>
      </c>
      <c r="B153" s="342" t="s">
        <v>327</v>
      </c>
      <c r="C153" s="342" t="s">
        <v>978</v>
      </c>
      <c r="D153" s="157">
        <v>0</v>
      </c>
      <c r="E153" s="157">
        <v>24397.01</v>
      </c>
      <c r="F153" s="157">
        <v>15161.28</v>
      </c>
      <c r="G153" s="157">
        <v>787058.63</v>
      </c>
      <c r="H153" s="157">
        <v>109742.91</v>
      </c>
      <c r="I153" s="157">
        <v>181760.16</v>
      </c>
      <c r="J153" s="157">
        <v>260795.29</v>
      </c>
      <c r="K153" s="157">
        <v>362167.34</v>
      </c>
      <c r="L153" s="157">
        <v>18310.5</v>
      </c>
      <c r="M153" s="157">
        <v>339323.09</v>
      </c>
      <c r="N153" s="264">
        <v>3.9699999999999999E-2</v>
      </c>
      <c r="O153" s="265">
        <v>0.17560000000000001</v>
      </c>
      <c r="P153" s="157">
        <v>0</v>
      </c>
      <c r="Q153" s="396">
        <v>0</v>
      </c>
      <c r="R153" s="396">
        <v>0</v>
      </c>
      <c r="S153" s="397">
        <v>0</v>
      </c>
      <c r="T153" s="397">
        <v>0</v>
      </c>
      <c r="U153" s="397">
        <v>0</v>
      </c>
      <c r="V153" s="157">
        <v>0</v>
      </c>
      <c r="W153" s="397">
        <v>0</v>
      </c>
      <c r="X153" s="397">
        <v>0</v>
      </c>
      <c r="Y153" s="157">
        <v>727.41</v>
      </c>
      <c r="Z153" s="157">
        <v>6633.66</v>
      </c>
      <c r="AA153" s="157">
        <v>30710.23</v>
      </c>
      <c r="AB153" s="157">
        <v>50025.4</v>
      </c>
      <c r="AC153" s="157">
        <v>425300.35</v>
      </c>
      <c r="AD153" s="157">
        <v>47.32</v>
      </c>
      <c r="AE153" s="157">
        <v>406439.66</v>
      </c>
      <c r="AF153" s="398">
        <f t="shared" si="54"/>
        <v>8589.1728655959414</v>
      </c>
      <c r="AG153" s="398">
        <f t="shared" si="55"/>
        <v>8987.7504226542678</v>
      </c>
      <c r="AH153" s="399">
        <f t="shared" si="56"/>
        <v>398.58</v>
      </c>
      <c r="AI153" s="157">
        <v>5.57</v>
      </c>
      <c r="AJ153" s="157">
        <v>46313.37</v>
      </c>
      <c r="AK153" s="398">
        <f t="shared" si="57"/>
        <v>8314.788150807899</v>
      </c>
      <c r="AL153" s="398">
        <f t="shared" si="58"/>
        <v>8981.2208258527826</v>
      </c>
      <c r="AM153" s="399">
        <f t="shared" si="59"/>
        <v>666.43</v>
      </c>
      <c r="AN153" s="397">
        <v>0</v>
      </c>
      <c r="AO153" s="397">
        <v>0</v>
      </c>
      <c r="AP153" s="46"/>
      <c r="AQ153" s="402">
        <v>0</v>
      </c>
      <c r="AR153" s="274">
        <v>72348.26999999999</v>
      </c>
      <c r="AS153" s="413">
        <v>29254.28</v>
      </c>
      <c r="AX153" s="2"/>
      <c r="BA153" s="342"/>
      <c r="BB153" s="342"/>
      <c r="BC153" s="342"/>
      <c r="BD153" s="386"/>
      <c r="BE153" s="386"/>
      <c r="BF153" s="386"/>
      <c r="BG153" s="386"/>
      <c r="BH153" s="386"/>
      <c r="BI153" s="386"/>
      <c r="BJ153" s="386"/>
      <c r="BK153" s="386"/>
      <c r="BL153" s="386"/>
      <c r="BM153" s="386"/>
      <c r="BN153" s="387"/>
      <c r="BO153" s="265"/>
      <c r="BP153" s="386"/>
      <c r="BQ153" s="388"/>
      <c r="BR153" s="388"/>
      <c r="BS153" s="389"/>
      <c r="BT153" s="389"/>
      <c r="BU153" s="389"/>
      <c r="BV153" s="386"/>
      <c r="BW153" s="389"/>
      <c r="BX153" s="389"/>
      <c r="BY153" s="386"/>
      <c r="BZ153" s="386"/>
      <c r="CA153" s="386"/>
      <c r="CB153" s="386"/>
      <c r="CC153" s="386"/>
      <c r="CD153" s="386"/>
      <c r="CE153" s="386"/>
      <c r="CF153" s="390"/>
      <c r="CG153" s="390"/>
      <c r="CH153" s="391"/>
      <c r="CI153" s="386"/>
      <c r="CJ153" s="386"/>
      <c r="CK153" s="390"/>
      <c r="CL153" s="390"/>
      <c r="CM153" s="391"/>
      <c r="CN153" s="389"/>
      <c r="CO153" s="389"/>
      <c r="CP153" s="135"/>
      <c r="CQ153" s="135"/>
      <c r="CR153" s="135"/>
      <c r="CS153" s="135"/>
      <c r="CT153" s="135"/>
      <c r="CU153" s="135"/>
    </row>
    <row r="154" spans="1:99">
      <c r="A154" s="342" t="s">
        <v>330</v>
      </c>
      <c r="B154" s="342" t="s">
        <v>329</v>
      </c>
      <c r="C154" s="342" t="s">
        <v>979</v>
      </c>
      <c r="D154" s="157">
        <v>49960.98</v>
      </c>
      <c r="E154" s="157">
        <v>24400</v>
      </c>
      <c r="F154" s="157">
        <v>4490.62</v>
      </c>
      <c r="G154" s="157">
        <v>1226283.81</v>
      </c>
      <c r="H154" s="157">
        <v>219420.9</v>
      </c>
      <c r="I154" s="157">
        <v>50896.98</v>
      </c>
      <c r="J154" s="157">
        <v>192622.3</v>
      </c>
      <c r="K154" s="157">
        <v>0</v>
      </c>
      <c r="L154" s="157">
        <v>29896.799999999999</v>
      </c>
      <c r="M154" s="157">
        <v>290009.3</v>
      </c>
      <c r="N154" s="264">
        <v>2.5000000000000001E-3</v>
      </c>
      <c r="O154" s="265">
        <v>3.8899999999999997E-2</v>
      </c>
      <c r="P154" s="157">
        <v>0</v>
      </c>
      <c r="Q154" s="396">
        <v>0</v>
      </c>
      <c r="R154" s="396">
        <v>0</v>
      </c>
      <c r="S154" s="397">
        <v>0</v>
      </c>
      <c r="T154" s="397">
        <v>0</v>
      </c>
      <c r="U154" s="397">
        <v>0</v>
      </c>
      <c r="V154" s="157">
        <v>0</v>
      </c>
      <c r="W154" s="397">
        <v>0</v>
      </c>
      <c r="X154" s="397">
        <v>0</v>
      </c>
      <c r="Y154" s="157">
        <v>206.38</v>
      </c>
      <c r="Z154" s="157">
        <v>0</v>
      </c>
      <c r="AA154" s="157">
        <v>0</v>
      </c>
      <c r="AB154" s="157">
        <v>49473.54</v>
      </c>
      <c r="AC154" s="157">
        <v>163287.6</v>
      </c>
      <c r="AD154" s="157">
        <v>17.11</v>
      </c>
      <c r="AE154" s="157">
        <v>146934.63</v>
      </c>
      <c r="AF154" s="398">
        <f t="shared" si="54"/>
        <v>8587.6464056107543</v>
      </c>
      <c r="AG154" s="398">
        <f t="shared" si="55"/>
        <v>9543.4015195791944</v>
      </c>
      <c r="AH154" s="399">
        <f t="shared" si="56"/>
        <v>955.76</v>
      </c>
      <c r="AI154" s="157">
        <v>5.52</v>
      </c>
      <c r="AJ154" s="157">
        <v>45951.69</v>
      </c>
      <c r="AK154" s="398">
        <f t="shared" si="57"/>
        <v>8324.5815217391319</v>
      </c>
      <c r="AL154" s="398">
        <f t="shared" si="58"/>
        <v>8962.5978260869579</v>
      </c>
      <c r="AM154" s="399">
        <f t="shared" si="59"/>
        <v>638.02</v>
      </c>
      <c r="AN154" s="397">
        <v>0</v>
      </c>
      <c r="AO154" s="397">
        <v>0</v>
      </c>
      <c r="AP154" s="46"/>
      <c r="AQ154" s="402">
        <v>59123.92</v>
      </c>
      <c r="AR154" s="274">
        <v>39018.629999999997</v>
      </c>
      <c r="AS154" s="413">
        <v>15029.33</v>
      </c>
      <c r="AX154" s="2"/>
      <c r="BA154" s="342"/>
      <c r="BB154" s="342"/>
      <c r="BC154" s="342"/>
      <c r="BD154" s="386"/>
      <c r="BE154" s="386"/>
      <c r="BF154" s="386"/>
      <c r="BG154" s="386"/>
      <c r="BH154" s="386"/>
      <c r="BI154" s="386"/>
      <c r="BJ154" s="386"/>
      <c r="BK154" s="386"/>
      <c r="BL154" s="386"/>
      <c r="BM154" s="386"/>
      <c r="BN154" s="387"/>
      <c r="BO154" s="265"/>
      <c r="BP154" s="386"/>
      <c r="BQ154" s="388"/>
      <c r="BR154" s="388"/>
      <c r="BS154" s="389"/>
      <c r="BT154" s="389"/>
      <c r="BU154" s="389"/>
      <c r="BV154" s="386"/>
      <c r="BW154" s="389"/>
      <c r="BX154" s="389"/>
      <c r="BY154" s="386"/>
      <c r="BZ154" s="386"/>
      <c r="CA154" s="386"/>
      <c r="CB154" s="386"/>
      <c r="CC154" s="386"/>
      <c r="CD154" s="386"/>
      <c r="CE154" s="386"/>
      <c r="CF154" s="390"/>
      <c r="CG154" s="390"/>
      <c r="CH154" s="391"/>
      <c r="CI154" s="386"/>
      <c r="CJ154" s="386"/>
      <c r="CK154" s="390"/>
      <c r="CL154" s="390"/>
      <c r="CM154" s="391"/>
      <c r="CN154" s="389"/>
      <c r="CO154" s="389"/>
      <c r="CP154" s="135"/>
      <c r="CQ154" s="135"/>
      <c r="CR154" s="135"/>
      <c r="CS154" s="135"/>
      <c r="CT154" s="135"/>
      <c r="CU154" s="135"/>
    </row>
    <row r="155" spans="1:99">
      <c r="A155" s="342" t="s">
        <v>332</v>
      </c>
      <c r="B155" s="342" t="s">
        <v>331</v>
      </c>
      <c r="C155" s="342" t="s">
        <v>980</v>
      </c>
      <c r="D155" s="157">
        <v>0</v>
      </c>
      <c r="E155" s="157">
        <v>20613.79</v>
      </c>
      <c r="F155" s="157">
        <v>6186.33</v>
      </c>
      <c r="G155" s="157">
        <v>661109.02</v>
      </c>
      <c r="H155" s="157">
        <v>114093.32</v>
      </c>
      <c r="I155" s="157">
        <v>139966.69</v>
      </c>
      <c r="J155" s="157">
        <v>238967.53</v>
      </c>
      <c r="K155" s="157">
        <v>0</v>
      </c>
      <c r="L155" s="157">
        <v>0</v>
      </c>
      <c r="M155" s="157">
        <v>365581.98</v>
      </c>
      <c r="N155" s="264">
        <v>7.3899999999999993E-2</v>
      </c>
      <c r="O155" s="265">
        <v>0.24879999999999999</v>
      </c>
      <c r="P155" s="157">
        <v>0</v>
      </c>
      <c r="Q155" s="396">
        <v>0</v>
      </c>
      <c r="R155" s="396">
        <v>0</v>
      </c>
      <c r="S155" s="397">
        <v>0</v>
      </c>
      <c r="T155" s="397">
        <v>0</v>
      </c>
      <c r="U155" s="397">
        <v>0</v>
      </c>
      <c r="V155" s="157">
        <v>0</v>
      </c>
      <c r="W155" s="397">
        <v>0</v>
      </c>
      <c r="X155" s="397">
        <v>0</v>
      </c>
      <c r="Y155" s="157">
        <v>596.59</v>
      </c>
      <c r="Z155" s="157">
        <v>0</v>
      </c>
      <c r="AA155" s="157">
        <v>26725.01</v>
      </c>
      <c r="AB155" s="157">
        <v>0</v>
      </c>
      <c r="AC155" s="157">
        <v>258918.96</v>
      </c>
      <c r="AD155" s="157">
        <v>28.63</v>
      </c>
      <c r="AE155" s="157">
        <v>246028.26</v>
      </c>
      <c r="AF155" s="398">
        <f t="shared" si="54"/>
        <v>8593.3726859937142</v>
      </c>
      <c r="AG155" s="398">
        <f t="shared" si="55"/>
        <v>9043.6241704505755</v>
      </c>
      <c r="AH155" s="399">
        <f t="shared" si="56"/>
        <v>450.25</v>
      </c>
      <c r="AI155" s="157">
        <v>0</v>
      </c>
      <c r="AJ155" s="157">
        <v>0</v>
      </c>
      <c r="AK155" s="398">
        <f t="shared" si="57"/>
        <v>0</v>
      </c>
      <c r="AL155" s="398">
        <f t="shared" si="58"/>
        <v>0</v>
      </c>
      <c r="AM155" s="399">
        <f t="shared" si="59"/>
        <v>0</v>
      </c>
      <c r="AN155" s="397">
        <v>0</v>
      </c>
      <c r="AO155" s="397">
        <v>0</v>
      </c>
      <c r="AP155" s="46"/>
      <c r="AQ155" s="402">
        <v>18758.059999999998</v>
      </c>
      <c r="AR155" s="274">
        <v>50928.32</v>
      </c>
      <c r="AS155" s="413">
        <v>23383.17</v>
      </c>
      <c r="AX155" s="2"/>
      <c r="BA155" s="342"/>
      <c r="BB155" s="342"/>
      <c r="BC155" s="342"/>
      <c r="BD155" s="386"/>
      <c r="BE155" s="386"/>
      <c r="BF155" s="386"/>
      <c r="BG155" s="386"/>
      <c r="BH155" s="386"/>
      <c r="BI155" s="386"/>
      <c r="BJ155" s="386"/>
      <c r="BK155" s="386"/>
      <c r="BL155" s="386"/>
      <c r="BM155" s="386"/>
      <c r="BN155" s="387"/>
      <c r="BO155" s="265"/>
      <c r="BP155" s="386"/>
      <c r="BQ155" s="388"/>
      <c r="BR155" s="388"/>
      <c r="BS155" s="389"/>
      <c r="BT155" s="389"/>
      <c r="BU155" s="389"/>
      <c r="BV155" s="386"/>
      <c r="BW155" s="389"/>
      <c r="BX155" s="389"/>
      <c r="BY155" s="386"/>
      <c r="BZ155" s="386"/>
      <c r="CA155" s="386"/>
      <c r="CB155" s="386"/>
      <c r="CC155" s="386"/>
      <c r="CD155" s="386"/>
      <c r="CE155" s="386"/>
      <c r="CF155" s="390"/>
      <c r="CG155" s="390"/>
      <c r="CH155" s="391"/>
      <c r="CI155" s="386"/>
      <c r="CJ155" s="386"/>
      <c r="CK155" s="390"/>
      <c r="CL155" s="390"/>
      <c r="CM155" s="391"/>
      <c r="CN155" s="389"/>
      <c r="CO155" s="389"/>
      <c r="CP155" s="135"/>
      <c r="CQ155" s="135"/>
      <c r="CR155" s="135"/>
      <c r="CS155" s="135"/>
      <c r="CT155" s="135"/>
      <c r="CU155" s="135"/>
    </row>
    <row r="156" spans="1:99">
      <c r="A156" s="342" t="s">
        <v>334</v>
      </c>
      <c r="B156" s="342" t="s">
        <v>333</v>
      </c>
      <c r="C156" s="342" t="s">
        <v>981</v>
      </c>
      <c r="D156" s="157">
        <v>0</v>
      </c>
      <c r="E156" s="157">
        <v>188869.86</v>
      </c>
      <c r="F156" s="157">
        <v>110903.9</v>
      </c>
      <c r="G156" s="157">
        <v>18373590.949999999</v>
      </c>
      <c r="H156" s="157">
        <v>4367511.05</v>
      </c>
      <c r="I156" s="157">
        <v>2174578.4500000002</v>
      </c>
      <c r="J156" s="157">
        <v>3727798.58</v>
      </c>
      <c r="K156" s="157">
        <v>2041905.96</v>
      </c>
      <c r="L156" s="157">
        <v>331578.44</v>
      </c>
      <c r="M156" s="157">
        <v>7824006.8799999999</v>
      </c>
      <c r="N156" s="264">
        <v>4.53E-2</v>
      </c>
      <c r="O156" s="265">
        <v>0.14349999999999999</v>
      </c>
      <c r="P156" s="157">
        <v>0</v>
      </c>
      <c r="Q156" s="396">
        <v>0</v>
      </c>
      <c r="R156" s="396">
        <v>0</v>
      </c>
      <c r="S156" s="397">
        <v>0</v>
      </c>
      <c r="T156" s="397">
        <v>0</v>
      </c>
      <c r="U156" s="397">
        <v>0</v>
      </c>
      <c r="V156" s="157">
        <v>0</v>
      </c>
      <c r="W156" s="397">
        <v>0</v>
      </c>
      <c r="X156" s="397">
        <v>0</v>
      </c>
      <c r="Y156" s="157">
        <v>11348.68</v>
      </c>
      <c r="Z156" s="157">
        <v>174797.36</v>
      </c>
      <c r="AA156" s="157">
        <v>538073.44999999995</v>
      </c>
      <c r="AB156" s="157">
        <v>1915722.84</v>
      </c>
      <c r="AC156" s="157">
        <v>5683696.8300000001</v>
      </c>
      <c r="AD156" s="157">
        <v>559.16</v>
      </c>
      <c r="AE156" s="157">
        <v>5304630.42</v>
      </c>
      <c r="AF156" s="398">
        <f t="shared" si="54"/>
        <v>9486.7844981758353</v>
      </c>
      <c r="AG156" s="398">
        <f t="shared" si="55"/>
        <v>10164.705683525288</v>
      </c>
      <c r="AH156" s="399">
        <f t="shared" si="56"/>
        <v>677.92</v>
      </c>
      <c r="AI156" s="157">
        <v>192.92</v>
      </c>
      <c r="AJ156" s="157">
        <v>1779417.26</v>
      </c>
      <c r="AK156" s="398">
        <f t="shared" si="57"/>
        <v>9223.6018038565217</v>
      </c>
      <c r="AL156" s="398">
        <f t="shared" si="58"/>
        <v>9930.1411984242186</v>
      </c>
      <c r="AM156" s="399">
        <f t="shared" si="59"/>
        <v>706.54</v>
      </c>
      <c r="AN156" s="397">
        <v>0</v>
      </c>
      <c r="AO156" s="397">
        <v>0</v>
      </c>
      <c r="AP156" s="46"/>
      <c r="AQ156" s="402">
        <v>0</v>
      </c>
      <c r="AR156" s="274">
        <v>1173975.73</v>
      </c>
      <c r="AS156" s="413">
        <v>316620.25</v>
      </c>
      <c r="AX156" s="2"/>
      <c r="BA156" s="342"/>
      <c r="BB156" s="342"/>
      <c r="BC156" s="342"/>
      <c r="BD156" s="386"/>
      <c r="BE156" s="386"/>
      <c r="BF156" s="386"/>
      <c r="BG156" s="386"/>
      <c r="BH156" s="386"/>
      <c r="BI156" s="386"/>
      <c r="BJ156" s="386"/>
      <c r="BK156" s="386"/>
      <c r="BL156" s="386"/>
      <c r="BM156" s="386"/>
      <c r="BN156" s="387"/>
      <c r="BO156" s="265"/>
      <c r="BP156" s="386"/>
      <c r="BQ156" s="388"/>
      <c r="BR156" s="388"/>
      <c r="BS156" s="389"/>
      <c r="BT156" s="389"/>
      <c r="BU156" s="389"/>
      <c r="BV156" s="386"/>
      <c r="BW156" s="389"/>
      <c r="BX156" s="389"/>
      <c r="BY156" s="386"/>
      <c r="BZ156" s="386"/>
      <c r="CA156" s="386"/>
      <c r="CB156" s="386"/>
      <c r="CC156" s="386"/>
      <c r="CD156" s="386"/>
      <c r="CE156" s="386"/>
      <c r="CF156" s="390"/>
      <c r="CG156" s="390"/>
      <c r="CH156" s="391"/>
      <c r="CI156" s="386"/>
      <c r="CJ156" s="386"/>
      <c r="CK156" s="390"/>
      <c r="CL156" s="390"/>
      <c r="CM156" s="391"/>
      <c r="CN156" s="389"/>
      <c r="CO156" s="389"/>
      <c r="CP156" s="135"/>
      <c r="CQ156" s="135"/>
      <c r="CR156" s="135"/>
      <c r="CS156" s="135"/>
      <c r="CT156" s="135"/>
      <c r="CU156" s="135"/>
    </row>
    <row r="157" spans="1:99">
      <c r="A157" s="342" t="s">
        <v>336</v>
      </c>
      <c r="B157" s="342" t="s">
        <v>335</v>
      </c>
      <c r="C157" s="342" t="s">
        <v>982</v>
      </c>
      <c r="D157" s="157">
        <v>0</v>
      </c>
      <c r="E157" s="157">
        <v>0</v>
      </c>
      <c r="F157" s="157">
        <v>0</v>
      </c>
      <c r="G157" s="157">
        <v>457186.85</v>
      </c>
      <c r="H157" s="157">
        <v>72099.240000000005</v>
      </c>
      <c r="I157" s="157">
        <v>87207.63</v>
      </c>
      <c r="J157" s="157">
        <v>99931.87</v>
      </c>
      <c r="K157" s="157">
        <v>9135.3799999999992</v>
      </c>
      <c r="L157" s="157">
        <v>9103.5300000000007</v>
      </c>
      <c r="M157" s="157">
        <v>170659.65</v>
      </c>
      <c r="N157" s="264">
        <v>4.6600000000000003E-2</v>
      </c>
      <c r="O157" s="265">
        <v>0.24809999999999999</v>
      </c>
      <c r="P157" s="157">
        <v>0</v>
      </c>
      <c r="Q157" s="396">
        <v>0</v>
      </c>
      <c r="R157" s="396">
        <v>0</v>
      </c>
      <c r="S157" s="397">
        <v>0</v>
      </c>
      <c r="T157" s="397">
        <v>0</v>
      </c>
      <c r="U157" s="397">
        <v>0</v>
      </c>
      <c r="V157" s="157">
        <v>0</v>
      </c>
      <c r="W157" s="397">
        <v>0</v>
      </c>
      <c r="X157" s="397">
        <v>0</v>
      </c>
      <c r="Y157" s="157">
        <v>374.42</v>
      </c>
      <c r="Z157" s="157">
        <v>0</v>
      </c>
      <c r="AA157" s="157">
        <v>0</v>
      </c>
      <c r="AB157" s="157">
        <v>0</v>
      </c>
      <c r="AC157" s="157">
        <v>0</v>
      </c>
      <c r="AD157" s="157">
        <v>0</v>
      </c>
      <c r="AE157" s="157">
        <v>0</v>
      </c>
      <c r="AF157" s="398">
        <f t="shared" si="54"/>
        <v>0</v>
      </c>
      <c r="AG157" s="398">
        <f t="shared" si="55"/>
        <v>0</v>
      </c>
      <c r="AH157" s="399">
        <f t="shared" si="56"/>
        <v>0</v>
      </c>
      <c r="AI157" s="157">
        <v>0</v>
      </c>
      <c r="AJ157" s="157">
        <v>0</v>
      </c>
      <c r="AK157" s="398">
        <f t="shared" si="57"/>
        <v>0</v>
      </c>
      <c r="AL157" s="398">
        <f t="shared" si="58"/>
        <v>0</v>
      </c>
      <c r="AM157" s="399">
        <f t="shared" si="59"/>
        <v>0</v>
      </c>
      <c r="AN157" s="397">
        <v>0</v>
      </c>
      <c r="AO157" s="397">
        <v>0</v>
      </c>
      <c r="AP157" s="46"/>
      <c r="AQ157" s="402">
        <v>0</v>
      </c>
      <c r="AR157" s="274">
        <v>33737.32</v>
      </c>
      <c r="AS157" s="413">
        <v>19077.760000000002</v>
      </c>
      <c r="AX157" s="2"/>
      <c r="BA157" s="342"/>
      <c r="BB157" s="342"/>
      <c r="BC157" s="342"/>
      <c r="BD157" s="386"/>
      <c r="BE157" s="386"/>
      <c r="BF157" s="386"/>
      <c r="BG157" s="386"/>
      <c r="BH157" s="386"/>
      <c r="BI157" s="386"/>
      <c r="BJ157" s="386"/>
      <c r="BK157" s="386"/>
      <c r="BL157" s="386"/>
      <c r="BM157" s="386"/>
      <c r="BN157" s="387"/>
      <c r="BO157" s="265"/>
      <c r="BP157" s="386"/>
      <c r="BQ157" s="388"/>
      <c r="BR157" s="388"/>
      <c r="BS157" s="389"/>
      <c r="BT157" s="389"/>
      <c r="BU157" s="389"/>
      <c r="BV157" s="386"/>
      <c r="BW157" s="389"/>
      <c r="BX157" s="389"/>
      <c r="BY157" s="386"/>
      <c r="BZ157" s="386"/>
      <c r="CA157" s="386"/>
      <c r="CB157" s="386"/>
      <c r="CC157" s="386"/>
      <c r="CD157" s="386"/>
      <c r="CE157" s="386"/>
      <c r="CF157" s="390"/>
      <c r="CG157" s="390"/>
      <c r="CH157" s="391"/>
      <c r="CI157" s="386"/>
      <c r="CJ157" s="386"/>
      <c r="CK157" s="390"/>
      <c r="CL157" s="390"/>
      <c r="CM157" s="391"/>
      <c r="CN157" s="389"/>
      <c r="CO157" s="389"/>
      <c r="CP157" s="135"/>
      <c r="CQ157" s="135"/>
      <c r="CR157" s="135"/>
      <c r="CS157" s="135"/>
      <c r="CT157" s="135"/>
      <c r="CU157" s="135"/>
    </row>
    <row r="158" spans="1:99">
      <c r="A158" s="342" t="s">
        <v>338</v>
      </c>
      <c r="B158" s="342" t="s">
        <v>337</v>
      </c>
      <c r="C158" s="342" t="s">
        <v>983</v>
      </c>
      <c r="D158" s="157">
        <v>0</v>
      </c>
      <c r="E158" s="157">
        <v>0</v>
      </c>
      <c r="F158" s="157">
        <v>6667.68</v>
      </c>
      <c r="G158" s="157">
        <v>14365448.67</v>
      </c>
      <c r="H158" s="157">
        <v>3925161.9</v>
      </c>
      <c r="I158" s="157">
        <v>114032.89</v>
      </c>
      <c r="J158" s="157">
        <v>1848203.36</v>
      </c>
      <c r="K158" s="157">
        <v>563716.69999999995</v>
      </c>
      <c r="L158" s="157">
        <v>312263.23</v>
      </c>
      <c r="M158" s="157">
        <v>6052222.96</v>
      </c>
      <c r="N158" s="264">
        <v>4.1200000000000001E-2</v>
      </c>
      <c r="O158" s="265">
        <v>0.14230000000000001</v>
      </c>
      <c r="P158" s="157">
        <v>0</v>
      </c>
      <c r="Q158" s="396">
        <v>0</v>
      </c>
      <c r="R158" s="396">
        <v>0</v>
      </c>
      <c r="S158" s="397">
        <v>0</v>
      </c>
      <c r="T158" s="397">
        <v>0</v>
      </c>
      <c r="U158" s="397">
        <v>0</v>
      </c>
      <c r="V158" s="157">
        <v>0</v>
      </c>
      <c r="W158" s="397">
        <v>0</v>
      </c>
      <c r="X158" s="397">
        <v>0</v>
      </c>
      <c r="Y158" s="157">
        <v>11164.86</v>
      </c>
      <c r="Z158" s="157">
        <v>222012.69</v>
      </c>
      <c r="AA158" s="157">
        <v>0</v>
      </c>
      <c r="AB158" s="157">
        <v>3098686.35</v>
      </c>
      <c r="AC158" s="157">
        <v>3503053.44</v>
      </c>
      <c r="AD158" s="157">
        <v>362.69</v>
      </c>
      <c r="AE158" s="157">
        <v>3180645.07</v>
      </c>
      <c r="AF158" s="398">
        <f t="shared" si="54"/>
        <v>8769.5968182194156</v>
      </c>
      <c r="AG158" s="398">
        <f t="shared" si="55"/>
        <v>9658.5332928947591</v>
      </c>
      <c r="AH158" s="399">
        <f t="shared" si="56"/>
        <v>888.94</v>
      </c>
      <c r="AI158" s="157">
        <v>338.02</v>
      </c>
      <c r="AJ158" s="157">
        <v>2877586.26</v>
      </c>
      <c r="AK158" s="398">
        <f t="shared" si="57"/>
        <v>8513.0650849062185</v>
      </c>
      <c r="AL158" s="398">
        <f t="shared" si="58"/>
        <v>9167.1686586592514</v>
      </c>
      <c r="AM158" s="399">
        <f t="shared" si="59"/>
        <v>654.1</v>
      </c>
      <c r="AN158" s="397">
        <v>0</v>
      </c>
      <c r="AO158" s="397">
        <v>0</v>
      </c>
      <c r="AP158" s="46"/>
      <c r="AQ158" s="402">
        <v>155285.61999999988</v>
      </c>
      <c r="AR158" s="274">
        <v>955389.28</v>
      </c>
      <c r="AS158" s="413">
        <v>328564.43</v>
      </c>
      <c r="AX158" s="2"/>
      <c r="BA158" s="342"/>
      <c r="BB158" s="342"/>
      <c r="BC158" s="342"/>
      <c r="BD158" s="386"/>
      <c r="BE158" s="386"/>
      <c r="BF158" s="386"/>
      <c r="BG158" s="386"/>
      <c r="BH158" s="386"/>
      <c r="BI158" s="386"/>
      <c r="BJ158" s="386"/>
      <c r="BK158" s="386"/>
      <c r="BL158" s="386"/>
      <c r="BM158" s="386"/>
      <c r="BN158" s="387"/>
      <c r="BO158" s="265"/>
      <c r="BP158" s="386"/>
      <c r="BQ158" s="388"/>
      <c r="BR158" s="388"/>
      <c r="BS158" s="389"/>
      <c r="BT158" s="389"/>
      <c r="BU158" s="389"/>
      <c r="BV158" s="386"/>
      <c r="BW158" s="389"/>
      <c r="BX158" s="389"/>
      <c r="BY158" s="386"/>
      <c r="BZ158" s="386"/>
      <c r="CA158" s="386"/>
      <c r="CB158" s="386"/>
      <c r="CC158" s="386"/>
      <c r="CD158" s="386"/>
      <c r="CE158" s="386"/>
      <c r="CF158" s="390"/>
      <c r="CG158" s="390"/>
      <c r="CH158" s="391"/>
      <c r="CI158" s="386"/>
      <c r="CJ158" s="386"/>
      <c r="CK158" s="390"/>
      <c r="CL158" s="390"/>
      <c r="CM158" s="391"/>
      <c r="CN158" s="389"/>
      <c r="CO158" s="389"/>
      <c r="CP158" s="135"/>
      <c r="CQ158" s="135"/>
      <c r="CR158" s="135"/>
      <c r="CS158" s="135"/>
      <c r="CT158" s="135"/>
      <c r="CU158" s="135"/>
    </row>
    <row r="159" spans="1:99">
      <c r="A159" s="342" t="s">
        <v>340</v>
      </c>
      <c r="B159" s="342" t="s">
        <v>339</v>
      </c>
      <c r="C159" s="342" t="s">
        <v>984</v>
      </c>
      <c r="D159" s="157">
        <v>0</v>
      </c>
      <c r="E159" s="157">
        <v>0</v>
      </c>
      <c r="F159" s="157">
        <v>0</v>
      </c>
      <c r="G159" s="157">
        <v>2485974.71</v>
      </c>
      <c r="H159" s="157">
        <v>305381.07</v>
      </c>
      <c r="I159" s="157">
        <v>0</v>
      </c>
      <c r="J159" s="157">
        <v>409451.7</v>
      </c>
      <c r="K159" s="157">
        <v>28218.19</v>
      </c>
      <c r="L159" s="157">
        <v>52345.27</v>
      </c>
      <c r="M159" s="157">
        <v>1328668.0900000001</v>
      </c>
      <c r="N159" s="264">
        <v>4.6899999999999997E-2</v>
      </c>
      <c r="O159" s="265">
        <v>0.1925</v>
      </c>
      <c r="P159" s="157">
        <v>0</v>
      </c>
      <c r="Q159" s="396">
        <v>0</v>
      </c>
      <c r="R159" s="396">
        <v>0</v>
      </c>
      <c r="S159" s="397">
        <v>0</v>
      </c>
      <c r="T159" s="397">
        <v>0</v>
      </c>
      <c r="U159" s="397">
        <v>0</v>
      </c>
      <c r="V159" s="157">
        <v>215988.68</v>
      </c>
      <c r="W159" s="397">
        <v>0</v>
      </c>
      <c r="X159" s="397">
        <v>8685.42</v>
      </c>
      <c r="Y159" s="157">
        <v>0</v>
      </c>
      <c r="Z159" s="157">
        <v>0</v>
      </c>
      <c r="AA159" s="157">
        <v>0</v>
      </c>
      <c r="AB159" s="157">
        <v>32307.87</v>
      </c>
      <c r="AC159" s="157">
        <v>1011400.08</v>
      </c>
      <c r="AD159" s="157">
        <v>112.11</v>
      </c>
      <c r="AE159" s="157">
        <v>962967.8</v>
      </c>
      <c r="AF159" s="398">
        <f t="shared" si="54"/>
        <v>8589.4906787976106</v>
      </c>
      <c r="AG159" s="398">
        <f t="shared" si="55"/>
        <v>9021.4974578538931</v>
      </c>
      <c r="AH159" s="399">
        <f t="shared" si="56"/>
        <v>432.01</v>
      </c>
      <c r="AI159" s="157">
        <v>3.59</v>
      </c>
      <c r="AJ159" s="157">
        <v>29856.06</v>
      </c>
      <c r="AK159" s="398">
        <f t="shared" si="57"/>
        <v>8316.451253481895</v>
      </c>
      <c r="AL159" s="398">
        <f t="shared" si="58"/>
        <v>8999.4066852367687</v>
      </c>
      <c r="AM159" s="399">
        <f t="shared" si="59"/>
        <v>682.96</v>
      </c>
      <c r="AN159" s="397">
        <v>0</v>
      </c>
      <c r="AO159" s="397">
        <v>0</v>
      </c>
      <c r="AP159" s="46"/>
      <c r="AQ159" s="402">
        <v>4260.3000000000175</v>
      </c>
      <c r="AR159" s="274">
        <v>170920.27000000002</v>
      </c>
      <c r="AS159" s="413">
        <v>67503.7</v>
      </c>
      <c r="AX159" s="2"/>
      <c r="BA159" s="342"/>
      <c r="BB159" s="342"/>
      <c r="BC159" s="342"/>
      <c r="BD159" s="386"/>
      <c r="BE159" s="386"/>
      <c r="BF159" s="386"/>
      <c r="BG159" s="386"/>
      <c r="BH159" s="386"/>
      <c r="BI159" s="386"/>
      <c r="BJ159" s="386"/>
      <c r="BK159" s="386"/>
      <c r="BL159" s="386"/>
      <c r="BM159" s="386"/>
      <c r="BN159" s="387"/>
      <c r="BO159" s="265"/>
      <c r="BP159" s="386"/>
      <c r="BQ159" s="388"/>
      <c r="BR159" s="388"/>
      <c r="BS159" s="389"/>
      <c r="BT159" s="389"/>
      <c r="BU159" s="389"/>
      <c r="BV159" s="386"/>
      <c r="BW159" s="389"/>
      <c r="BX159" s="389"/>
      <c r="BY159" s="386"/>
      <c r="BZ159" s="386"/>
      <c r="CA159" s="386"/>
      <c r="CB159" s="386"/>
      <c r="CC159" s="386"/>
      <c r="CD159" s="386"/>
      <c r="CE159" s="386"/>
      <c r="CF159" s="390"/>
      <c r="CG159" s="390"/>
      <c r="CH159" s="391"/>
      <c r="CI159" s="386"/>
      <c r="CJ159" s="386"/>
      <c r="CK159" s="390"/>
      <c r="CL159" s="390"/>
      <c r="CM159" s="391"/>
      <c r="CN159" s="389"/>
      <c r="CO159" s="389"/>
      <c r="CP159" s="135"/>
      <c r="CQ159" s="135"/>
      <c r="CR159" s="135"/>
      <c r="CS159" s="135"/>
      <c r="CT159" s="135"/>
      <c r="CU159" s="135"/>
    </row>
    <row r="160" spans="1:99">
      <c r="A160" s="342" t="s">
        <v>342</v>
      </c>
      <c r="B160" s="342" t="s">
        <v>341</v>
      </c>
      <c r="C160" s="342" t="s">
        <v>985</v>
      </c>
      <c r="D160" s="157">
        <v>0</v>
      </c>
      <c r="E160" s="157">
        <v>0</v>
      </c>
      <c r="F160" s="157">
        <v>0</v>
      </c>
      <c r="G160" s="157">
        <v>6459285.2800000003</v>
      </c>
      <c r="H160" s="157">
        <v>817842.24</v>
      </c>
      <c r="I160" s="157">
        <v>0</v>
      </c>
      <c r="J160" s="157">
        <v>97045.69</v>
      </c>
      <c r="K160" s="157">
        <v>358431.56</v>
      </c>
      <c r="L160" s="157">
        <v>137301.68</v>
      </c>
      <c r="M160" s="157">
        <v>1823270.79</v>
      </c>
      <c r="N160" s="264">
        <v>3.8800000000000001E-2</v>
      </c>
      <c r="O160" s="265">
        <v>0.15590000000000001</v>
      </c>
      <c r="P160" s="157">
        <v>0</v>
      </c>
      <c r="Q160" s="396">
        <v>0</v>
      </c>
      <c r="R160" s="396">
        <v>0</v>
      </c>
      <c r="S160" s="397">
        <v>0</v>
      </c>
      <c r="T160" s="397">
        <v>0</v>
      </c>
      <c r="U160" s="397">
        <v>0</v>
      </c>
      <c r="V160" s="157">
        <v>0</v>
      </c>
      <c r="W160" s="397">
        <v>0</v>
      </c>
      <c r="X160" s="397">
        <v>0</v>
      </c>
      <c r="Y160" s="157">
        <v>0</v>
      </c>
      <c r="Z160" s="157">
        <v>5966.32</v>
      </c>
      <c r="AA160" s="157">
        <v>220034.68</v>
      </c>
      <c r="AB160" s="157">
        <v>169164.42</v>
      </c>
      <c r="AC160" s="157">
        <v>3056600.29</v>
      </c>
      <c r="AD160" s="157">
        <v>297.77999999999997</v>
      </c>
      <c r="AE160" s="157">
        <v>2878371.6</v>
      </c>
      <c r="AF160" s="398">
        <f t="shared" si="54"/>
        <v>9666.1011484988921</v>
      </c>
      <c r="AG160" s="398">
        <f t="shared" si="55"/>
        <v>10264.625864732354</v>
      </c>
      <c r="AH160" s="399">
        <f t="shared" si="56"/>
        <v>598.52</v>
      </c>
      <c r="AI160" s="157">
        <v>16.72</v>
      </c>
      <c r="AJ160" s="157">
        <v>157132.64000000001</v>
      </c>
      <c r="AK160" s="398">
        <f t="shared" si="57"/>
        <v>9397.8851674641155</v>
      </c>
      <c r="AL160" s="398">
        <f t="shared" si="58"/>
        <v>10117.489234449762</v>
      </c>
      <c r="AM160" s="399">
        <f t="shared" si="59"/>
        <v>719.6</v>
      </c>
      <c r="AN160" s="397">
        <v>0</v>
      </c>
      <c r="AO160" s="397">
        <v>0</v>
      </c>
      <c r="AP160" s="46"/>
      <c r="AQ160" s="402">
        <v>0</v>
      </c>
      <c r="AR160" s="274">
        <v>425775.37</v>
      </c>
      <c r="AS160" s="413">
        <v>86315.16</v>
      </c>
      <c r="AX160" s="2"/>
      <c r="BA160" s="342"/>
      <c r="BB160" s="342"/>
      <c r="BC160" s="342"/>
      <c r="BD160" s="386"/>
      <c r="BE160" s="386"/>
      <c r="BF160" s="386"/>
      <c r="BG160" s="386"/>
      <c r="BH160" s="386"/>
      <c r="BI160" s="386"/>
      <c r="BJ160" s="386"/>
      <c r="BK160" s="386"/>
      <c r="BL160" s="386"/>
      <c r="BM160" s="386"/>
      <c r="BN160" s="387"/>
      <c r="BO160" s="265"/>
      <c r="BP160" s="386"/>
      <c r="BQ160" s="388"/>
      <c r="BR160" s="388"/>
      <c r="BS160" s="389"/>
      <c r="BT160" s="389"/>
      <c r="BU160" s="389"/>
      <c r="BV160" s="386"/>
      <c r="BW160" s="389"/>
      <c r="BX160" s="389"/>
      <c r="BY160" s="386"/>
      <c r="BZ160" s="386"/>
      <c r="CA160" s="386"/>
      <c r="CB160" s="386"/>
      <c r="CC160" s="386"/>
      <c r="CD160" s="386"/>
      <c r="CE160" s="386"/>
      <c r="CF160" s="390"/>
      <c r="CG160" s="390"/>
      <c r="CH160" s="391"/>
      <c r="CI160" s="386"/>
      <c r="CJ160" s="386"/>
      <c r="CK160" s="390"/>
      <c r="CL160" s="390"/>
      <c r="CM160" s="391"/>
      <c r="CN160" s="389"/>
      <c r="CO160" s="389"/>
      <c r="CP160" s="135"/>
      <c r="CQ160" s="135"/>
      <c r="CR160" s="135"/>
      <c r="CS160" s="135"/>
      <c r="CT160" s="135"/>
      <c r="CU160" s="135"/>
    </row>
    <row r="161" spans="1:99">
      <c r="A161" s="342" t="s">
        <v>344</v>
      </c>
      <c r="B161" s="342" t="s">
        <v>343</v>
      </c>
      <c r="C161" s="342" t="s">
        <v>986</v>
      </c>
      <c r="D161" s="157">
        <v>0</v>
      </c>
      <c r="E161" s="157">
        <v>0</v>
      </c>
      <c r="F161" s="157">
        <v>0</v>
      </c>
      <c r="G161" s="157">
        <v>2245612.8199999998</v>
      </c>
      <c r="H161" s="157">
        <v>341193.16</v>
      </c>
      <c r="I161" s="157">
        <v>0</v>
      </c>
      <c r="J161" s="157">
        <v>295997.27</v>
      </c>
      <c r="K161" s="157">
        <v>363521.49</v>
      </c>
      <c r="L161" s="157">
        <v>55649.23</v>
      </c>
      <c r="M161" s="157">
        <v>1183581.05</v>
      </c>
      <c r="N161" s="264">
        <v>6.1400000000000003E-2</v>
      </c>
      <c r="O161" s="265">
        <v>0.2218</v>
      </c>
      <c r="P161" s="157">
        <v>0</v>
      </c>
      <c r="Q161" s="396">
        <v>0</v>
      </c>
      <c r="R161" s="396">
        <v>0</v>
      </c>
      <c r="S161" s="397">
        <v>0</v>
      </c>
      <c r="T161" s="397">
        <v>0</v>
      </c>
      <c r="U161" s="397">
        <v>0</v>
      </c>
      <c r="V161" s="157">
        <v>0</v>
      </c>
      <c r="W161" s="397">
        <v>0</v>
      </c>
      <c r="X161" s="397">
        <v>0</v>
      </c>
      <c r="Y161" s="157">
        <v>2045.76</v>
      </c>
      <c r="Z161" s="157">
        <v>0</v>
      </c>
      <c r="AA161" s="157">
        <v>0</v>
      </c>
      <c r="AB161" s="157">
        <v>0</v>
      </c>
      <c r="AC161" s="157">
        <v>575064.55000000005</v>
      </c>
      <c r="AD161" s="157">
        <v>58.18</v>
      </c>
      <c r="AE161" s="157">
        <v>520666.49</v>
      </c>
      <c r="AF161" s="398">
        <f t="shared" si="54"/>
        <v>8949.2349604675146</v>
      </c>
      <c r="AG161" s="398">
        <f t="shared" si="55"/>
        <v>9884.2308353386052</v>
      </c>
      <c r="AH161" s="399">
        <f t="shared" si="56"/>
        <v>935</v>
      </c>
      <c r="AI161" s="157">
        <v>0</v>
      </c>
      <c r="AJ161" s="157">
        <v>0</v>
      </c>
      <c r="AK161" s="398">
        <f t="shared" si="57"/>
        <v>0</v>
      </c>
      <c r="AL161" s="398">
        <f t="shared" si="58"/>
        <v>0</v>
      </c>
      <c r="AM161" s="399">
        <f t="shared" si="59"/>
        <v>0</v>
      </c>
      <c r="AN161" s="397">
        <v>0</v>
      </c>
      <c r="AO161" s="397">
        <v>0</v>
      </c>
      <c r="AP161" s="46"/>
      <c r="AQ161" s="402">
        <v>0</v>
      </c>
      <c r="AR161" s="274">
        <v>161092.31</v>
      </c>
      <c r="AS161" s="413">
        <v>73575.820000000007</v>
      </c>
      <c r="AX161" s="2"/>
      <c r="BA161" s="342"/>
      <c r="BB161" s="342"/>
      <c r="BC161" s="342"/>
      <c r="BD161" s="386"/>
      <c r="BE161" s="386"/>
      <c r="BF161" s="386"/>
      <c r="BG161" s="386"/>
      <c r="BH161" s="386"/>
      <c r="BI161" s="386"/>
      <c r="BJ161" s="386"/>
      <c r="BK161" s="386"/>
      <c r="BL161" s="386"/>
      <c r="BM161" s="386"/>
      <c r="BN161" s="387"/>
      <c r="BO161" s="265"/>
      <c r="BP161" s="386"/>
      <c r="BQ161" s="388"/>
      <c r="BR161" s="388"/>
      <c r="BS161" s="389"/>
      <c r="BT161" s="389"/>
      <c r="BU161" s="389"/>
      <c r="BV161" s="386"/>
      <c r="BW161" s="389"/>
      <c r="BX161" s="389"/>
      <c r="BY161" s="386"/>
      <c r="BZ161" s="386"/>
      <c r="CA161" s="386"/>
      <c r="CB161" s="386"/>
      <c r="CC161" s="386"/>
      <c r="CD161" s="386"/>
      <c r="CE161" s="386"/>
      <c r="CF161" s="390"/>
      <c r="CG161" s="390"/>
      <c r="CH161" s="391"/>
      <c r="CI161" s="386"/>
      <c r="CJ161" s="386"/>
      <c r="CK161" s="390"/>
      <c r="CL161" s="390"/>
      <c r="CM161" s="391"/>
      <c r="CN161" s="389"/>
      <c r="CO161" s="389"/>
      <c r="CP161" s="135"/>
      <c r="CQ161" s="135"/>
      <c r="CR161" s="135"/>
      <c r="CS161" s="135"/>
      <c r="CT161" s="135"/>
      <c r="CU161" s="135"/>
    </row>
    <row r="162" spans="1:99">
      <c r="A162" s="342" t="s">
        <v>346</v>
      </c>
      <c r="B162" s="342" t="s">
        <v>345</v>
      </c>
      <c r="C162" s="342" t="s">
        <v>987</v>
      </c>
      <c r="D162" s="157">
        <v>0</v>
      </c>
      <c r="E162" s="157">
        <v>0</v>
      </c>
      <c r="F162" s="157">
        <v>0</v>
      </c>
      <c r="G162" s="157">
        <v>0</v>
      </c>
      <c r="H162" s="157">
        <v>0</v>
      </c>
      <c r="I162" s="157">
        <v>10965.61</v>
      </c>
      <c r="J162" s="157">
        <v>146690.87</v>
      </c>
      <c r="K162" s="157">
        <v>52376.22</v>
      </c>
      <c r="L162" s="157">
        <v>21931.23</v>
      </c>
      <c r="M162" s="157">
        <v>744486.74</v>
      </c>
      <c r="N162" s="264">
        <v>4.2299999999999997E-2</v>
      </c>
      <c r="O162" s="265">
        <v>0.2024</v>
      </c>
      <c r="P162" s="157">
        <v>0</v>
      </c>
      <c r="Q162" s="396">
        <v>0</v>
      </c>
      <c r="R162" s="396">
        <v>0</v>
      </c>
      <c r="S162" s="397">
        <v>0</v>
      </c>
      <c r="T162" s="397">
        <v>0</v>
      </c>
      <c r="U162" s="397">
        <v>0</v>
      </c>
      <c r="V162" s="157">
        <v>0</v>
      </c>
      <c r="W162" s="397">
        <v>0</v>
      </c>
      <c r="X162" s="397">
        <v>0</v>
      </c>
      <c r="Y162" s="157">
        <v>0</v>
      </c>
      <c r="Z162" s="157">
        <v>0</v>
      </c>
      <c r="AA162" s="157">
        <v>0</v>
      </c>
      <c r="AB162" s="157">
        <v>23144.7</v>
      </c>
      <c r="AC162" s="157">
        <v>382833.41</v>
      </c>
      <c r="AD162" s="157">
        <v>41.89</v>
      </c>
      <c r="AE162" s="157">
        <v>359832.63</v>
      </c>
      <c r="AF162" s="398">
        <f t="shared" si="54"/>
        <v>8589.94103604679</v>
      </c>
      <c r="AG162" s="398">
        <f t="shared" si="55"/>
        <v>9139.0167104320826</v>
      </c>
      <c r="AH162" s="399">
        <f t="shared" si="56"/>
        <v>549.08000000000004</v>
      </c>
      <c r="AI162" s="157">
        <v>2.57</v>
      </c>
      <c r="AJ162" s="157">
        <v>21428.16</v>
      </c>
      <c r="AK162" s="398">
        <f t="shared" si="57"/>
        <v>8337.8054474708169</v>
      </c>
      <c r="AL162" s="398">
        <f t="shared" si="58"/>
        <v>9005.7198443579782</v>
      </c>
      <c r="AM162" s="399">
        <f t="shared" si="59"/>
        <v>667.91</v>
      </c>
      <c r="AN162" s="397">
        <v>0</v>
      </c>
      <c r="AO162" s="397">
        <v>0</v>
      </c>
      <c r="AP162" s="46"/>
      <c r="AQ162" s="402">
        <v>0</v>
      </c>
      <c r="AR162" s="274">
        <v>65407.33</v>
      </c>
      <c r="AS162" s="413">
        <v>31870.2</v>
      </c>
      <c r="AX162" s="2"/>
      <c r="BA162" s="342"/>
      <c r="BB162" s="342"/>
      <c r="BC162" s="342"/>
      <c r="BD162" s="386"/>
      <c r="BE162" s="386"/>
      <c r="BF162" s="386"/>
      <c r="BG162" s="386"/>
      <c r="BH162" s="386"/>
      <c r="BI162" s="386"/>
      <c r="BJ162" s="386"/>
      <c r="BK162" s="386"/>
      <c r="BL162" s="386"/>
      <c r="BM162" s="386"/>
      <c r="BN162" s="387"/>
      <c r="BO162" s="265"/>
      <c r="BP162" s="386"/>
      <c r="BQ162" s="388"/>
      <c r="BR162" s="388"/>
      <c r="BS162" s="389"/>
      <c r="BT162" s="389"/>
      <c r="BU162" s="389"/>
      <c r="BV162" s="386"/>
      <c r="BW162" s="389"/>
      <c r="BX162" s="389"/>
      <c r="BY162" s="386"/>
      <c r="BZ162" s="386"/>
      <c r="CA162" s="386"/>
      <c r="CB162" s="386"/>
      <c r="CC162" s="386"/>
      <c r="CD162" s="386"/>
      <c r="CE162" s="386"/>
      <c r="CF162" s="390"/>
      <c r="CG162" s="390"/>
      <c r="CH162" s="391"/>
      <c r="CI162" s="386"/>
      <c r="CJ162" s="386"/>
      <c r="CK162" s="390"/>
      <c r="CL162" s="390"/>
      <c r="CM162" s="391"/>
      <c r="CN162" s="389"/>
      <c r="CO162" s="389"/>
      <c r="CP162" s="135"/>
      <c r="CQ162" s="135"/>
      <c r="CR162" s="135"/>
      <c r="CS162" s="135"/>
      <c r="CT162" s="135"/>
      <c r="CU162" s="135"/>
    </row>
    <row r="163" spans="1:99">
      <c r="A163" s="342" t="s">
        <v>348</v>
      </c>
      <c r="B163" s="342" t="s">
        <v>347</v>
      </c>
      <c r="C163" s="342" t="s">
        <v>988</v>
      </c>
      <c r="D163" s="157">
        <v>0</v>
      </c>
      <c r="E163" s="157">
        <v>1320.77</v>
      </c>
      <c r="F163" s="157">
        <v>958.78</v>
      </c>
      <c r="G163" s="157">
        <v>0</v>
      </c>
      <c r="H163" s="157">
        <v>0</v>
      </c>
      <c r="I163" s="157">
        <v>14275.97</v>
      </c>
      <c r="J163" s="157">
        <v>17896.71</v>
      </c>
      <c r="K163" s="157">
        <v>0</v>
      </c>
      <c r="L163" s="157">
        <v>0</v>
      </c>
      <c r="M163" s="157">
        <v>135989.26999999999</v>
      </c>
      <c r="N163" s="264">
        <v>8.8300000000000003E-2</v>
      </c>
      <c r="O163" s="265">
        <v>0.28349999999999997</v>
      </c>
      <c r="P163" s="157">
        <v>0</v>
      </c>
      <c r="Q163" s="396">
        <v>0</v>
      </c>
      <c r="R163" s="396">
        <v>0</v>
      </c>
      <c r="S163" s="397">
        <v>0</v>
      </c>
      <c r="T163" s="397">
        <v>0</v>
      </c>
      <c r="U163" s="397">
        <v>0</v>
      </c>
      <c r="V163" s="157">
        <v>0</v>
      </c>
      <c r="W163" s="397">
        <v>0</v>
      </c>
      <c r="X163" s="397">
        <v>0</v>
      </c>
      <c r="Y163" s="157">
        <v>0</v>
      </c>
      <c r="Z163" s="157">
        <v>0</v>
      </c>
      <c r="AA163" s="157">
        <v>0</v>
      </c>
      <c r="AB163" s="157">
        <v>0</v>
      </c>
      <c r="AC163" s="157">
        <v>0</v>
      </c>
      <c r="AD163" s="157">
        <v>0</v>
      </c>
      <c r="AE163" s="157">
        <v>0</v>
      </c>
      <c r="AF163" s="398">
        <f t="shared" si="54"/>
        <v>0</v>
      </c>
      <c r="AG163" s="398">
        <f t="shared" si="55"/>
        <v>0</v>
      </c>
      <c r="AH163" s="399">
        <f t="shared" si="56"/>
        <v>0</v>
      </c>
      <c r="AI163" s="157">
        <v>0</v>
      </c>
      <c r="AJ163" s="157">
        <v>0</v>
      </c>
      <c r="AK163" s="398">
        <f t="shared" si="57"/>
        <v>0</v>
      </c>
      <c r="AL163" s="398">
        <f t="shared" si="58"/>
        <v>0</v>
      </c>
      <c r="AM163" s="399">
        <f t="shared" si="59"/>
        <v>0</v>
      </c>
      <c r="AN163" s="397">
        <v>0</v>
      </c>
      <c r="AO163" s="397">
        <v>0</v>
      </c>
      <c r="AP163" s="46"/>
      <c r="AQ163" s="402">
        <v>53604.08</v>
      </c>
      <c r="AR163" s="274">
        <v>19263.18</v>
      </c>
      <c r="AS163" s="413">
        <v>11911.2</v>
      </c>
      <c r="AX163" s="2"/>
      <c r="BA163" s="342"/>
      <c r="BB163" s="342"/>
      <c r="BC163" s="342"/>
      <c r="BD163" s="386"/>
      <c r="BE163" s="386"/>
      <c r="BF163" s="386"/>
      <c r="BG163" s="386"/>
      <c r="BH163" s="386"/>
      <c r="BI163" s="386"/>
      <c r="BJ163" s="386"/>
      <c r="BK163" s="386"/>
      <c r="BL163" s="386"/>
      <c r="BM163" s="386"/>
      <c r="BN163" s="387"/>
      <c r="BO163" s="265"/>
      <c r="BP163" s="386"/>
      <c r="BQ163" s="388"/>
      <c r="BR163" s="388"/>
      <c r="BS163" s="389"/>
      <c r="BT163" s="389"/>
      <c r="BU163" s="389"/>
      <c r="BV163" s="386"/>
      <c r="BW163" s="389"/>
      <c r="BX163" s="389"/>
      <c r="BY163" s="386"/>
      <c r="BZ163" s="386"/>
      <c r="CA163" s="386"/>
      <c r="CB163" s="386"/>
      <c r="CC163" s="386"/>
      <c r="CD163" s="386"/>
      <c r="CE163" s="386"/>
      <c r="CF163" s="390"/>
      <c r="CG163" s="390"/>
      <c r="CH163" s="391"/>
      <c r="CI163" s="386"/>
      <c r="CJ163" s="386"/>
      <c r="CK163" s="390"/>
      <c r="CL163" s="390"/>
      <c r="CM163" s="391"/>
      <c r="CN163" s="389"/>
      <c r="CO163" s="389"/>
      <c r="CP163" s="135"/>
      <c r="CQ163" s="135"/>
      <c r="CR163" s="135"/>
      <c r="CS163" s="135"/>
      <c r="CT163" s="135"/>
      <c r="CU163" s="135"/>
    </row>
    <row r="164" spans="1:99">
      <c r="A164" s="342" t="s">
        <v>350</v>
      </c>
      <c r="B164" s="342" t="s">
        <v>349</v>
      </c>
      <c r="C164" s="342" t="s">
        <v>989</v>
      </c>
      <c r="D164" s="157">
        <v>0</v>
      </c>
      <c r="E164" s="157">
        <v>104977.36</v>
      </c>
      <c r="F164" s="157">
        <v>17631.150000000001</v>
      </c>
      <c r="G164" s="157">
        <v>9393463.6699999999</v>
      </c>
      <c r="H164" s="157">
        <v>1432325.77</v>
      </c>
      <c r="I164" s="157">
        <v>194450.82</v>
      </c>
      <c r="J164" s="157">
        <v>1385956.36</v>
      </c>
      <c r="K164" s="157">
        <v>1420089.61</v>
      </c>
      <c r="L164" s="157">
        <v>189538.64</v>
      </c>
      <c r="M164" s="157">
        <v>3553986.26</v>
      </c>
      <c r="N164" s="264">
        <v>5.0799999999999998E-2</v>
      </c>
      <c r="O164" s="265">
        <v>0.17780000000000001</v>
      </c>
      <c r="P164" s="157">
        <v>0</v>
      </c>
      <c r="Q164" s="396">
        <v>0</v>
      </c>
      <c r="R164" s="396">
        <v>0</v>
      </c>
      <c r="S164" s="397">
        <v>0</v>
      </c>
      <c r="T164" s="397">
        <v>0</v>
      </c>
      <c r="U164" s="397">
        <v>0</v>
      </c>
      <c r="V164" s="157">
        <v>0</v>
      </c>
      <c r="W164" s="397">
        <v>0</v>
      </c>
      <c r="X164" s="397">
        <v>0</v>
      </c>
      <c r="Y164" s="157">
        <v>6501.56</v>
      </c>
      <c r="Z164" s="157">
        <v>78939.78</v>
      </c>
      <c r="AA164" s="157">
        <v>190322.36</v>
      </c>
      <c r="AB164" s="157">
        <v>743348.51</v>
      </c>
      <c r="AC164" s="157">
        <v>3273841.01</v>
      </c>
      <c r="AD164" s="157">
        <v>314.86</v>
      </c>
      <c r="AE164" s="157">
        <v>3043664.33</v>
      </c>
      <c r="AF164" s="398">
        <f t="shared" si="54"/>
        <v>9666.7227656736322</v>
      </c>
      <c r="AG164" s="398">
        <f t="shared" si="55"/>
        <v>10397.76729340024</v>
      </c>
      <c r="AH164" s="399">
        <f t="shared" si="56"/>
        <v>731.04</v>
      </c>
      <c r="AI164" s="157">
        <v>73.44</v>
      </c>
      <c r="AJ164" s="157">
        <v>690467.95</v>
      </c>
      <c r="AK164" s="398">
        <f t="shared" si="57"/>
        <v>9401.7967047930288</v>
      </c>
      <c r="AL164" s="398">
        <f t="shared" si="58"/>
        <v>10121.847903050109</v>
      </c>
      <c r="AM164" s="399">
        <f t="shared" si="59"/>
        <v>720.05</v>
      </c>
      <c r="AN164" s="397">
        <v>0</v>
      </c>
      <c r="AO164" s="397">
        <v>0</v>
      </c>
      <c r="AP164" s="46"/>
      <c r="AQ164" s="402">
        <v>0</v>
      </c>
      <c r="AR164" s="274">
        <v>574723.44000000006</v>
      </c>
      <c r="AS164" s="413">
        <v>156383.92000000001</v>
      </c>
      <c r="AX164" s="2"/>
      <c r="BA164" s="342"/>
      <c r="BB164" s="342"/>
      <c r="BC164" s="342"/>
      <c r="BD164" s="386"/>
      <c r="BE164" s="386"/>
      <c r="BF164" s="386"/>
      <c r="BG164" s="386"/>
      <c r="BH164" s="386"/>
      <c r="BI164" s="386"/>
      <c r="BJ164" s="386"/>
      <c r="BK164" s="386"/>
      <c r="BL164" s="386"/>
      <c r="BM164" s="386"/>
      <c r="BN164" s="387"/>
      <c r="BO164" s="265"/>
      <c r="BP164" s="386"/>
      <c r="BQ164" s="388"/>
      <c r="BR164" s="388"/>
      <c r="BS164" s="389"/>
      <c r="BT164" s="389"/>
      <c r="BU164" s="389"/>
      <c r="BV164" s="386"/>
      <c r="BW164" s="389"/>
      <c r="BX164" s="389"/>
      <c r="BY164" s="386"/>
      <c r="BZ164" s="386"/>
      <c r="CA164" s="386"/>
      <c r="CB164" s="386"/>
      <c r="CC164" s="386"/>
      <c r="CD164" s="386"/>
      <c r="CE164" s="386"/>
      <c r="CF164" s="390"/>
      <c r="CG164" s="390"/>
      <c r="CH164" s="391"/>
      <c r="CI164" s="386"/>
      <c r="CJ164" s="386"/>
      <c r="CK164" s="390"/>
      <c r="CL164" s="390"/>
      <c r="CM164" s="391"/>
      <c r="CN164" s="389"/>
      <c r="CO164" s="389"/>
      <c r="CP164" s="135"/>
      <c r="CQ164" s="135"/>
      <c r="CR164" s="135"/>
      <c r="CS164" s="135"/>
      <c r="CT164" s="135"/>
      <c r="CU164" s="135"/>
    </row>
    <row r="165" spans="1:99">
      <c r="A165" s="342" t="s">
        <v>352</v>
      </c>
      <c r="B165" s="342" t="s">
        <v>351</v>
      </c>
      <c r="C165" s="342" t="s">
        <v>990</v>
      </c>
      <c r="D165" s="157">
        <v>0</v>
      </c>
      <c r="E165" s="157">
        <v>0</v>
      </c>
      <c r="F165" s="157">
        <v>0</v>
      </c>
      <c r="G165" s="157">
        <v>2076912.91</v>
      </c>
      <c r="H165" s="157">
        <v>516859.76</v>
      </c>
      <c r="I165" s="157">
        <v>0</v>
      </c>
      <c r="J165" s="157">
        <v>318739.89</v>
      </c>
      <c r="K165" s="157">
        <v>41601.61</v>
      </c>
      <c r="L165" s="157">
        <v>43469.4</v>
      </c>
      <c r="M165" s="157">
        <v>494781.72</v>
      </c>
      <c r="N165" s="264">
        <v>1.84E-2</v>
      </c>
      <c r="O165" s="265">
        <v>0.12670000000000001</v>
      </c>
      <c r="P165" s="157">
        <v>0</v>
      </c>
      <c r="Q165" s="396">
        <v>0</v>
      </c>
      <c r="R165" s="396">
        <v>0</v>
      </c>
      <c r="S165" s="397">
        <v>0</v>
      </c>
      <c r="T165" s="397">
        <v>0</v>
      </c>
      <c r="U165" s="397">
        <v>0</v>
      </c>
      <c r="V165" s="157">
        <v>0</v>
      </c>
      <c r="W165" s="397">
        <v>0</v>
      </c>
      <c r="X165" s="397">
        <v>0</v>
      </c>
      <c r="Y165" s="157">
        <v>0</v>
      </c>
      <c r="Z165" s="157">
        <v>0</v>
      </c>
      <c r="AA165" s="157">
        <v>22909.42</v>
      </c>
      <c r="AB165" s="157">
        <v>259144.8</v>
      </c>
      <c r="AC165" s="157">
        <v>1109718.5900000001</v>
      </c>
      <c r="AD165" s="157">
        <v>117.54</v>
      </c>
      <c r="AE165" s="157">
        <v>1029995.1</v>
      </c>
      <c r="AF165" s="398">
        <f t="shared" si="54"/>
        <v>8762.9326186830003</v>
      </c>
      <c r="AG165" s="398">
        <f t="shared" si="55"/>
        <v>9441.1995065509618</v>
      </c>
      <c r="AH165" s="399">
        <f t="shared" si="56"/>
        <v>678.27</v>
      </c>
      <c r="AI165" s="157">
        <v>28.26</v>
      </c>
      <c r="AJ165" s="157">
        <v>240541.34</v>
      </c>
      <c r="AK165" s="398">
        <f t="shared" si="57"/>
        <v>8511.7246992215132</v>
      </c>
      <c r="AL165" s="398">
        <f t="shared" si="58"/>
        <v>9170.0212314225046</v>
      </c>
      <c r="AM165" s="399">
        <f t="shared" si="59"/>
        <v>658.3</v>
      </c>
      <c r="AN165" s="397">
        <v>2314.9</v>
      </c>
      <c r="AO165" s="397">
        <v>0</v>
      </c>
      <c r="AP165" s="46"/>
      <c r="AQ165" s="402">
        <v>0</v>
      </c>
      <c r="AR165" s="274">
        <v>140510.74</v>
      </c>
      <c r="AS165" s="413">
        <v>52538.05</v>
      </c>
      <c r="AX165" s="2"/>
      <c r="BA165" s="342"/>
      <c r="BB165" s="342"/>
      <c r="BC165" s="342"/>
      <c r="BD165" s="386"/>
      <c r="BE165" s="386"/>
      <c r="BF165" s="386"/>
      <c r="BG165" s="386"/>
      <c r="BH165" s="386"/>
      <c r="BI165" s="386"/>
      <c r="BJ165" s="386"/>
      <c r="BK165" s="386"/>
      <c r="BL165" s="386"/>
      <c r="BM165" s="386"/>
      <c r="BN165" s="387"/>
      <c r="BO165" s="265"/>
      <c r="BP165" s="386"/>
      <c r="BQ165" s="388"/>
      <c r="BR165" s="388"/>
      <c r="BS165" s="389"/>
      <c r="BT165" s="389"/>
      <c r="BU165" s="389"/>
      <c r="BV165" s="386"/>
      <c r="BW165" s="389"/>
      <c r="BX165" s="389"/>
      <c r="BY165" s="386"/>
      <c r="BZ165" s="386"/>
      <c r="CA165" s="386"/>
      <c r="CB165" s="386"/>
      <c r="CC165" s="386"/>
      <c r="CD165" s="386"/>
      <c r="CE165" s="386"/>
      <c r="CF165" s="390"/>
      <c r="CG165" s="390"/>
      <c r="CH165" s="391"/>
      <c r="CI165" s="386"/>
      <c r="CJ165" s="386"/>
      <c r="CK165" s="390"/>
      <c r="CL165" s="390"/>
      <c r="CM165" s="391"/>
      <c r="CN165" s="389"/>
      <c r="CO165" s="389"/>
      <c r="CP165" s="135"/>
      <c r="CQ165" s="135"/>
      <c r="CR165" s="135"/>
      <c r="CS165" s="135"/>
      <c r="CT165" s="135"/>
      <c r="CU165" s="135"/>
    </row>
    <row r="166" spans="1:99">
      <c r="A166" s="342" t="s">
        <v>354</v>
      </c>
      <c r="B166" s="342" t="s">
        <v>353</v>
      </c>
      <c r="C166" s="342" t="s">
        <v>991</v>
      </c>
      <c r="D166" s="157">
        <v>0</v>
      </c>
      <c r="E166" s="157">
        <v>1541.26</v>
      </c>
      <c r="F166" s="157">
        <v>3621.92</v>
      </c>
      <c r="G166" s="157">
        <v>457436.72</v>
      </c>
      <c r="H166" s="157">
        <v>72596.39</v>
      </c>
      <c r="I166" s="157">
        <v>119069.97</v>
      </c>
      <c r="J166" s="157">
        <v>141104.63</v>
      </c>
      <c r="K166" s="157">
        <v>0</v>
      </c>
      <c r="L166" s="157">
        <v>12310.43</v>
      </c>
      <c r="M166" s="157">
        <v>373069.1</v>
      </c>
      <c r="N166" s="264">
        <v>3.3399999999999999E-2</v>
      </c>
      <c r="O166" s="265">
        <v>0.25280000000000002</v>
      </c>
      <c r="P166" s="157">
        <v>0</v>
      </c>
      <c r="Q166" s="396">
        <v>0</v>
      </c>
      <c r="R166" s="396">
        <v>0</v>
      </c>
      <c r="S166" s="397">
        <v>0</v>
      </c>
      <c r="T166" s="397">
        <v>0</v>
      </c>
      <c r="U166" s="397">
        <v>0</v>
      </c>
      <c r="V166" s="157">
        <v>0</v>
      </c>
      <c r="W166" s="397">
        <v>0</v>
      </c>
      <c r="X166" s="397">
        <v>0</v>
      </c>
      <c r="Y166" s="157">
        <v>527.79</v>
      </c>
      <c r="Z166" s="157">
        <v>19164.41</v>
      </c>
      <c r="AA166" s="157">
        <v>227.11</v>
      </c>
      <c r="AB166" s="157">
        <v>302393.5</v>
      </c>
      <c r="AC166" s="157">
        <v>695916.75</v>
      </c>
      <c r="AD166" s="157">
        <v>75.510000000000005</v>
      </c>
      <c r="AE166" s="157">
        <v>648704.15</v>
      </c>
      <c r="AF166" s="398">
        <f t="shared" si="54"/>
        <v>8590.970070189378</v>
      </c>
      <c r="AG166" s="398">
        <f t="shared" si="55"/>
        <v>9216.219705999205</v>
      </c>
      <c r="AH166" s="399">
        <f t="shared" si="56"/>
        <v>625.25</v>
      </c>
      <c r="AI166" s="157">
        <v>33.69</v>
      </c>
      <c r="AJ166" s="157">
        <v>280942.71000000002</v>
      </c>
      <c r="AK166" s="398">
        <f t="shared" si="57"/>
        <v>8339.0534283170091</v>
      </c>
      <c r="AL166" s="398">
        <f t="shared" si="58"/>
        <v>8975.7643217571986</v>
      </c>
      <c r="AM166" s="399">
        <f t="shared" si="59"/>
        <v>636.71</v>
      </c>
      <c r="AN166" s="397">
        <v>0</v>
      </c>
      <c r="AO166" s="397">
        <v>0</v>
      </c>
      <c r="AP166" s="46"/>
      <c r="AQ166" s="402">
        <v>4521.4500000000044</v>
      </c>
      <c r="AR166" s="274">
        <v>50113.02</v>
      </c>
      <c r="AS166" s="413">
        <v>22285.67</v>
      </c>
      <c r="AX166" s="2"/>
      <c r="BA166" s="342"/>
      <c r="BB166" s="342"/>
      <c r="BC166" s="342"/>
      <c r="BD166" s="386"/>
      <c r="BE166" s="386"/>
      <c r="BF166" s="386"/>
      <c r="BG166" s="386"/>
      <c r="BH166" s="386"/>
      <c r="BI166" s="386"/>
      <c r="BJ166" s="386"/>
      <c r="BK166" s="386"/>
      <c r="BL166" s="386"/>
      <c r="BM166" s="386"/>
      <c r="BN166" s="387"/>
      <c r="BO166" s="265"/>
      <c r="BP166" s="386"/>
      <c r="BQ166" s="388"/>
      <c r="BR166" s="388"/>
      <c r="BS166" s="389"/>
      <c r="BT166" s="389"/>
      <c r="BU166" s="389"/>
      <c r="BV166" s="386"/>
      <c r="BW166" s="389"/>
      <c r="BX166" s="389"/>
      <c r="BY166" s="386"/>
      <c r="BZ166" s="386"/>
      <c r="CA166" s="386"/>
      <c r="CB166" s="386"/>
      <c r="CC166" s="386"/>
      <c r="CD166" s="386"/>
      <c r="CE166" s="386"/>
      <c r="CF166" s="390"/>
      <c r="CG166" s="390"/>
      <c r="CH166" s="391"/>
      <c r="CI166" s="386"/>
      <c r="CJ166" s="386"/>
      <c r="CK166" s="390"/>
      <c r="CL166" s="390"/>
      <c r="CM166" s="391"/>
      <c r="CN166" s="389"/>
      <c r="CO166" s="389"/>
      <c r="CP166" s="135"/>
      <c r="CQ166" s="135"/>
      <c r="CR166" s="135"/>
      <c r="CS166" s="135"/>
      <c r="CT166" s="135"/>
      <c r="CU166" s="135"/>
    </row>
    <row r="167" spans="1:99">
      <c r="A167" s="342" t="s">
        <v>356</v>
      </c>
      <c r="B167" s="342" t="s">
        <v>355</v>
      </c>
      <c r="C167" s="342" t="s">
        <v>992</v>
      </c>
      <c r="D167" s="157">
        <v>0</v>
      </c>
      <c r="E167" s="157">
        <v>336149.46</v>
      </c>
      <c r="F167" s="157">
        <v>51324.46</v>
      </c>
      <c r="G167" s="157">
        <v>12234372.130000001</v>
      </c>
      <c r="H167" s="157">
        <v>2422932.33</v>
      </c>
      <c r="I167" s="157">
        <v>2294779.0699999998</v>
      </c>
      <c r="J167" s="157">
        <v>3583435.62</v>
      </c>
      <c r="K167" s="157">
        <v>2066613.98</v>
      </c>
      <c r="L167" s="157">
        <v>260343.24</v>
      </c>
      <c r="M167" s="157">
        <v>4939349.07</v>
      </c>
      <c r="N167" s="264">
        <v>4.1500000000000002E-2</v>
      </c>
      <c r="O167" s="265">
        <v>0.1512</v>
      </c>
      <c r="P167" s="157">
        <v>0</v>
      </c>
      <c r="Q167" s="396">
        <v>0</v>
      </c>
      <c r="R167" s="396">
        <v>0</v>
      </c>
      <c r="S167" s="397">
        <v>0</v>
      </c>
      <c r="T167" s="397">
        <v>0</v>
      </c>
      <c r="U167" s="397">
        <v>0</v>
      </c>
      <c r="V167" s="157">
        <v>0</v>
      </c>
      <c r="W167" s="397">
        <v>0</v>
      </c>
      <c r="X167" s="397">
        <v>0</v>
      </c>
      <c r="Y167" s="157">
        <v>700.34</v>
      </c>
      <c r="Z167" s="157">
        <v>0</v>
      </c>
      <c r="AA167" s="157">
        <v>243685.22</v>
      </c>
      <c r="AB167" s="157">
        <v>359433.23</v>
      </c>
      <c r="AC167" s="157">
        <v>3416366.07</v>
      </c>
      <c r="AD167" s="157">
        <v>358.45</v>
      </c>
      <c r="AE167" s="157">
        <v>3143424.07</v>
      </c>
      <c r="AF167" s="398">
        <f t="shared" si="54"/>
        <v>8769.491058725067</v>
      </c>
      <c r="AG167" s="398">
        <f t="shared" si="55"/>
        <v>9530.9417491979348</v>
      </c>
      <c r="AH167" s="399">
        <f t="shared" si="56"/>
        <v>761.45</v>
      </c>
      <c r="AI167" s="157">
        <v>39.19</v>
      </c>
      <c r="AJ167" s="157">
        <v>333665.8</v>
      </c>
      <c r="AK167" s="398">
        <f t="shared" si="57"/>
        <v>8514.054605766778</v>
      </c>
      <c r="AL167" s="398">
        <f t="shared" si="58"/>
        <v>9171.5547333503437</v>
      </c>
      <c r="AM167" s="399">
        <f t="shared" si="59"/>
        <v>657.5</v>
      </c>
      <c r="AN167" s="397">
        <v>3154.9</v>
      </c>
      <c r="AO167" s="397">
        <v>0</v>
      </c>
      <c r="AP167" s="46"/>
      <c r="AQ167" s="402">
        <v>257048.0199999999</v>
      </c>
      <c r="AR167" s="274">
        <v>927474.69</v>
      </c>
      <c r="AS167" s="413">
        <v>262527.08</v>
      </c>
      <c r="AX167" s="2"/>
      <c r="BA167" s="342"/>
      <c r="BB167" s="342"/>
      <c r="BC167" s="342"/>
      <c r="BD167" s="386"/>
      <c r="BE167" s="386"/>
      <c r="BF167" s="386"/>
      <c r="BG167" s="386"/>
      <c r="BH167" s="386"/>
      <c r="BI167" s="386"/>
      <c r="BJ167" s="386"/>
      <c r="BK167" s="386"/>
      <c r="BL167" s="386"/>
      <c r="BM167" s="386"/>
      <c r="BN167" s="387"/>
      <c r="BO167" s="265"/>
      <c r="BP167" s="386"/>
      <c r="BQ167" s="388"/>
      <c r="BR167" s="388"/>
      <c r="BS167" s="389"/>
      <c r="BT167" s="389"/>
      <c r="BU167" s="389"/>
      <c r="BV167" s="386"/>
      <c r="BW167" s="389"/>
      <c r="BX167" s="389"/>
      <c r="BY167" s="386"/>
      <c r="BZ167" s="386"/>
      <c r="CA167" s="386"/>
      <c r="CB167" s="386"/>
      <c r="CC167" s="386"/>
      <c r="CD167" s="386"/>
      <c r="CE167" s="386"/>
      <c r="CF167" s="390"/>
      <c r="CG167" s="390"/>
      <c r="CH167" s="391"/>
      <c r="CI167" s="386"/>
      <c r="CJ167" s="386"/>
      <c r="CK167" s="390"/>
      <c r="CL167" s="390"/>
      <c r="CM167" s="391"/>
      <c r="CN167" s="389"/>
      <c r="CO167" s="389"/>
      <c r="CP167" s="135"/>
      <c r="CQ167" s="135"/>
      <c r="CR167" s="135"/>
      <c r="CS167" s="135"/>
      <c r="CT167" s="135"/>
      <c r="CU167" s="135"/>
    </row>
    <row r="168" spans="1:99">
      <c r="A168" s="342" t="s">
        <v>358</v>
      </c>
      <c r="B168" s="342" t="s">
        <v>357</v>
      </c>
      <c r="C168" s="342" t="s">
        <v>993</v>
      </c>
      <c r="D168" s="157">
        <v>0</v>
      </c>
      <c r="E168" s="157">
        <v>18923.14</v>
      </c>
      <c r="F168" s="157">
        <v>13583</v>
      </c>
      <c r="G168" s="157">
        <v>812704.33</v>
      </c>
      <c r="H168" s="157">
        <v>265098.13</v>
      </c>
      <c r="I168" s="157">
        <v>174622.14</v>
      </c>
      <c r="J168" s="157">
        <v>212174.2</v>
      </c>
      <c r="K168" s="157">
        <v>94703.5</v>
      </c>
      <c r="L168" s="157">
        <v>17793.27</v>
      </c>
      <c r="M168" s="157">
        <v>485288.9</v>
      </c>
      <c r="N168" s="264">
        <v>3.7699999999999997E-2</v>
      </c>
      <c r="O168" s="265">
        <v>0.1946</v>
      </c>
      <c r="P168" s="157">
        <v>0</v>
      </c>
      <c r="Q168" s="396">
        <v>0</v>
      </c>
      <c r="R168" s="396">
        <v>0</v>
      </c>
      <c r="S168" s="397">
        <v>0</v>
      </c>
      <c r="T168" s="397">
        <v>0</v>
      </c>
      <c r="U168" s="397">
        <v>0</v>
      </c>
      <c r="V168" s="157">
        <v>0</v>
      </c>
      <c r="W168" s="397">
        <v>0</v>
      </c>
      <c r="X168" s="397">
        <v>0</v>
      </c>
      <c r="Y168" s="157">
        <v>667.64</v>
      </c>
      <c r="Z168" s="157">
        <v>0</v>
      </c>
      <c r="AA168" s="157">
        <v>23522.28</v>
      </c>
      <c r="AB168" s="157">
        <v>151776.39000000001</v>
      </c>
      <c r="AC168" s="157">
        <v>415679.43</v>
      </c>
      <c r="AD168" s="157">
        <v>45.11</v>
      </c>
      <c r="AE168" s="157">
        <v>387503.62</v>
      </c>
      <c r="AF168" s="398">
        <f t="shared" si="54"/>
        <v>8590.1933052538243</v>
      </c>
      <c r="AG168" s="398">
        <f t="shared" si="55"/>
        <v>9214.7956107293285</v>
      </c>
      <c r="AH168" s="399">
        <f t="shared" si="56"/>
        <v>624.6</v>
      </c>
      <c r="AI168" s="157">
        <v>16.899999999999999</v>
      </c>
      <c r="AJ168" s="157">
        <v>140892.25</v>
      </c>
      <c r="AK168" s="398">
        <f t="shared" si="57"/>
        <v>8336.8195266272196</v>
      </c>
      <c r="AL168" s="398">
        <f t="shared" si="58"/>
        <v>8980.8514792899423</v>
      </c>
      <c r="AM168" s="399">
        <f t="shared" si="59"/>
        <v>644.03</v>
      </c>
      <c r="AN168" s="397">
        <v>0</v>
      </c>
      <c r="AO168" s="397">
        <v>0</v>
      </c>
      <c r="AP168" s="46"/>
      <c r="AQ168" s="402">
        <v>655.25</v>
      </c>
      <c r="AR168" s="274">
        <v>65165.549999999996</v>
      </c>
      <c r="AS168" s="413">
        <v>28211.489999999998</v>
      </c>
      <c r="AX168" s="2"/>
      <c r="BA168" s="342"/>
      <c r="BB168" s="342"/>
      <c r="BC168" s="342"/>
      <c r="BD168" s="386"/>
      <c r="BE168" s="386"/>
      <c r="BF168" s="386"/>
      <c r="BG168" s="386"/>
      <c r="BH168" s="386"/>
      <c r="BI168" s="386"/>
      <c r="BJ168" s="386"/>
      <c r="BK168" s="386"/>
      <c r="BL168" s="386"/>
      <c r="BM168" s="386"/>
      <c r="BN168" s="387"/>
      <c r="BO168" s="265"/>
      <c r="BP168" s="386"/>
      <c r="BQ168" s="388"/>
      <c r="BR168" s="388"/>
      <c r="BS168" s="389"/>
      <c r="BT168" s="389"/>
      <c r="BU168" s="389"/>
      <c r="BV168" s="386"/>
      <c r="BW168" s="389"/>
      <c r="BX168" s="389"/>
      <c r="BY168" s="386"/>
      <c r="BZ168" s="386"/>
      <c r="CA168" s="386"/>
      <c r="CB168" s="386"/>
      <c r="CC168" s="386"/>
      <c r="CD168" s="386"/>
      <c r="CE168" s="386"/>
      <c r="CF168" s="390"/>
      <c r="CG168" s="390"/>
      <c r="CH168" s="391"/>
      <c r="CI168" s="386"/>
      <c r="CJ168" s="386"/>
      <c r="CK168" s="390"/>
      <c r="CL168" s="390"/>
      <c r="CM168" s="391"/>
      <c r="CN168" s="389"/>
      <c r="CO168" s="389"/>
      <c r="CP168" s="135"/>
      <c r="CQ168" s="135"/>
      <c r="CR168" s="135"/>
      <c r="CS168" s="135"/>
      <c r="CT168" s="135"/>
      <c r="CU168" s="135"/>
    </row>
    <row r="169" spans="1:99">
      <c r="A169" s="342" t="s">
        <v>360</v>
      </c>
      <c r="B169" s="342" t="s">
        <v>359</v>
      </c>
      <c r="C169" s="342" t="s">
        <v>994</v>
      </c>
      <c r="D169" s="157">
        <v>0</v>
      </c>
      <c r="E169" s="157">
        <v>0</v>
      </c>
      <c r="F169" s="157">
        <v>0</v>
      </c>
      <c r="G169" s="157">
        <v>1157083.1200000001</v>
      </c>
      <c r="H169" s="157">
        <v>209619.33</v>
      </c>
      <c r="I169" s="157">
        <v>255726.28</v>
      </c>
      <c r="J169" s="157">
        <v>555108.11</v>
      </c>
      <c r="K169" s="157">
        <v>207271.8</v>
      </c>
      <c r="L169" s="157">
        <v>26379.52</v>
      </c>
      <c r="M169" s="157">
        <v>830582.64</v>
      </c>
      <c r="N169" s="264">
        <v>6.8000000000000005E-2</v>
      </c>
      <c r="O169" s="265">
        <v>0.30109999999999998</v>
      </c>
      <c r="P169" s="157">
        <v>0</v>
      </c>
      <c r="Q169" s="396">
        <v>0</v>
      </c>
      <c r="R169" s="396">
        <v>0</v>
      </c>
      <c r="S169" s="397">
        <v>0</v>
      </c>
      <c r="T169" s="397">
        <v>0</v>
      </c>
      <c r="U169" s="397">
        <v>0</v>
      </c>
      <c r="V169" s="157">
        <v>0</v>
      </c>
      <c r="W169" s="397">
        <v>0</v>
      </c>
      <c r="X169" s="397">
        <v>0</v>
      </c>
      <c r="Y169" s="157">
        <v>1005.97</v>
      </c>
      <c r="Z169" s="157">
        <v>0</v>
      </c>
      <c r="AA169" s="157">
        <v>0</v>
      </c>
      <c r="AB169" s="157">
        <v>0</v>
      </c>
      <c r="AC169" s="157">
        <v>309714.34999999998</v>
      </c>
      <c r="AD169" s="157">
        <v>34.47</v>
      </c>
      <c r="AE169" s="157">
        <v>295997.31</v>
      </c>
      <c r="AF169" s="398">
        <f t="shared" si="54"/>
        <v>8587.0992167101831</v>
      </c>
      <c r="AG169" s="398">
        <f t="shared" si="55"/>
        <v>8985.0406150275594</v>
      </c>
      <c r="AH169" s="399">
        <f t="shared" si="56"/>
        <v>397.94</v>
      </c>
      <c r="AI169" s="157">
        <v>0</v>
      </c>
      <c r="AJ169" s="157">
        <v>0</v>
      </c>
      <c r="AK169" s="398">
        <f t="shared" si="57"/>
        <v>0</v>
      </c>
      <c r="AL169" s="398">
        <f t="shared" si="58"/>
        <v>0</v>
      </c>
      <c r="AM169" s="399">
        <f t="shared" si="59"/>
        <v>0</v>
      </c>
      <c r="AN169" s="397">
        <v>4437.63</v>
      </c>
      <c r="AO169" s="397">
        <v>0</v>
      </c>
      <c r="AP169" s="46"/>
      <c r="AQ169" s="402">
        <v>12044.459999999977</v>
      </c>
      <c r="AR169" s="274">
        <v>97046.069999999992</v>
      </c>
      <c r="AS169" s="413">
        <v>36003.39</v>
      </c>
      <c r="AX169" s="2"/>
      <c r="BA169" s="342"/>
      <c r="BB169" s="342"/>
      <c r="BC169" s="342"/>
      <c r="BD169" s="386"/>
      <c r="BE169" s="386"/>
      <c r="BF169" s="386"/>
      <c r="BG169" s="386"/>
      <c r="BH169" s="386"/>
      <c r="BI169" s="386"/>
      <c r="BJ169" s="386"/>
      <c r="BK169" s="386"/>
      <c r="BL169" s="386"/>
      <c r="BM169" s="386"/>
      <c r="BN169" s="387"/>
      <c r="BO169" s="265"/>
      <c r="BP169" s="386"/>
      <c r="BQ169" s="388"/>
      <c r="BR169" s="388"/>
      <c r="BS169" s="389"/>
      <c r="BT169" s="389"/>
      <c r="BU169" s="389"/>
      <c r="BV169" s="386"/>
      <c r="BW169" s="389"/>
      <c r="BX169" s="389"/>
      <c r="BY169" s="386"/>
      <c r="BZ169" s="386"/>
      <c r="CA169" s="386"/>
      <c r="CB169" s="386"/>
      <c r="CC169" s="386"/>
      <c r="CD169" s="386"/>
      <c r="CE169" s="386"/>
      <c r="CF169" s="390"/>
      <c r="CG169" s="390"/>
      <c r="CH169" s="391"/>
      <c r="CI169" s="386"/>
      <c r="CJ169" s="386"/>
      <c r="CK169" s="390"/>
      <c r="CL169" s="390"/>
      <c r="CM169" s="391"/>
      <c r="CN169" s="389"/>
      <c r="CO169" s="389"/>
      <c r="CP169" s="135"/>
      <c r="CQ169" s="135"/>
      <c r="CR169" s="135"/>
      <c r="CS169" s="135"/>
      <c r="CT169" s="135"/>
      <c r="CU169" s="135"/>
    </row>
    <row r="170" spans="1:99">
      <c r="A170" s="342" t="s">
        <v>362</v>
      </c>
      <c r="B170" s="342" t="s">
        <v>361</v>
      </c>
      <c r="C170" s="342" t="s">
        <v>995</v>
      </c>
      <c r="D170" s="157">
        <v>0</v>
      </c>
      <c r="E170" s="157">
        <v>62404.37</v>
      </c>
      <c r="F170" s="157">
        <v>24334.46</v>
      </c>
      <c r="G170" s="157">
        <v>2886064.96</v>
      </c>
      <c r="H170" s="157">
        <v>547967.03</v>
      </c>
      <c r="I170" s="157">
        <v>421973.82</v>
      </c>
      <c r="J170" s="157">
        <v>659834.42000000004</v>
      </c>
      <c r="K170" s="157">
        <v>169767.92</v>
      </c>
      <c r="L170" s="157">
        <v>53289.93</v>
      </c>
      <c r="M170" s="157">
        <v>1902401.55</v>
      </c>
      <c r="N170" s="264">
        <v>4.2799999999999998E-2</v>
      </c>
      <c r="O170" s="265">
        <v>0.15429999999999999</v>
      </c>
      <c r="P170" s="157">
        <v>0</v>
      </c>
      <c r="Q170" s="396">
        <v>0</v>
      </c>
      <c r="R170" s="396">
        <v>0</v>
      </c>
      <c r="S170" s="397">
        <v>0</v>
      </c>
      <c r="T170" s="397">
        <v>0</v>
      </c>
      <c r="U170" s="397">
        <v>0</v>
      </c>
      <c r="V170" s="157">
        <v>0</v>
      </c>
      <c r="W170" s="397">
        <v>0</v>
      </c>
      <c r="X170" s="397">
        <v>0</v>
      </c>
      <c r="Y170" s="157">
        <v>1892.39</v>
      </c>
      <c r="Z170" s="157">
        <v>4834.7</v>
      </c>
      <c r="AA170" s="157">
        <v>0</v>
      </c>
      <c r="AB170" s="157">
        <v>72701.98</v>
      </c>
      <c r="AC170" s="157">
        <v>1008005.04</v>
      </c>
      <c r="AD170" s="157">
        <v>96.41</v>
      </c>
      <c r="AE170" s="157">
        <v>897209.03</v>
      </c>
      <c r="AF170" s="398">
        <f t="shared" si="54"/>
        <v>9306.1822425059654</v>
      </c>
      <c r="AG170" s="398">
        <f t="shared" si="55"/>
        <v>10455.399232444768</v>
      </c>
      <c r="AH170" s="399">
        <f t="shared" si="56"/>
        <v>1149.22</v>
      </c>
      <c r="AI170" s="157">
        <v>7.47</v>
      </c>
      <c r="AJ170" s="157">
        <v>67483.600000000006</v>
      </c>
      <c r="AK170" s="398">
        <f t="shared" si="57"/>
        <v>9033.9491298527446</v>
      </c>
      <c r="AL170" s="398">
        <f t="shared" si="58"/>
        <v>9732.5274431057569</v>
      </c>
      <c r="AM170" s="399">
        <f t="shared" si="59"/>
        <v>698.58</v>
      </c>
      <c r="AN170" s="397">
        <v>0</v>
      </c>
      <c r="AO170" s="397">
        <v>0</v>
      </c>
      <c r="AP170" s="46"/>
      <c r="AQ170" s="402">
        <v>287091.55</v>
      </c>
      <c r="AR170" s="274">
        <v>182009.48</v>
      </c>
      <c r="AS170" s="413">
        <v>59562.18</v>
      </c>
      <c r="AX170" s="2"/>
      <c r="BA170" s="342"/>
      <c r="BB170" s="342"/>
      <c r="BC170" s="342"/>
      <c r="BD170" s="386"/>
      <c r="BE170" s="386"/>
      <c r="BF170" s="386"/>
      <c r="BG170" s="386"/>
      <c r="BH170" s="386"/>
      <c r="BI170" s="386"/>
      <c r="BJ170" s="386"/>
      <c r="BK170" s="386"/>
      <c r="BL170" s="386"/>
      <c r="BM170" s="386"/>
      <c r="BN170" s="387"/>
      <c r="BO170" s="265"/>
      <c r="BP170" s="386"/>
      <c r="BQ170" s="388"/>
      <c r="BR170" s="388"/>
      <c r="BS170" s="389"/>
      <c r="BT170" s="389"/>
      <c r="BU170" s="389"/>
      <c r="BV170" s="386"/>
      <c r="BW170" s="389"/>
      <c r="BX170" s="389"/>
      <c r="BY170" s="386"/>
      <c r="BZ170" s="386"/>
      <c r="CA170" s="386"/>
      <c r="CB170" s="386"/>
      <c r="CC170" s="386"/>
      <c r="CD170" s="386"/>
      <c r="CE170" s="386"/>
      <c r="CF170" s="390"/>
      <c r="CG170" s="390"/>
      <c r="CH170" s="391"/>
      <c r="CI170" s="386"/>
      <c r="CJ170" s="386"/>
      <c r="CK170" s="390"/>
      <c r="CL170" s="390"/>
      <c r="CM170" s="391"/>
      <c r="CN170" s="389"/>
      <c r="CO170" s="389"/>
      <c r="CP170" s="135"/>
      <c r="CQ170" s="135"/>
      <c r="CR170" s="135"/>
      <c r="CS170" s="135"/>
      <c r="CT170" s="135"/>
      <c r="CU170" s="135"/>
    </row>
    <row r="171" spans="1:99">
      <c r="A171" s="342" t="s">
        <v>364</v>
      </c>
      <c r="B171" s="342" t="s">
        <v>363</v>
      </c>
      <c r="C171" s="342" t="s">
        <v>996</v>
      </c>
      <c r="D171" s="157">
        <v>0</v>
      </c>
      <c r="E171" s="157">
        <v>0</v>
      </c>
      <c r="F171" s="157">
        <v>0</v>
      </c>
      <c r="G171" s="157">
        <v>0</v>
      </c>
      <c r="H171" s="157">
        <v>0</v>
      </c>
      <c r="I171" s="157">
        <v>0</v>
      </c>
      <c r="J171" s="157">
        <v>9147.81</v>
      </c>
      <c r="K171" s="157">
        <v>0</v>
      </c>
      <c r="L171" s="157">
        <v>2178.0500000000002</v>
      </c>
      <c r="M171" s="157">
        <v>84203.23</v>
      </c>
      <c r="N171" s="264">
        <v>3.0499999999999999E-2</v>
      </c>
      <c r="O171" s="265">
        <v>0.30409999999999998</v>
      </c>
      <c r="P171" s="157">
        <v>0</v>
      </c>
      <c r="Q171" s="396">
        <v>0</v>
      </c>
      <c r="R171" s="396">
        <v>0</v>
      </c>
      <c r="S171" s="397">
        <v>0</v>
      </c>
      <c r="T171" s="397">
        <v>0</v>
      </c>
      <c r="U171" s="397">
        <v>0</v>
      </c>
      <c r="V171" s="157">
        <v>0</v>
      </c>
      <c r="W171" s="397">
        <v>0</v>
      </c>
      <c r="X171" s="397">
        <v>0</v>
      </c>
      <c r="Y171" s="157">
        <v>0</v>
      </c>
      <c r="Z171" s="157">
        <v>0</v>
      </c>
      <c r="AA171" s="157">
        <v>0</v>
      </c>
      <c r="AB171" s="157">
        <v>0</v>
      </c>
      <c r="AC171" s="157">
        <v>0</v>
      </c>
      <c r="AD171" s="157">
        <v>0</v>
      </c>
      <c r="AE171" s="157">
        <v>0</v>
      </c>
      <c r="AF171" s="398">
        <f t="shared" si="54"/>
        <v>0</v>
      </c>
      <c r="AG171" s="398">
        <f t="shared" si="55"/>
        <v>0</v>
      </c>
      <c r="AH171" s="399">
        <f t="shared" si="56"/>
        <v>0</v>
      </c>
      <c r="AI171" s="157">
        <v>0</v>
      </c>
      <c r="AJ171" s="157">
        <v>0</v>
      </c>
      <c r="AK171" s="398">
        <f t="shared" si="57"/>
        <v>0</v>
      </c>
      <c r="AL171" s="398">
        <f t="shared" si="58"/>
        <v>0</v>
      </c>
      <c r="AM171" s="399">
        <f t="shared" si="59"/>
        <v>0</v>
      </c>
      <c r="AN171" s="397">
        <v>0</v>
      </c>
      <c r="AO171" s="397">
        <v>0</v>
      </c>
      <c r="AP171" s="46"/>
      <c r="AQ171" s="402">
        <v>0</v>
      </c>
      <c r="AR171" s="274">
        <v>7188.2999999999993</v>
      </c>
      <c r="AS171" s="413"/>
      <c r="AX171" s="2"/>
      <c r="BA171" s="342"/>
      <c r="BB171" s="342"/>
      <c r="BC171" s="342"/>
      <c r="BD171" s="386"/>
      <c r="BE171" s="386"/>
      <c r="BF171" s="386"/>
      <c r="BG171" s="386"/>
      <c r="BH171" s="386"/>
      <c r="BI171" s="386"/>
      <c r="BJ171" s="386"/>
      <c r="BK171" s="386"/>
      <c r="BL171" s="386"/>
      <c r="BM171" s="386"/>
      <c r="BN171" s="387"/>
      <c r="BO171" s="265"/>
      <c r="BP171" s="386"/>
      <c r="BQ171" s="388"/>
      <c r="BR171" s="388"/>
      <c r="BS171" s="389"/>
      <c r="BT171" s="389"/>
      <c r="BU171" s="389"/>
      <c r="BV171" s="386"/>
      <c r="BW171" s="389"/>
      <c r="BX171" s="389"/>
      <c r="BY171" s="386"/>
      <c r="BZ171" s="386"/>
      <c r="CA171" s="386"/>
      <c r="CB171" s="386"/>
      <c r="CC171" s="386"/>
      <c r="CD171" s="386"/>
      <c r="CE171" s="386"/>
      <c r="CF171" s="390"/>
      <c r="CG171" s="390"/>
      <c r="CH171" s="391"/>
      <c r="CI171" s="386"/>
      <c r="CJ171" s="386"/>
      <c r="CK171" s="390"/>
      <c r="CL171" s="390"/>
      <c r="CM171" s="391"/>
      <c r="CN171" s="389"/>
      <c r="CO171" s="389"/>
      <c r="CP171" s="135"/>
      <c r="CQ171" s="135"/>
      <c r="CR171" s="135"/>
      <c r="CS171" s="135"/>
      <c r="CT171" s="135"/>
      <c r="CU171" s="135"/>
    </row>
    <row r="172" spans="1:99">
      <c r="A172" s="342" t="s">
        <v>366</v>
      </c>
      <c r="B172" s="342" t="s">
        <v>365</v>
      </c>
      <c r="C172" s="342" t="s">
        <v>997</v>
      </c>
      <c r="D172" s="157">
        <v>0</v>
      </c>
      <c r="E172" s="157">
        <v>237812.62</v>
      </c>
      <c r="F172" s="157">
        <v>0</v>
      </c>
      <c r="G172" s="157">
        <v>11301259.16</v>
      </c>
      <c r="H172" s="157">
        <v>2097723.2799999998</v>
      </c>
      <c r="I172" s="157">
        <v>2044914.91</v>
      </c>
      <c r="J172" s="157">
        <v>3044615.51</v>
      </c>
      <c r="K172" s="157">
        <v>2964486.69</v>
      </c>
      <c r="L172" s="157">
        <v>219334.9</v>
      </c>
      <c r="M172" s="157">
        <v>4183093.38</v>
      </c>
      <c r="N172" s="264">
        <v>4.3799999999999999E-2</v>
      </c>
      <c r="O172" s="265">
        <v>0.1203</v>
      </c>
      <c r="P172" s="157">
        <v>0</v>
      </c>
      <c r="Q172" s="396">
        <v>0</v>
      </c>
      <c r="R172" s="396">
        <v>0</v>
      </c>
      <c r="S172" s="397">
        <v>0</v>
      </c>
      <c r="T172" s="397">
        <v>0</v>
      </c>
      <c r="U172" s="397">
        <v>0</v>
      </c>
      <c r="V172" s="157">
        <v>0</v>
      </c>
      <c r="W172" s="397">
        <v>0</v>
      </c>
      <c r="X172" s="397">
        <v>0</v>
      </c>
      <c r="Y172" s="157">
        <v>0</v>
      </c>
      <c r="Z172" s="157">
        <v>0</v>
      </c>
      <c r="AA172" s="157">
        <v>89569.05</v>
      </c>
      <c r="AB172" s="157">
        <v>0</v>
      </c>
      <c r="AC172" s="157">
        <v>3846204.38</v>
      </c>
      <c r="AD172" s="157">
        <v>385.52</v>
      </c>
      <c r="AE172" s="157">
        <v>3588342.13</v>
      </c>
      <c r="AF172" s="398">
        <f t="shared" si="54"/>
        <v>9307.7975980493884</v>
      </c>
      <c r="AG172" s="398">
        <f t="shared" si="55"/>
        <v>9976.6662689354634</v>
      </c>
      <c r="AH172" s="399">
        <f t="shared" si="56"/>
        <v>668.87</v>
      </c>
      <c r="AI172" s="157">
        <v>0</v>
      </c>
      <c r="AJ172" s="157">
        <v>0</v>
      </c>
      <c r="AK172" s="398">
        <f t="shared" si="57"/>
        <v>0</v>
      </c>
      <c r="AL172" s="398">
        <f t="shared" si="58"/>
        <v>0</v>
      </c>
      <c r="AM172" s="399">
        <f t="shared" si="59"/>
        <v>0</v>
      </c>
      <c r="AN172" s="397">
        <v>0</v>
      </c>
      <c r="AO172" s="397">
        <v>0</v>
      </c>
      <c r="AP172" s="46"/>
      <c r="AQ172" s="402">
        <v>0</v>
      </c>
      <c r="AR172" s="274">
        <v>797212.2</v>
      </c>
      <c r="AS172" s="413">
        <v>189531.01</v>
      </c>
      <c r="AX172" s="2"/>
      <c r="BA172" s="342"/>
      <c r="BB172" s="342"/>
      <c r="BC172" s="342"/>
      <c r="BD172" s="386"/>
      <c r="BE172" s="386"/>
      <c r="BF172" s="386"/>
      <c r="BG172" s="386"/>
      <c r="BH172" s="386"/>
      <c r="BI172" s="386"/>
      <c r="BJ172" s="386"/>
      <c r="BK172" s="386"/>
      <c r="BL172" s="386"/>
      <c r="BM172" s="386"/>
      <c r="BN172" s="387"/>
      <c r="BO172" s="265"/>
      <c r="BP172" s="386"/>
      <c r="BQ172" s="388"/>
      <c r="BR172" s="388"/>
      <c r="BS172" s="389"/>
      <c r="BT172" s="389"/>
      <c r="BU172" s="389"/>
      <c r="BV172" s="386"/>
      <c r="BW172" s="389"/>
      <c r="BX172" s="389"/>
      <c r="BY172" s="386"/>
      <c r="BZ172" s="386"/>
      <c r="CA172" s="386"/>
      <c r="CB172" s="386"/>
      <c r="CC172" s="386"/>
      <c r="CD172" s="386"/>
      <c r="CE172" s="386"/>
      <c r="CF172" s="390"/>
      <c r="CG172" s="390"/>
      <c r="CH172" s="391"/>
      <c r="CI172" s="386"/>
      <c r="CJ172" s="386"/>
      <c r="CK172" s="390"/>
      <c r="CL172" s="390"/>
      <c r="CM172" s="391"/>
      <c r="CN172" s="389"/>
      <c r="CO172" s="389"/>
      <c r="CP172" s="135"/>
      <c r="CQ172" s="135"/>
      <c r="CR172" s="135"/>
      <c r="CS172" s="135"/>
      <c r="CT172" s="135"/>
      <c r="CU172" s="135"/>
    </row>
    <row r="173" spans="1:99">
      <c r="A173" s="342" t="s">
        <v>998</v>
      </c>
      <c r="B173" s="342" t="s">
        <v>367</v>
      </c>
      <c r="C173" s="345" t="s">
        <v>999</v>
      </c>
      <c r="D173" s="157">
        <v>0</v>
      </c>
      <c r="E173" s="157">
        <v>29971.119999999999</v>
      </c>
      <c r="F173" s="157">
        <v>0</v>
      </c>
      <c r="G173" s="157">
        <v>783697.23</v>
      </c>
      <c r="H173" s="157">
        <v>475699.37</v>
      </c>
      <c r="I173" s="157">
        <v>187861.31</v>
      </c>
      <c r="J173" s="157">
        <v>337024.14</v>
      </c>
      <c r="K173" s="157">
        <v>0</v>
      </c>
      <c r="L173" s="157">
        <v>0</v>
      </c>
      <c r="M173" s="157">
        <v>529562.42000000004</v>
      </c>
      <c r="N173" s="264">
        <v>0.08</v>
      </c>
      <c r="O173" s="265">
        <v>0.1</v>
      </c>
      <c r="P173" s="157">
        <v>0</v>
      </c>
      <c r="Q173" s="396">
        <v>0</v>
      </c>
      <c r="R173" s="396">
        <v>0</v>
      </c>
      <c r="S173" s="397">
        <v>0</v>
      </c>
      <c r="T173" s="397">
        <v>0</v>
      </c>
      <c r="U173" s="397">
        <v>0</v>
      </c>
      <c r="V173" s="157">
        <v>0</v>
      </c>
      <c r="W173" s="397">
        <v>0</v>
      </c>
      <c r="X173" s="397">
        <v>0</v>
      </c>
      <c r="Y173" s="157">
        <v>0</v>
      </c>
      <c r="Z173" s="157">
        <v>0</v>
      </c>
      <c r="AA173" s="157">
        <v>0</v>
      </c>
      <c r="AB173" s="157">
        <v>0</v>
      </c>
      <c r="AC173" s="157">
        <v>81075.42</v>
      </c>
      <c r="AD173" s="157">
        <v>8</v>
      </c>
      <c r="AE173" s="157">
        <v>77327.740000000005</v>
      </c>
      <c r="AF173" s="398">
        <f t="shared" si="54"/>
        <v>9665.9675000000007</v>
      </c>
      <c r="AG173" s="398">
        <f t="shared" si="55"/>
        <v>10134.4275</v>
      </c>
      <c r="AH173" s="399">
        <f t="shared" si="56"/>
        <v>468.46</v>
      </c>
      <c r="AI173" s="157">
        <v>0</v>
      </c>
      <c r="AJ173" s="157">
        <v>0</v>
      </c>
      <c r="AK173" s="398">
        <f t="shared" si="57"/>
        <v>0</v>
      </c>
      <c r="AL173" s="398">
        <f t="shared" si="58"/>
        <v>0</v>
      </c>
      <c r="AM173" s="399">
        <f t="shared" si="59"/>
        <v>0</v>
      </c>
      <c r="AN173" s="397">
        <v>0</v>
      </c>
      <c r="AO173" s="397">
        <v>0</v>
      </c>
      <c r="AP173" s="46"/>
      <c r="AQ173" s="402">
        <v>183396.27000000002</v>
      </c>
      <c r="AR173" s="274">
        <v>75030.709999999992</v>
      </c>
      <c r="AS173" s="413"/>
      <c r="AX173" s="2"/>
      <c r="BA173" s="342"/>
      <c r="BB173" s="342"/>
      <c r="BC173" s="342"/>
      <c r="BD173" s="386"/>
      <c r="BE173" s="386"/>
      <c r="BF173" s="386"/>
      <c r="BG173" s="386"/>
      <c r="BH173" s="386"/>
      <c r="BI173" s="386"/>
      <c r="BJ173" s="386"/>
      <c r="BK173" s="386"/>
      <c r="BL173" s="386"/>
      <c r="BM173" s="386"/>
      <c r="BN173" s="387"/>
      <c r="BO173" s="265"/>
      <c r="BP173" s="386"/>
      <c r="BQ173" s="388"/>
      <c r="BR173" s="388"/>
      <c r="BS173" s="389"/>
      <c r="BT173" s="389"/>
      <c r="BU173" s="389"/>
      <c r="BV173" s="386"/>
      <c r="BW173" s="389"/>
      <c r="BX173" s="389"/>
      <c r="BY173" s="386"/>
      <c r="BZ173" s="386"/>
      <c r="CA173" s="386"/>
      <c r="CB173" s="386"/>
      <c r="CC173" s="386"/>
      <c r="CD173" s="386"/>
      <c r="CE173" s="386"/>
      <c r="CF173" s="390"/>
      <c r="CG173" s="390"/>
      <c r="CH173" s="391"/>
      <c r="CI173" s="386"/>
      <c r="CJ173" s="386"/>
      <c r="CK173" s="390"/>
      <c r="CL173" s="390"/>
      <c r="CM173" s="391"/>
      <c r="CN173" s="389"/>
      <c r="CO173" s="389"/>
      <c r="CP173" s="135"/>
      <c r="CQ173" s="135"/>
      <c r="CR173" s="135"/>
      <c r="CS173" s="135"/>
      <c r="CT173" s="135"/>
      <c r="CU173" s="135"/>
    </row>
    <row r="174" spans="1:99">
      <c r="A174" s="342" t="s">
        <v>370</v>
      </c>
      <c r="B174" s="342" t="s">
        <v>369</v>
      </c>
      <c r="C174" s="342" t="s">
        <v>1000</v>
      </c>
      <c r="D174" s="157">
        <v>0</v>
      </c>
      <c r="E174" s="157">
        <v>360473.62</v>
      </c>
      <c r="F174" s="157">
        <v>0</v>
      </c>
      <c r="G174" s="157">
        <v>26090983.699999999</v>
      </c>
      <c r="H174" s="157">
        <v>5161219.53</v>
      </c>
      <c r="I174" s="157">
        <v>2976547.35</v>
      </c>
      <c r="J174" s="157">
        <v>5738156.4699999997</v>
      </c>
      <c r="K174" s="157">
        <v>6719798.1900000004</v>
      </c>
      <c r="L174" s="157">
        <v>523926.96</v>
      </c>
      <c r="M174" s="157">
        <v>9816921.2899999991</v>
      </c>
      <c r="N174" s="264">
        <v>3.15E-2</v>
      </c>
      <c r="O174" s="265">
        <v>0.13500000000000001</v>
      </c>
      <c r="P174" s="157">
        <v>0</v>
      </c>
      <c r="Q174" s="396">
        <v>0</v>
      </c>
      <c r="R174" s="396">
        <v>0</v>
      </c>
      <c r="S174" s="397">
        <v>0</v>
      </c>
      <c r="T174" s="397">
        <v>0</v>
      </c>
      <c r="U174" s="397">
        <v>0</v>
      </c>
      <c r="V174" s="157">
        <v>0</v>
      </c>
      <c r="W174" s="397">
        <v>0</v>
      </c>
      <c r="X174" s="397">
        <v>0</v>
      </c>
      <c r="Y174" s="157">
        <v>8382.67</v>
      </c>
      <c r="Z174" s="157">
        <v>177794.82</v>
      </c>
      <c r="AA174" s="157">
        <v>552420.6</v>
      </c>
      <c r="AB174" s="157">
        <v>1744695.73</v>
      </c>
      <c r="AC174" s="157">
        <v>5469289.7599999998</v>
      </c>
      <c r="AD174" s="157">
        <v>511.23</v>
      </c>
      <c r="AE174" s="157">
        <v>4941714.91</v>
      </c>
      <c r="AF174" s="398">
        <f t="shared" si="54"/>
        <v>9666.3241789409858</v>
      </c>
      <c r="AG174" s="398">
        <f t="shared" si="55"/>
        <v>10698.295796412573</v>
      </c>
      <c r="AH174" s="399">
        <f t="shared" si="56"/>
        <v>1031.97</v>
      </c>
      <c r="AI174" s="157">
        <v>172.39</v>
      </c>
      <c r="AJ174" s="157">
        <v>1620842.39</v>
      </c>
      <c r="AK174" s="398">
        <f t="shared" si="57"/>
        <v>9402.1833633041369</v>
      </c>
      <c r="AL174" s="398">
        <f t="shared" si="58"/>
        <v>10120.631881199606</v>
      </c>
      <c r="AM174" s="399">
        <f t="shared" si="59"/>
        <v>718.45</v>
      </c>
      <c r="AN174" s="397">
        <v>6600</v>
      </c>
      <c r="AO174" s="397">
        <v>0</v>
      </c>
      <c r="AP174" s="46"/>
      <c r="AQ174" s="402">
        <v>0</v>
      </c>
      <c r="AR174" s="274">
        <v>1926330.01</v>
      </c>
      <c r="AS174" s="413">
        <v>462628.47</v>
      </c>
      <c r="AX174" s="2"/>
      <c r="BA174" s="342"/>
      <c r="BB174" s="342"/>
      <c r="BC174" s="342"/>
      <c r="BD174" s="386"/>
      <c r="BE174" s="386"/>
      <c r="BF174" s="386"/>
      <c r="BG174" s="386"/>
      <c r="BH174" s="386"/>
      <c r="BI174" s="386"/>
      <c r="BJ174" s="386"/>
      <c r="BK174" s="386"/>
      <c r="BL174" s="386"/>
      <c r="BM174" s="386"/>
      <c r="BN174" s="387"/>
      <c r="BO174" s="265"/>
      <c r="BP174" s="386"/>
      <c r="BQ174" s="388"/>
      <c r="BR174" s="388"/>
      <c r="BS174" s="389"/>
      <c r="BT174" s="389"/>
      <c r="BU174" s="389"/>
      <c r="BV174" s="386"/>
      <c r="BW174" s="389"/>
      <c r="BX174" s="389"/>
      <c r="BY174" s="386"/>
      <c r="BZ174" s="386"/>
      <c r="CA174" s="386"/>
      <c r="CB174" s="386"/>
      <c r="CC174" s="386"/>
      <c r="CD174" s="386"/>
      <c r="CE174" s="386"/>
      <c r="CF174" s="390"/>
      <c r="CG174" s="390"/>
      <c r="CH174" s="391"/>
      <c r="CI174" s="386"/>
      <c r="CJ174" s="386"/>
      <c r="CK174" s="390"/>
      <c r="CL174" s="390"/>
      <c r="CM174" s="391"/>
      <c r="CN174" s="389"/>
      <c r="CO174" s="389"/>
      <c r="CP174" s="135"/>
      <c r="CQ174" s="135"/>
      <c r="CR174" s="135"/>
      <c r="CS174" s="135"/>
      <c r="CT174" s="135"/>
      <c r="CU174" s="135"/>
    </row>
    <row r="175" spans="1:99">
      <c r="A175" s="342" t="s">
        <v>372</v>
      </c>
      <c r="B175" s="342" t="s">
        <v>371</v>
      </c>
      <c r="C175" s="342" t="s">
        <v>1001</v>
      </c>
      <c r="D175" s="157">
        <v>0</v>
      </c>
      <c r="E175" s="157">
        <v>23079.84</v>
      </c>
      <c r="F175" s="157">
        <v>0</v>
      </c>
      <c r="G175" s="157">
        <v>1751409.6</v>
      </c>
      <c r="H175" s="157">
        <v>240165.51</v>
      </c>
      <c r="I175" s="157">
        <v>258622.86</v>
      </c>
      <c r="J175" s="157">
        <v>427762.2</v>
      </c>
      <c r="K175" s="157">
        <v>115917.92</v>
      </c>
      <c r="L175" s="157">
        <v>38379.629999999997</v>
      </c>
      <c r="M175" s="157">
        <v>1103814.23</v>
      </c>
      <c r="N175" s="264">
        <v>5.5E-2</v>
      </c>
      <c r="O175" s="265">
        <v>0.21079999999999999</v>
      </c>
      <c r="P175" s="157">
        <v>0</v>
      </c>
      <c r="Q175" s="396">
        <v>0</v>
      </c>
      <c r="R175" s="396">
        <v>0</v>
      </c>
      <c r="S175" s="397">
        <v>0</v>
      </c>
      <c r="T175" s="397">
        <v>0</v>
      </c>
      <c r="U175" s="397">
        <v>0</v>
      </c>
      <c r="V175" s="157">
        <v>0</v>
      </c>
      <c r="W175" s="397">
        <v>0</v>
      </c>
      <c r="X175" s="397">
        <v>0</v>
      </c>
      <c r="Y175" s="157">
        <v>0</v>
      </c>
      <c r="Z175" s="157">
        <v>26251.41</v>
      </c>
      <c r="AA175" s="157">
        <v>49973.33</v>
      </c>
      <c r="AB175" s="157">
        <v>543523.55000000005</v>
      </c>
      <c r="AC175" s="157">
        <v>609913.99</v>
      </c>
      <c r="AD175" s="157">
        <v>65.44</v>
      </c>
      <c r="AE175" s="157">
        <v>562064.94999999995</v>
      </c>
      <c r="AF175" s="398">
        <f t="shared" si="54"/>
        <v>8589.0120721271396</v>
      </c>
      <c r="AG175" s="398">
        <f t="shared" si="55"/>
        <v>9320.2015586797061</v>
      </c>
      <c r="AH175" s="399">
        <f t="shared" si="56"/>
        <v>731.19</v>
      </c>
      <c r="AI175" s="157">
        <v>60.55</v>
      </c>
      <c r="AJ175" s="157">
        <v>504789.13</v>
      </c>
      <c r="AK175" s="398">
        <f t="shared" si="57"/>
        <v>8336.7321222130468</v>
      </c>
      <c r="AL175" s="398">
        <f t="shared" si="58"/>
        <v>8976.4417836498778</v>
      </c>
      <c r="AM175" s="399">
        <f t="shared" si="59"/>
        <v>639.71</v>
      </c>
      <c r="AN175" s="397">
        <v>117522.88</v>
      </c>
      <c r="AO175" s="397">
        <v>0</v>
      </c>
      <c r="AP175" s="46"/>
      <c r="AQ175" s="402">
        <v>30125.10000000002</v>
      </c>
      <c r="AR175" s="274">
        <v>131937.76</v>
      </c>
      <c r="AS175" s="413">
        <v>49929.21</v>
      </c>
      <c r="AX175" s="2"/>
      <c r="BA175" s="342"/>
      <c r="BB175" s="342"/>
      <c r="BC175" s="342"/>
      <c r="BD175" s="386"/>
      <c r="BE175" s="386"/>
      <c r="BF175" s="386"/>
      <c r="BG175" s="386"/>
      <c r="BH175" s="386"/>
      <c r="BI175" s="386"/>
      <c r="BJ175" s="386"/>
      <c r="BK175" s="386"/>
      <c r="BL175" s="386"/>
      <c r="BM175" s="386"/>
      <c r="BN175" s="387"/>
      <c r="BO175" s="265"/>
      <c r="BP175" s="386"/>
      <c r="BQ175" s="388"/>
      <c r="BR175" s="388"/>
      <c r="BS175" s="389"/>
      <c r="BT175" s="389"/>
      <c r="BU175" s="389"/>
      <c r="BV175" s="386"/>
      <c r="BW175" s="389"/>
      <c r="BX175" s="389"/>
      <c r="BY175" s="386"/>
      <c r="BZ175" s="386"/>
      <c r="CA175" s="386"/>
      <c r="CB175" s="386"/>
      <c r="CC175" s="386"/>
      <c r="CD175" s="386"/>
      <c r="CE175" s="386"/>
      <c r="CF175" s="390"/>
      <c r="CG175" s="390"/>
      <c r="CH175" s="391"/>
      <c r="CI175" s="386"/>
      <c r="CJ175" s="386"/>
      <c r="CK175" s="390"/>
      <c r="CL175" s="390"/>
      <c r="CM175" s="391"/>
      <c r="CN175" s="389"/>
      <c r="CO175" s="389"/>
      <c r="CP175" s="135"/>
      <c r="CQ175" s="135"/>
      <c r="CR175" s="135"/>
      <c r="CS175" s="135"/>
      <c r="CT175" s="135"/>
      <c r="CU175" s="135"/>
    </row>
    <row r="176" spans="1:99">
      <c r="A176" s="342" t="s">
        <v>374</v>
      </c>
      <c r="B176" s="342" t="s">
        <v>373</v>
      </c>
      <c r="C176" s="342" t="s">
        <v>1002</v>
      </c>
      <c r="D176" s="157">
        <v>0</v>
      </c>
      <c r="E176" s="157">
        <v>2321.56</v>
      </c>
      <c r="F176" s="157">
        <v>0</v>
      </c>
      <c r="G176" s="157">
        <v>1105493.6599999999</v>
      </c>
      <c r="H176" s="157">
        <v>114429.47</v>
      </c>
      <c r="I176" s="157">
        <v>0</v>
      </c>
      <c r="J176" s="157">
        <v>214346.63</v>
      </c>
      <c r="K176" s="157">
        <v>38267.120000000003</v>
      </c>
      <c r="L176" s="157">
        <v>24000.2</v>
      </c>
      <c r="M176" s="157">
        <v>393959.86</v>
      </c>
      <c r="N176" s="264">
        <v>5.5E-2</v>
      </c>
      <c r="O176" s="265">
        <v>0.19120000000000001</v>
      </c>
      <c r="P176" s="157">
        <v>0</v>
      </c>
      <c r="Q176" s="396">
        <v>0</v>
      </c>
      <c r="R176" s="396">
        <v>0</v>
      </c>
      <c r="S176" s="397">
        <v>0</v>
      </c>
      <c r="T176" s="397">
        <v>0</v>
      </c>
      <c r="U176" s="397">
        <v>0</v>
      </c>
      <c r="V176" s="157">
        <v>0</v>
      </c>
      <c r="W176" s="397">
        <v>0</v>
      </c>
      <c r="X176" s="397">
        <v>0</v>
      </c>
      <c r="Y176" s="157">
        <v>925.89</v>
      </c>
      <c r="Z176" s="157">
        <v>26414.43</v>
      </c>
      <c r="AA176" s="157">
        <v>77866.080000000002</v>
      </c>
      <c r="AB176" s="157">
        <v>331012.24</v>
      </c>
      <c r="AC176" s="157">
        <v>925921.27</v>
      </c>
      <c r="AD176" s="157">
        <v>101.13</v>
      </c>
      <c r="AE176" s="157">
        <v>868733.48</v>
      </c>
      <c r="AF176" s="398">
        <f t="shared" si="54"/>
        <v>8590.2648076732912</v>
      </c>
      <c r="AG176" s="398">
        <f t="shared" si="55"/>
        <v>9155.7526945515674</v>
      </c>
      <c r="AH176" s="399">
        <f t="shared" si="56"/>
        <v>565.49</v>
      </c>
      <c r="AI176" s="157">
        <v>36.880000000000003</v>
      </c>
      <c r="AJ176" s="157">
        <v>307467.11</v>
      </c>
      <c r="AK176" s="398">
        <f t="shared" si="57"/>
        <v>8336.9606832971785</v>
      </c>
      <c r="AL176" s="398">
        <f t="shared" si="58"/>
        <v>8975.3861171366589</v>
      </c>
      <c r="AM176" s="399">
        <f t="shared" si="59"/>
        <v>638.42999999999995</v>
      </c>
      <c r="AN176" s="397">
        <v>0</v>
      </c>
      <c r="AO176" s="397">
        <v>0</v>
      </c>
      <c r="AP176" s="46"/>
      <c r="AQ176" s="402">
        <v>0</v>
      </c>
      <c r="AR176" s="274">
        <v>77354.400000000009</v>
      </c>
      <c r="AS176" s="413">
        <v>33722.92</v>
      </c>
      <c r="AX176" s="2"/>
      <c r="BA176" s="342"/>
      <c r="BB176" s="342"/>
      <c r="BC176" s="342"/>
      <c r="BD176" s="386"/>
      <c r="BE176" s="386"/>
      <c r="BF176" s="386"/>
      <c r="BG176" s="386"/>
      <c r="BH176" s="386"/>
      <c r="BI176" s="386"/>
      <c r="BJ176" s="386"/>
      <c r="BK176" s="386"/>
      <c r="BL176" s="386"/>
      <c r="BM176" s="386"/>
      <c r="BN176" s="387"/>
      <c r="BO176" s="265"/>
      <c r="BP176" s="386"/>
      <c r="BQ176" s="388"/>
      <c r="BR176" s="388"/>
      <c r="BS176" s="389"/>
      <c r="BT176" s="389"/>
      <c r="BU176" s="389"/>
      <c r="BV176" s="386"/>
      <c r="BW176" s="389"/>
      <c r="BX176" s="389"/>
      <c r="BY176" s="386"/>
      <c r="BZ176" s="386"/>
      <c r="CA176" s="386"/>
      <c r="CB176" s="386"/>
      <c r="CC176" s="386"/>
      <c r="CD176" s="386"/>
      <c r="CE176" s="386"/>
      <c r="CF176" s="390"/>
      <c r="CG176" s="390"/>
      <c r="CH176" s="391"/>
      <c r="CI176" s="386"/>
      <c r="CJ176" s="386"/>
      <c r="CK176" s="390"/>
      <c r="CL176" s="390"/>
      <c r="CM176" s="391"/>
      <c r="CN176" s="389"/>
      <c r="CO176" s="389"/>
      <c r="CP176" s="135"/>
      <c r="CQ176" s="135"/>
      <c r="CR176" s="135"/>
      <c r="CS176" s="135"/>
      <c r="CT176" s="135"/>
      <c r="CU176" s="135"/>
    </row>
    <row r="177" spans="1:99">
      <c r="A177" s="342" t="s">
        <v>376</v>
      </c>
      <c r="B177" s="342" t="s">
        <v>375</v>
      </c>
      <c r="C177" s="342" t="s">
        <v>1003</v>
      </c>
      <c r="D177" s="157">
        <v>0</v>
      </c>
      <c r="E177" s="157">
        <v>0</v>
      </c>
      <c r="F177" s="157">
        <v>361.82</v>
      </c>
      <c r="G177" s="157">
        <v>0</v>
      </c>
      <c r="H177" s="157">
        <v>0</v>
      </c>
      <c r="I177" s="157">
        <v>96896.07</v>
      </c>
      <c r="J177" s="157">
        <v>111885.52</v>
      </c>
      <c r="K177" s="157">
        <v>18804.77</v>
      </c>
      <c r="L177" s="157">
        <v>9529.01</v>
      </c>
      <c r="M177" s="157">
        <v>335119.95</v>
      </c>
      <c r="N177" s="264">
        <v>7.4000000000000003E-3</v>
      </c>
      <c r="O177" s="265">
        <v>0.15609999999999999</v>
      </c>
      <c r="P177" s="157">
        <v>0</v>
      </c>
      <c r="Q177" s="396">
        <v>0</v>
      </c>
      <c r="R177" s="396">
        <v>0</v>
      </c>
      <c r="S177" s="397">
        <v>0</v>
      </c>
      <c r="T177" s="397">
        <v>0</v>
      </c>
      <c r="U177" s="397">
        <v>0</v>
      </c>
      <c r="V177" s="157">
        <v>0</v>
      </c>
      <c r="W177" s="397">
        <v>0</v>
      </c>
      <c r="X177" s="397">
        <v>0</v>
      </c>
      <c r="Y177" s="157">
        <v>363.14</v>
      </c>
      <c r="Z177" s="157">
        <v>0</v>
      </c>
      <c r="AA177" s="157">
        <v>0</v>
      </c>
      <c r="AB177" s="157">
        <v>29479.41</v>
      </c>
      <c r="AC177" s="157">
        <v>98063.25</v>
      </c>
      <c r="AD177" s="157">
        <v>9.66</v>
      </c>
      <c r="AE177" s="157">
        <v>84699.54</v>
      </c>
      <c r="AF177" s="398">
        <f t="shared" si="54"/>
        <v>8768.0683229813658</v>
      </c>
      <c r="AG177" s="398">
        <f t="shared" si="55"/>
        <v>10151.475155279502</v>
      </c>
      <c r="AH177" s="399">
        <f t="shared" si="56"/>
        <v>1383.41</v>
      </c>
      <c r="AI177" s="157">
        <v>3.22</v>
      </c>
      <c r="AJ177" s="157">
        <v>27366.89</v>
      </c>
      <c r="AK177" s="398">
        <f t="shared" si="57"/>
        <v>8499.0341614906829</v>
      </c>
      <c r="AL177" s="398">
        <f t="shared" si="58"/>
        <v>9155.0962732919252</v>
      </c>
      <c r="AM177" s="399">
        <f t="shared" si="59"/>
        <v>656.06</v>
      </c>
      <c r="AN177" s="397">
        <v>4841.87</v>
      </c>
      <c r="AO177" s="397">
        <v>0</v>
      </c>
      <c r="AP177" s="46"/>
      <c r="AQ177" s="402">
        <v>0</v>
      </c>
      <c r="AR177" s="274">
        <v>37218.92</v>
      </c>
      <c r="AS177" s="413">
        <v>19408.64</v>
      </c>
      <c r="AX177" s="2"/>
      <c r="BA177" s="342"/>
      <c r="BB177" s="342"/>
      <c r="BC177" s="342"/>
      <c r="BD177" s="386"/>
      <c r="BE177" s="386"/>
      <c r="BF177" s="386"/>
      <c r="BG177" s="386"/>
      <c r="BH177" s="386"/>
      <c r="BI177" s="386"/>
      <c r="BJ177" s="386"/>
      <c r="BK177" s="386"/>
      <c r="BL177" s="386"/>
      <c r="BM177" s="386"/>
      <c r="BN177" s="387"/>
      <c r="BO177" s="265"/>
      <c r="BP177" s="386"/>
      <c r="BQ177" s="388"/>
      <c r="BR177" s="388"/>
      <c r="BS177" s="389"/>
      <c r="BT177" s="389"/>
      <c r="BU177" s="389"/>
      <c r="BV177" s="386"/>
      <c r="BW177" s="389"/>
      <c r="BX177" s="389"/>
      <c r="BY177" s="386"/>
      <c r="BZ177" s="386"/>
      <c r="CA177" s="386"/>
      <c r="CB177" s="386"/>
      <c r="CC177" s="386"/>
      <c r="CD177" s="386"/>
      <c r="CE177" s="386"/>
      <c r="CF177" s="390"/>
      <c r="CG177" s="390"/>
      <c r="CH177" s="391"/>
      <c r="CI177" s="386"/>
      <c r="CJ177" s="386"/>
      <c r="CK177" s="390"/>
      <c r="CL177" s="390"/>
      <c r="CM177" s="391"/>
      <c r="CN177" s="389"/>
      <c r="CO177" s="389"/>
      <c r="CP177" s="135"/>
      <c r="CQ177" s="135"/>
      <c r="CR177" s="135"/>
      <c r="CS177" s="135"/>
      <c r="CT177" s="135"/>
      <c r="CU177" s="135"/>
    </row>
    <row r="178" spans="1:99">
      <c r="A178" s="342" t="s">
        <v>378</v>
      </c>
      <c r="B178" s="342" t="s">
        <v>377</v>
      </c>
      <c r="C178" s="342" t="s">
        <v>1004</v>
      </c>
      <c r="D178" s="157">
        <v>8732.7800000000007</v>
      </c>
      <c r="E178" s="157">
        <v>0</v>
      </c>
      <c r="F178" s="157">
        <v>0</v>
      </c>
      <c r="G178" s="157">
        <v>210337.98</v>
      </c>
      <c r="H178" s="157">
        <v>13698.27</v>
      </c>
      <c r="I178" s="157">
        <v>39103.769999999997</v>
      </c>
      <c r="J178" s="157">
        <v>85345.54</v>
      </c>
      <c r="K178" s="157">
        <v>0</v>
      </c>
      <c r="L178" s="157">
        <v>0</v>
      </c>
      <c r="M178" s="157">
        <v>172810.97</v>
      </c>
      <c r="N178" s="264">
        <v>0.1118</v>
      </c>
      <c r="O178" s="265">
        <v>0.25879999999999997</v>
      </c>
      <c r="P178" s="157">
        <v>0</v>
      </c>
      <c r="Q178" s="396">
        <v>0</v>
      </c>
      <c r="R178" s="396">
        <v>0</v>
      </c>
      <c r="S178" s="397">
        <v>0</v>
      </c>
      <c r="T178" s="397">
        <v>0</v>
      </c>
      <c r="U178" s="397">
        <v>0</v>
      </c>
      <c r="V178" s="157">
        <v>0</v>
      </c>
      <c r="W178" s="397">
        <v>0</v>
      </c>
      <c r="X178" s="397">
        <v>0</v>
      </c>
      <c r="Y178" s="157">
        <v>0</v>
      </c>
      <c r="Z178" s="157">
        <v>0</v>
      </c>
      <c r="AA178" s="157">
        <v>0</v>
      </c>
      <c r="AB178" s="157">
        <v>0</v>
      </c>
      <c r="AC178" s="157">
        <v>0</v>
      </c>
      <c r="AD178" s="157">
        <v>0</v>
      </c>
      <c r="AE178" s="157">
        <v>0</v>
      </c>
      <c r="AF178" s="398">
        <f t="shared" si="54"/>
        <v>0</v>
      </c>
      <c r="AG178" s="398">
        <f t="shared" si="55"/>
        <v>0</v>
      </c>
      <c r="AH178" s="399">
        <f t="shared" si="56"/>
        <v>0</v>
      </c>
      <c r="AI178" s="157">
        <v>0</v>
      </c>
      <c r="AJ178" s="157">
        <v>0</v>
      </c>
      <c r="AK178" s="398">
        <f t="shared" si="57"/>
        <v>0</v>
      </c>
      <c r="AL178" s="398">
        <f t="shared" si="58"/>
        <v>0</v>
      </c>
      <c r="AM178" s="399">
        <f t="shared" si="59"/>
        <v>0</v>
      </c>
      <c r="AN178" s="397">
        <v>0</v>
      </c>
      <c r="AO178" s="397">
        <v>0</v>
      </c>
      <c r="AP178" s="46"/>
      <c r="AQ178" s="402">
        <v>8614.86</v>
      </c>
      <c r="AR178" s="274">
        <v>15497.66</v>
      </c>
      <c r="AS178" s="413">
        <v>14013.36</v>
      </c>
      <c r="AX178" s="2"/>
      <c r="BA178" s="342"/>
      <c r="BB178" s="342"/>
      <c r="BC178" s="342"/>
      <c r="BD178" s="386"/>
      <c r="BE178" s="386"/>
      <c r="BF178" s="386"/>
      <c r="BG178" s="386"/>
      <c r="BH178" s="386"/>
      <c r="BI178" s="386"/>
      <c r="BJ178" s="386"/>
      <c r="BK178" s="386"/>
      <c r="BL178" s="386"/>
      <c r="BM178" s="386"/>
      <c r="BN178" s="387"/>
      <c r="BO178" s="265"/>
      <c r="BP178" s="386"/>
      <c r="BQ178" s="388"/>
      <c r="BR178" s="388"/>
      <c r="BS178" s="389"/>
      <c r="BT178" s="389"/>
      <c r="BU178" s="389"/>
      <c r="BV178" s="386"/>
      <c r="BW178" s="389"/>
      <c r="BX178" s="389"/>
      <c r="BY178" s="386"/>
      <c r="BZ178" s="386"/>
      <c r="CA178" s="386"/>
      <c r="CB178" s="386"/>
      <c r="CC178" s="386"/>
      <c r="CD178" s="386"/>
      <c r="CE178" s="386"/>
      <c r="CF178" s="390"/>
      <c r="CG178" s="390"/>
      <c r="CH178" s="391"/>
      <c r="CI178" s="386"/>
      <c r="CJ178" s="386"/>
      <c r="CK178" s="390"/>
      <c r="CL178" s="390"/>
      <c r="CM178" s="391"/>
      <c r="CN178" s="389"/>
      <c r="CO178" s="389"/>
      <c r="CP178" s="135"/>
      <c r="CQ178" s="135"/>
      <c r="CR178" s="135"/>
      <c r="CS178" s="135"/>
      <c r="CT178" s="135"/>
      <c r="CU178" s="135"/>
    </row>
    <row r="179" spans="1:99">
      <c r="A179" s="342" t="s">
        <v>380</v>
      </c>
      <c r="B179" s="342" t="s">
        <v>379</v>
      </c>
      <c r="C179" s="342" t="s">
        <v>1005</v>
      </c>
      <c r="D179" s="157">
        <v>0</v>
      </c>
      <c r="E179" s="157">
        <v>0</v>
      </c>
      <c r="F179" s="157">
        <v>693.43</v>
      </c>
      <c r="G179" s="157">
        <v>1494637.73</v>
      </c>
      <c r="H179" s="157">
        <v>387546.61</v>
      </c>
      <c r="I179" s="157">
        <v>307968.09999999998</v>
      </c>
      <c r="J179" s="157">
        <v>401279.23</v>
      </c>
      <c r="K179" s="157">
        <v>0</v>
      </c>
      <c r="L179" s="157">
        <v>32379.58</v>
      </c>
      <c r="M179" s="157">
        <v>856115.8</v>
      </c>
      <c r="N179" s="264">
        <v>1.5800000000000002E-2</v>
      </c>
      <c r="O179" s="265">
        <v>0.16589999999999999</v>
      </c>
      <c r="P179" s="157">
        <v>0</v>
      </c>
      <c r="Q179" s="396">
        <v>0</v>
      </c>
      <c r="R179" s="396">
        <v>0</v>
      </c>
      <c r="S179" s="397">
        <v>0</v>
      </c>
      <c r="T179" s="397">
        <v>0</v>
      </c>
      <c r="U179" s="397">
        <v>0</v>
      </c>
      <c r="V179" s="157">
        <v>0</v>
      </c>
      <c r="W179" s="397">
        <v>0</v>
      </c>
      <c r="X179" s="397">
        <v>0</v>
      </c>
      <c r="Y179" s="157">
        <v>0</v>
      </c>
      <c r="Z179" s="157">
        <v>4196.91</v>
      </c>
      <c r="AA179" s="157">
        <v>4413.6099999999997</v>
      </c>
      <c r="AB179" s="157">
        <v>284537.96999999997</v>
      </c>
      <c r="AC179" s="157">
        <v>797256.68</v>
      </c>
      <c r="AD179" s="157">
        <v>88.63</v>
      </c>
      <c r="AE179" s="157">
        <v>761410.69</v>
      </c>
      <c r="AF179" s="398">
        <f t="shared" si="54"/>
        <v>8590.8912332167438</v>
      </c>
      <c r="AG179" s="398">
        <f t="shared" si="55"/>
        <v>8995.3365677535839</v>
      </c>
      <c r="AH179" s="399">
        <f t="shared" si="56"/>
        <v>404.45</v>
      </c>
      <c r="AI179" s="157">
        <v>31.71</v>
      </c>
      <c r="AJ179" s="157">
        <v>264236.7</v>
      </c>
      <c r="AK179" s="398">
        <f t="shared" si="57"/>
        <v>8332.9139072847684</v>
      </c>
      <c r="AL179" s="398">
        <f t="shared" si="58"/>
        <v>8973.1305581835368</v>
      </c>
      <c r="AM179" s="399">
        <f t="shared" si="59"/>
        <v>640.22</v>
      </c>
      <c r="AN179" s="397">
        <v>201.96</v>
      </c>
      <c r="AO179" s="397">
        <v>0</v>
      </c>
      <c r="AP179" s="46"/>
      <c r="AQ179" s="402">
        <v>0</v>
      </c>
      <c r="AR179" s="274">
        <v>100789.17000000001</v>
      </c>
      <c r="AS179" s="413">
        <v>41875.760000000002</v>
      </c>
      <c r="AX179" s="2"/>
      <c r="BA179" s="342"/>
      <c r="BB179" s="342"/>
      <c r="BC179" s="342"/>
      <c r="BD179" s="386"/>
      <c r="BE179" s="386"/>
      <c r="BF179" s="386"/>
      <c r="BG179" s="386"/>
      <c r="BH179" s="386"/>
      <c r="BI179" s="386"/>
      <c r="BJ179" s="386"/>
      <c r="BK179" s="386"/>
      <c r="BL179" s="386"/>
      <c r="BM179" s="386"/>
      <c r="BN179" s="387"/>
      <c r="BO179" s="265"/>
      <c r="BP179" s="386"/>
      <c r="BQ179" s="388"/>
      <c r="BR179" s="388"/>
      <c r="BS179" s="389"/>
      <c r="BT179" s="389"/>
      <c r="BU179" s="389"/>
      <c r="BV179" s="386"/>
      <c r="BW179" s="389"/>
      <c r="BX179" s="389"/>
      <c r="BY179" s="386"/>
      <c r="BZ179" s="386"/>
      <c r="CA179" s="386"/>
      <c r="CB179" s="386"/>
      <c r="CC179" s="386"/>
      <c r="CD179" s="386"/>
      <c r="CE179" s="386"/>
      <c r="CF179" s="390"/>
      <c r="CG179" s="390"/>
      <c r="CH179" s="391"/>
      <c r="CI179" s="386"/>
      <c r="CJ179" s="386"/>
      <c r="CK179" s="390"/>
      <c r="CL179" s="390"/>
      <c r="CM179" s="391"/>
      <c r="CN179" s="389"/>
      <c r="CO179" s="389"/>
      <c r="CP179" s="135"/>
      <c r="CQ179" s="135"/>
      <c r="CR179" s="135"/>
      <c r="CS179" s="135"/>
      <c r="CT179" s="135"/>
      <c r="CU179" s="135"/>
    </row>
    <row r="180" spans="1:99">
      <c r="A180" s="342" t="s">
        <v>382</v>
      </c>
      <c r="B180" s="342" t="s">
        <v>381</v>
      </c>
      <c r="C180" s="342" t="s">
        <v>1006</v>
      </c>
      <c r="D180" s="157">
        <v>0</v>
      </c>
      <c r="E180" s="157">
        <v>0</v>
      </c>
      <c r="F180" s="157">
        <v>0</v>
      </c>
      <c r="G180" s="157">
        <v>1793877.03</v>
      </c>
      <c r="H180" s="157">
        <v>336707.56</v>
      </c>
      <c r="I180" s="157">
        <v>0</v>
      </c>
      <c r="J180" s="157">
        <v>206381.05</v>
      </c>
      <c r="K180" s="157">
        <v>0</v>
      </c>
      <c r="L180" s="157">
        <v>41793.449999999997</v>
      </c>
      <c r="M180" s="157">
        <v>1212942.47</v>
      </c>
      <c r="N180" s="264">
        <v>3.1600000000000003E-2</v>
      </c>
      <c r="O180" s="265">
        <v>0.20250000000000001</v>
      </c>
      <c r="P180" s="157">
        <v>0</v>
      </c>
      <c r="Q180" s="396">
        <v>0</v>
      </c>
      <c r="R180" s="396">
        <v>0</v>
      </c>
      <c r="S180" s="397">
        <v>0</v>
      </c>
      <c r="T180" s="397">
        <v>0</v>
      </c>
      <c r="U180" s="397">
        <v>0</v>
      </c>
      <c r="V180" s="157">
        <v>0</v>
      </c>
      <c r="W180" s="397">
        <v>0</v>
      </c>
      <c r="X180" s="397">
        <v>0</v>
      </c>
      <c r="Y180" s="157">
        <v>1618.34</v>
      </c>
      <c r="Z180" s="157">
        <v>0</v>
      </c>
      <c r="AA180" s="157">
        <v>0</v>
      </c>
      <c r="AB180" s="157">
        <v>81043.31</v>
      </c>
      <c r="AC180" s="157">
        <v>892504.79</v>
      </c>
      <c r="AD180" s="157">
        <v>96.53</v>
      </c>
      <c r="AE180" s="157">
        <v>829033.91</v>
      </c>
      <c r="AF180" s="398">
        <f t="shared" si="54"/>
        <v>8588.3550191650265</v>
      </c>
      <c r="AG180" s="398">
        <f t="shared" si="55"/>
        <v>9245.8799336993688</v>
      </c>
      <c r="AH180" s="399">
        <f t="shared" si="56"/>
        <v>657.52</v>
      </c>
      <c r="AI180" s="157">
        <v>9.0299999999999994</v>
      </c>
      <c r="AJ180" s="157">
        <v>75298.84</v>
      </c>
      <c r="AK180" s="398">
        <f t="shared" si="57"/>
        <v>8338.7419712070878</v>
      </c>
      <c r="AL180" s="398">
        <f t="shared" si="58"/>
        <v>8974.8959025470649</v>
      </c>
      <c r="AM180" s="399">
        <f t="shared" si="59"/>
        <v>636.15</v>
      </c>
      <c r="AN180" s="397">
        <v>0</v>
      </c>
      <c r="AO180" s="397">
        <v>0</v>
      </c>
      <c r="AP180" s="46"/>
      <c r="AQ180" s="402">
        <v>0</v>
      </c>
      <c r="AR180" s="274">
        <v>127269.39</v>
      </c>
      <c r="AS180" s="413">
        <v>49179.369999999995</v>
      </c>
      <c r="AX180" s="2"/>
      <c r="BA180" s="342"/>
      <c r="BB180" s="342"/>
      <c r="BC180" s="342"/>
      <c r="BD180" s="386"/>
      <c r="BE180" s="386"/>
      <c r="BF180" s="386"/>
      <c r="BG180" s="386"/>
      <c r="BH180" s="386"/>
      <c r="BI180" s="386"/>
      <c r="BJ180" s="386"/>
      <c r="BK180" s="386"/>
      <c r="BL180" s="386"/>
      <c r="BM180" s="386"/>
      <c r="BN180" s="387"/>
      <c r="BO180" s="265"/>
      <c r="BP180" s="386"/>
      <c r="BQ180" s="388"/>
      <c r="BR180" s="388"/>
      <c r="BS180" s="389"/>
      <c r="BT180" s="389"/>
      <c r="BU180" s="389"/>
      <c r="BV180" s="386"/>
      <c r="BW180" s="389"/>
      <c r="BX180" s="389"/>
      <c r="BY180" s="386"/>
      <c r="BZ180" s="386"/>
      <c r="CA180" s="386"/>
      <c r="CB180" s="386"/>
      <c r="CC180" s="386"/>
      <c r="CD180" s="386"/>
      <c r="CE180" s="386"/>
      <c r="CF180" s="390"/>
      <c r="CG180" s="390"/>
      <c r="CH180" s="391"/>
      <c r="CI180" s="386"/>
      <c r="CJ180" s="386"/>
      <c r="CK180" s="390"/>
      <c r="CL180" s="390"/>
      <c r="CM180" s="391"/>
      <c r="CN180" s="389"/>
      <c r="CO180" s="389"/>
      <c r="CP180" s="135"/>
      <c r="CQ180" s="135"/>
      <c r="CR180" s="135"/>
      <c r="CS180" s="135"/>
      <c r="CT180" s="135"/>
      <c r="CU180" s="135"/>
    </row>
    <row r="181" spans="1:99">
      <c r="A181" s="342" t="s">
        <v>384</v>
      </c>
      <c r="B181" s="342" t="s">
        <v>383</v>
      </c>
      <c r="C181" s="342" t="s">
        <v>1007</v>
      </c>
      <c r="D181" s="157">
        <v>0</v>
      </c>
      <c r="E181" s="157">
        <v>62712.25</v>
      </c>
      <c r="F181" s="157">
        <v>43779.82</v>
      </c>
      <c r="G181" s="157">
        <v>2807124.59</v>
      </c>
      <c r="H181" s="157">
        <v>604140.52</v>
      </c>
      <c r="I181" s="157">
        <v>455212.85</v>
      </c>
      <c r="J181" s="157">
        <v>634030.9</v>
      </c>
      <c r="K181" s="157">
        <v>461187.16</v>
      </c>
      <c r="L181" s="157">
        <v>58589.599999999999</v>
      </c>
      <c r="M181" s="157">
        <v>1490733.59</v>
      </c>
      <c r="N181" s="264">
        <v>3.1800000000000002E-2</v>
      </c>
      <c r="O181" s="265">
        <v>0.15959999999999999</v>
      </c>
      <c r="P181" s="157">
        <v>0</v>
      </c>
      <c r="Q181" s="396">
        <v>0</v>
      </c>
      <c r="R181" s="396">
        <v>0</v>
      </c>
      <c r="S181" s="397">
        <v>0</v>
      </c>
      <c r="T181" s="397">
        <v>0</v>
      </c>
      <c r="U181" s="397">
        <v>0</v>
      </c>
      <c r="V181" s="157">
        <v>0</v>
      </c>
      <c r="W181" s="397">
        <v>0</v>
      </c>
      <c r="X181" s="397">
        <v>0</v>
      </c>
      <c r="Y181" s="157">
        <v>1838.25</v>
      </c>
      <c r="Z181" s="157">
        <v>0</v>
      </c>
      <c r="AA181" s="157">
        <v>0</v>
      </c>
      <c r="AB181" s="157">
        <v>122047.67999999999</v>
      </c>
      <c r="AC181" s="157">
        <v>1237461.76</v>
      </c>
      <c r="AD181" s="157">
        <v>129.62</v>
      </c>
      <c r="AE181" s="157">
        <v>1159997.6299999999</v>
      </c>
      <c r="AF181" s="398">
        <f t="shared" si="54"/>
        <v>8949.217944761609</v>
      </c>
      <c r="AG181" s="398">
        <f t="shared" si="55"/>
        <v>9546.8427711772874</v>
      </c>
      <c r="AH181" s="399">
        <f t="shared" si="56"/>
        <v>597.62</v>
      </c>
      <c r="AI181" s="157">
        <v>13.04</v>
      </c>
      <c r="AJ181" s="157">
        <v>113228.44</v>
      </c>
      <c r="AK181" s="398">
        <f t="shared" si="57"/>
        <v>8683.1625766871166</v>
      </c>
      <c r="AL181" s="398">
        <f t="shared" si="58"/>
        <v>9359.4846625766877</v>
      </c>
      <c r="AM181" s="399">
        <f t="shared" si="59"/>
        <v>676.32</v>
      </c>
      <c r="AN181" s="397">
        <v>0</v>
      </c>
      <c r="AO181" s="397">
        <v>0</v>
      </c>
      <c r="AP181" s="46"/>
      <c r="AQ181" s="402">
        <v>0</v>
      </c>
      <c r="AR181" s="274">
        <v>214712.57999999996</v>
      </c>
      <c r="AS181" s="413">
        <v>67866.69</v>
      </c>
      <c r="AX181" s="2"/>
      <c r="BA181" s="342"/>
      <c r="BB181" s="342"/>
      <c r="BC181" s="342"/>
      <c r="BD181" s="386"/>
      <c r="BE181" s="386"/>
      <c r="BF181" s="386"/>
      <c r="BG181" s="386"/>
      <c r="BH181" s="386"/>
      <c r="BI181" s="386"/>
      <c r="BJ181" s="386"/>
      <c r="BK181" s="386"/>
      <c r="BL181" s="386"/>
      <c r="BM181" s="386"/>
      <c r="BN181" s="387"/>
      <c r="BO181" s="265"/>
      <c r="BP181" s="386"/>
      <c r="BQ181" s="388"/>
      <c r="BR181" s="388"/>
      <c r="BS181" s="389"/>
      <c r="BT181" s="389"/>
      <c r="BU181" s="389"/>
      <c r="BV181" s="386"/>
      <c r="BW181" s="389"/>
      <c r="BX181" s="389"/>
      <c r="BY181" s="386"/>
      <c r="BZ181" s="386"/>
      <c r="CA181" s="386"/>
      <c r="CB181" s="386"/>
      <c r="CC181" s="386"/>
      <c r="CD181" s="386"/>
      <c r="CE181" s="386"/>
      <c r="CF181" s="390"/>
      <c r="CG181" s="390"/>
      <c r="CH181" s="391"/>
      <c r="CI181" s="386"/>
      <c r="CJ181" s="386"/>
      <c r="CK181" s="390"/>
      <c r="CL181" s="390"/>
      <c r="CM181" s="391"/>
      <c r="CN181" s="389"/>
      <c r="CO181" s="389"/>
      <c r="CP181" s="135"/>
      <c r="CQ181" s="135"/>
      <c r="CR181" s="135"/>
      <c r="CS181" s="135"/>
      <c r="CT181" s="135"/>
      <c r="CU181" s="135"/>
    </row>
    <row r="182" spans="1:99">
      <c r="A182" s="342" t="s">
        <v>386</v>
      </c>
      <c r="B182" s="342" t="s">
        <v>385</v>
      </c>
      <c r="C182" s="342" t="s">
        <v>1008</v>
      </c>
      <c r="D182" s="157">
        <v>0</v>
      </c>
      <c r="E182" s="157">
        <v>2627.36</v>
      </c>
      <c r="F182" s="157">
        <v>6244.28</v>
      </c>
      <c r="G182" s="157">
        <v>933187.79</v>
      </c>
      <c r="H182" s="157">
        <v>169989.28</v>
      </c>
      <c r="I182" s="157">
        <v>216208.71</v>
      </c>
      <c r="J182" s="157">
        <v>355865.05</v>
      </c>
      <c r="K182" s="157">
        <v>21417.42</v>
      </c>
      <c r="L182" s="157">
        <v>19344.990000000002</v>
      </c>
      <c r="M182" s="157">
        <v>714821.98</v>
      </c>
      <c r="N182" s="264">
        <v>3.6799999999999999E-2</v>
      </c>
      <c r="O182" s="265">
        <v>0.222</v>
      </c>
      <c r="P182" s="157">
        <v>0</v>
      </c>
      <c r="Q182" s="396">
        <v>0</v>
      </c>
      <c r="R182" s="396">
        <v>0</v>
      </c>
      <c r="S182" s="397">
        <v>0</v>
      </c>
      <c r="T182" s="397">
        <v>0</v>
      </c>
      <c r="U182" s="397">
        <v>0</v>
      </c>
      <c r="V182" s="157">
        <v>0</v>
      </c>
      <c r="W182" s="397">
        <v>0</v>
      </c>
      <c r="X182" s="397">
        <v>0</v>
      </c>
      <c r="Y182" s="157">
        <v>508.62</v>
      </c>
      <c r="Z182" s="157">
        <v>6795.93</v>
      </c>
      <c r="AA182" s="157">
        <v>5650.08</v>
      </c>
      <c r="AB182" s="157">
        <v>129892.95</v>
      </c>
      <c r="AC182" s="157">
        <v>305945.19</v>
      </c>
      <c r="AD182" s="157">
        <v>33.81</v>
      </c>
      <c r="AE182" s="157">
        <v>290507.84999999998</v>
      </c>
      <c r="AF182" s="398">
        <f t="shared" si="54"/>
        <v>8592.3646850044352</v>
      </c>
      <c r="AG182" s="398">
        <f t="shared" si="55"/>
        <v>9048.9556344276843</v>
      </c>
      <c r="AH182" s="399">
        <f t="shared" si="56"/>
        <v>456.59</v>
      </c>
      <c r="AI182" s="157">
        <v>14.48</v>
      </c>
      <c r="AJ182" s="157">
        <v>120652.55</v>
      </c>
      <c r="AK182" s="398">
        <f t="shared" si="57"/>
        <v>8332.3584254143643</v>
      </c>
      <c r="AL182" s="398">
        <f t="shared" si="58"/>
        <v>8970.5075966850818</v>
      </c>
      <c r="AM182" s="399">
        <f t="shared" si="59"/>
        <v>638.15</v>
      </c>
      <c r="AN182" s="397">
        <v>772.51</v>
      </c>
      <c r="AO182" s="397">
        <v>0</v>
      </c>
      <c r="AP182" s="46"/>
      <c r="AQ182" s="402">
        <v>4158.7999999999884</v>
      </c>
      <c r="AR182" s="274">
        <v>73968.850000000006</v>
      </c>
      <c r="AS182" s="413">
        <v>31142.17</v>
      </c>
      <c r="AX182" s="2"/>
      <c r="BA182" s="342"/>
      <c r="BB182" s="342"/>
      <c r="BC182" s="342"/>
      <c r="BD182" s="386"/>
      <c r="BE182" s="386"/>
      <c r="BF182" s="386"/>
      <c r="BG182" s="386"/>
      <c r="BH182" s="386"/>
      <c r="BI182" s="386"/>
      <c r="BJ182" s="386"/>
      <c r="BK182" s="386"/>
      <c r="BL182" s="386"/>
      <c r="BM182" s="386"/>
      <c r="BN182" s="387"/>
      <c r="BO182" s="265"/>
      <c r="BP182" s="386"/>
      <c r="BQ182" s="388"/>
      <c r="BR182" s="388"/>
      <c r="BS182" s="389"/>
      <c r="BT182" s="389"/>
      <c r="BU182" s="389"/>
      <c r="BV182" s="386"/>
      <c r="BW182" s="389"/>
      <c r="BX182" s="389"/>
      <c r="BY182" s="386"/>
      <c r="BZ182" s="386"/>
      <c r="CA182" s="386"/>
      <c r="CB182" s="386"/>
      <c r="CC182" s="386"/>
      <c r="CD182" s="386"/>
      <c r="CE182" s="386"/>
      <c r="CF182" s="390"/>
      <c r="CG182" s="390"/>
      <c r="CH182" s="391"/>
      <c r="CI182" s="386"/>
      <c r="CJ182" s="386"/>
      <c r="CK182" s="390"/>
      <c r="CL182" s="390"/>
      <c r="CM182" s="391"/>
      <c r="CN182" s="389"/>
      <c r="CO182" s="389"/>
      <c r="CP182" s="135"/>
      <c r="CQ182" s="135"/>
      <c r="CR182" s="135"/>
      <c r="CS182" s="135"/>
      <c r="CT182" s="135"/>
      <c r="CU182" s="135"/>
    </row>
    <row r="183" spans="1:99">
      <c r="A183" s="342" t="s">
        <v>388</v>
      </c>
      <c r="B183" s="342" t="s">
        <v>387</v>
      </c>
      <c r="C183" s="342" t="s">
        <v>1009</v>
      </c>
      <c r="D183" s="157">
        <v>0</v>
      </c>
      <c r="E183" s="157">
        <v>96739.04</v>
      </c>
      <c r="F183" s="157">
        <v>55971.28</v>
      </c>
      <c r="G183" s="157">
        <v>2874296.34</v>
      </c>
      <c r="H183" s="157">
        <v>627662.75</v>
      </c>
      <c r="I183" s="157">
        <v>603729.19999999995</v>
      </c>
      <c r="J183" s="157">
        <v>1015353.35</v>
      </c>
      <c r="K183" s="157">
        <v>1186077.74</v>
      </c>
      <c r="L183" s="157">
        <v>59897.06</v>
      </c>
      <c r="M183" s="157">
        <v>1698713.7</v>
      </c>
      <c r="N183" s="264">
        <v>2.4799999999999999E-2</v>
      </c>
      <c r="O183" s="265">
        <v>0.1578</v>
      </c>
      <c r="P183" s="157">
        <v>0</v>
      </c>
      <c r="Q183" s="396">
        <v>0</v>
      </c>
      <c r="R183" s="396">
        <v>0</v>
      </c>
      <c r="S183" s="397">
        <v>0</v>
      </c>
      <c r="T183" s="397">
        <v>0</v>
      </c>
      <c r="U183" s="397">
        <v>0</v>
      </c>
      <c r="V183" s="157">
        <v>0</v>
      </c>
      <c r="W183" s="397">
        <v>0</v>
      </c>
      <c r="X183" s="397">
        <v>0</v>
      </c>
      <c r="Y183" s="157">
        <v>380.06</v>
      </c>
      <c r="Z183" s="157">
        <v>6566.98</v>
      </c>
      <c r="AA183" s="157">
        <v>88469.85</v>
      </c>
      <c r="AB183" s="157">
        <v>83010.86</v>
      </c>
      <c r="AC183" s="157">
        <v>991734.78</v>
      </c>
      <c r="AD183" s="157">
        <v>106.99</v>
      </c>
      <c r="AE183" s="157">
        <v>919043.67</v>
      </c>
      <c r="AF183" s="398">
        <f t="shared" si="54"/>
        <v>8589.9959809327975</v>
      </c>
      <c r="AG183" s="398">
        <f t="shared" si="55"/>
        <v>9269.4156463220861</v>
      </c>
      <c r="AH183" s="399">
        <f t="shared" si="56"/>
        <v>679.42</v>
      </c>
      <c r="AI183" s="157">
        <v>9.24</v>
      </c>
      <c r="AJ183" s="157">
        <v>77112.69</v>
      </c>
      <c r="AK183" s="398">
        <f t="shared" si="57"/>
        <v>8345.5292207792209</v>
      </c>
      <c r="AL183" s="398">
        <f t="shared" si="58"/>
        <v>8983.8593073593074</v>
      </c>
      <c r="AM183" s="399">
        <f t="shared" si="59"/>
        <v>638.33000000000004</v>
      </c>
      <c r="AN183" s="397">
        <v>0</v>
      </c>
      <c r="AO183" s="397">
        <v>0</v>
      </c>
      <c r="AP183" s="46"/>
      <c r="AQ183" s="402">
        <v>96410.210000000021</v>
      </c>
      <c r="AR183" s="274">
        <v>228289.78000000003</v>
      </c>
      <c r="AS183" s="413">
        <v>70905.180000000008</v>
      </c>
      <c r="AX183" s="2"/>
      <c r="BA183" s="342"/>
      <c r="BB183" s="342"/>
      <c r="BC183" s="342"/>
      <c r="BD183" s="386"/>
      <c r="BE183" s="386"/>
      <c r="BF183" s="386"/>
      <c r="BG183" s="386"/>
      <c r="BH183" s="386"/>
      <c r="BI183" s="386"/>
      <c r="BJ183" s="386"/>
      <c r="BK183" s="386"/>
      <c r="BL183" s="386"/>
      <c r="BM183" s="386"/>
      <c r="BN183" s="387"/>
      <c r="BO183" s="265"/>
      <c r="BP183" s="386"/>
      <c r="BQ183" s="388"/>
      <c r="BR183" s="388"/>
      <c r="BS183" s="389"/>
      <c r="BT183" s="389"/>
      <c r="BU183" s="389"/>
      <c r="BV183" s="386"/>
      <c r="BW183" s="389"/>
      <c r="BX183" s="389"/>
      <c r="BY183" s="386"/>
      <c r="BZ183" s="386"/>
      <c r="CA183" s="386"/>
      <c r="CB183" s="386"/>
      <c r="CC183" s="386"/>
      <c r="CD183" s="386"/>
      <c r="CE183" s="386"/>
      <c r="CF183" s="390"/>
      <c r="CG183" s="390"/>
      <c r="CH183" s="391"/>
      <c r="CI183" s="386"/>
      <c r="CJ183" s="386"/>
      <c r="CK183" s="390"/>
      <c r="CL183" s="390"/>
      <c r="CM183" s="391"/>
      <c r="CN183" s="389"/>
      <c r="CO183" s="389"/>
      <c r="CP183" s="135"/>
      <c r="CQ183" s="135"/>
      <c r="CR183" s="135"/>
      <c r="CS183" s="135"/>
      <c r="CT183" s="135"/>
      <c r="CU183" s="135"/>
    </row>
    <row r="184" spans="1:99">
      <c r="A184" s="342" t="s">
        <v>390</v>
      </c>
      <c r="B184" s="342" t="s">
        <v>389</v>
      </c>
      <c r="C184" s="342" t="s">
        <v>1010</v>
      </c>
      <c r="D184" s="157">
        <v>0</v>
      </c>
      <c r="E184" s="157">
        <v>92580.26</v>
      </c>
      <c r="F184" s="157">
        <v>0</v>
      </c>
      <c r="G184" s="157">
        <v>8773520</v>
      </c>
      <c r="H184" s="157">
        <v>1171128.1499999999</v>
      </c>
      <c r="I184" s="157">
        <v>104593.7</v>
      </c>
      <c r="J184" s="157">
        <v>1339110.8500000001</v>
      </c>
      <c r="K184" s="157">
        <v>473167.28</v>
      </c>
      <c r="L184" s="157">
        <v>182589.69</v>
      </c>
      <c r="M184" s="157">
        <v>3476676.95</v>
      </c>
      <c r="N184" s="264">
        <v>8.5900000000000004E-2</v>
      </c>
      <c r="O184" s="265">
        <v>0.19350000000000001</v>
      </c>
      <c r="P184" s="157">
        <v>0</v>
      </c>
      <c r="Q184" s="396">
        <v>0</v>
      </c>
      <c r="R184" s="396">
        <v>0</v>
      </c>
      <c r="S184" s="397">
        <v>0</v>
      </c>
      <c r="T184" s="397">
        <v>0</v>
      </c>
      <c r="U184" s="397">
        <v>0</v>
      </c>
      <c r="V184" s="157">
        <v>0</v>
      </c>
      <c r="W184" s="397">
        <v>0</v>
      </c>
      <c r="X184" s="397">
        <v>0</v>
      </c>
      <c r="Y184" s="157">
        <v>6144.06</v>
      </c>
      <c r="Z184" s="157">
        <v>0</v>
      </c>
      <c r="AA184" s="157">
        <v>88439.48</v>
      </c>
      <c r="AB184" s="157">
        <v>885610.98</v>
      </c>
      <c r="AC184" s="157">
        <v>3083514.11</v>
      </c>
      <c r="AD184" s="157">
        <v>295.10000000000002</v>
      </c>
      <c r="AE184" s="157">
        <v>2852828.85</v>
      </c>
      <c r="AF184" s="398">
        <f t="shared" si="54"/>
        <v>9667.3292104371394</v>
      </c>
      <c r="AG184" s="398">
        <f t="shared" si="55"/>
        <v>10449.048153168416</v>
      </c>
      <c r="AH184" s="399">
        <f t="shared" si="56"/>
        <v>781.72</v>
      </c>
      <c r="AI184" s="157">
        <v>87.5</v>
      </c>
      <c r="AJ184" s="157">
        <v>822726.29</v>
      </c>
      <c r="AK184" s="398">
        <f t="shared" si="57"/>
        <v>9402.5861714285711</v>
      </c>
      <c r="AL184" s="398">
        <f t="shared" si="58"/>
        <v>10121.268342857142</v>
      </c>
      <c r="AM184" s="399">
        <f t="shared" si="59"/>
        <v>718.68</v>
      </c>
      <c r="AN184" s="397">
        <v>0</v>
      </c>
      <c r="AO184" s="397">
        <v>0</v>
      </c>
      <c r="AP184" s="46"/>
      <c r="AQ184" s="402">
        <v>0</v>
      </c>
      <c r="AR184" s="274">
        <v>593796.18999999994</v>
      </c>
      <c r="AS184" s="413">
        <v>170642.43</v>
      </c>
      <c r="AX184" s="2"/>
      <c r="BA184" s="342"/>
      <c r="BB184" s="342"/>
      <c r="BC184" s="342"/>
      <c r="BD184" s="386"/>
      <c r="BE184" s="386"/>
      <c r="BF184" s="386"/>
      <c r="BG184" s="386"/>
      <c r="BH184" s="386"/>
      <c r="BI184" s="386"/>
      <c r="BJ184" s="386"/>
      <c r="BK184" s="386"/>
      <c r="BL184" s="386"/>
      <c r="BM184" s="386"/>
      <c r="BN184" s="387"/>
      <c r="BO184" s="265"/>
      <c r="BP184" s="386"/>
      <c r="BQ184" s="388"/>
      <c r="BR184" s="388"/>
      <c r="BS184" s="389"/>
      <c r="BT184" s="389"/>
      <c r="BU184" s="389"/>
      <c r="BV184" s="386"/>
      <c r="BW184" s="389"/>
      <c r="BX184" s="389"/>
      <c r="BY184" s="386"/>
      <c r="BZ184" s="386"/>
      <c r="CA184" s="386"/>
      <c r="CB184" s="386"/>
      <c r="CC184" s="386"/>
      <c r="CD184" s="386"/>
      <c r="CE184" s="386"/>
      <c r="CF184" s="390"/>
      <c r="CG184" s="390"/>
      <c r="CH184" s="391"/>
      <c r="CI184" s="386"/>
      <c r="CJ184" s="386"/>
      <c r="CK184" s="390"/>
      <c r="CL184" s="390"/>
      <c r="CM184" s="391"/>
      <c r="CN184" s="389"/>
      <c r="CO184" s="389"/>
      <c r="CP184" s="135"/>
      <c r="CQ184" s="135"/>
      <c r="CR184" s="135"/>
      <c r="CS184" s="135"/>
      <c r="CT184" s="135"/>
      <c r="CU184" s="135"/>
    </row>
    <row r="185" spans="1:99">
      <c r="A185" s="342" t="s">
        <v>392</v>
      </c>
      <c r="B185" s="342" t="s">
        <v>391</v>
      </c>
      <c r="C185" s="342" t="s">
        <v>1011</v>
      </c>
      <c r="D185" s="157">
        <v>0</v>
      </c>
      <c r="E185" s="157">
        <v>74369.41</v>
      </c>
      <c r="F185" s="157">
        <v>0</v>
      </c>
      <c r="G185" s="157">
        <v>3406206.33</v>
      </c>
      <c r="H185" s="157">
        <v>474018.92</v>
      </c>
      <c r="I185" s="157">
        <v>460004.58</v>
      </c>
      <c r="J185" s="157">
        <v>887120.56</v>
      </c>
      <c r="K185" s="157">
        <v>523376.91</v>
      </c>
      <c r="L185" s="157">
        <v>70786.679999999993</v>
      </c>
      <c r="M185" s="157">
        <v>2212907.79</v>
      </c>
      <c r="N185" s="264">
        <v>2.6100000000000002E-2</v>
      </c>
      <c r="O185" s="265">
        <v>0.17599999999999999</v>
      </c>
      <c r="P185" s="157">
        <v>0</v>
      </c>
      <c r="Q185" s="396">
        <v>0</v>
      </c>
      <c r="R185" s="396">
        <v>0</v>
      </c>
      <c r="S185" s="397">
        <v>0</v>
      </c>
      <c r="T185" s="397">
        <v>0</v>
      </c>
      <c r="U185" s="397">
        <v>0</v>
      </c>
      <c r="V185" s="157">
        <v>0</v>
      </c>
      <c r="W185" s="397">
        <v>0</v>
      </c>
      <c r="X185" s="397">
        <v>0</v>
      </c>
      <c r="Y185" s="157">
        <v>2584.83</v>
      </c>
      <c r="Z185" s="157">
        <v>72570.820000000007</v>
      </c>
      <c r="AA185" s="157">
        <v>117441.81</v>
      </c>
      <c r="AB185" s="157">
        <v>750164.95</v>
      </c>
      <c r="AC185" s="157">
        <v>1660051.7</v>
      </c>
      <c r="AD185" s="157">
        <v>174.13</v>
      </c>
      <c r="AE185" s="157">
        <v>1558369.85</v>
      </c>
      <c r="AF185" s="398">
        <f t="shared" si="54"/>
        <v>8949.4621834261761</v>
      </c>
      <c r="AG185" s="398">
        <f t="shared" si="55"/>
        <v>9533.4043530695453</v>
      </c>
      <c r="AH185" s="399">
        <f t="shared" si="56"/>
        <v>583.94000000000005</v>
      </c>
      <c r="AI185" s="157">
        <v>80.150000000000006</v>
      </c>
      <c r="AJ185" s="157">
        <v>696558.46</v>
      </c>
      <c r="AK185" s="398">
        <f t="shared" si="57"/>
        <v>8690.6857142857134</v>
      </c>
      <c r="AL185" s="398">
        <f t="shared" si="58"/>
        <v>9359.5127885215206</v>
      </c>
      <c r="AM185" s="399">
        <f t="shared" si="59"/>
        <v>668.83</v>
      </c>
      <c r="AN185" s="397">
        <v>33.36</v>
      </c>
      <c r="AO185" s="397">
        <v>0</v>
      </c>
      <c r="AP185" s="46"/>
      <c r="AQ185" s="402">
        <v>173332.36000000004</v>
      </c>
      <c r="AR185" s="274">
        <v>242476.3</v>
      </c>
      <c r="AS185" s="413">
        <v>74731.399999999994</v>
      </c>
      <c r="AX185" s="2"/>
      <c r="BA185" s="342"/>
      <c r="BB185" s="342"/>
      <c r="BC185" s="342"/>
      <c r="BD185" s="386"/>
      <c r="BE185" s="386"/>
      <c r="BF185" s="386"/>
      <c r="BG185" s="386"/>
      <c r="BH185" s="386"/>
      <c r="BI185" s="386"/>
      <c r="BJ185" s="386"/>
      <c r="BK185" s="386"/>
      <c r="BL185" s="386"/>
      <c r="BM185" s="386"/>
      <c r="BN185" s="387"/>
      <c r="BO185" s="265"/>
      <c r="BP185" s="386"/>
      <c r="BQ185" s="388"/>
      <c r="BR185" s="388"/>
      <c r="BS185" s="389"/>
      <c r="BT185" s="389"/>
      <c r="BU185" s="389"/>
      <c r="BV185" s="386"/>
      <c r="BW185" s="389"/>
      <c r="BX185" s="389"/>
      <c r="BY185" s="386"/>
      <c r="BZ185" s="386"/>
      <c r="CA185" s="386"/>
      <c r="CB185" s="386"/>
      <c r="CC185" s="386"/>
      <c r="CD185" s="386"/>
      <c r="CE185" s="386"/>
      <c r="CF185" s="390"/>
      <c r="CG185" s="390"/>
      <c r="CH185" s="391"/>
      <c r="CI185" s="386"/>
      <c r="CJ185" s="386"/>
      <c r="CK185" s="390"/>
      <c r="CL185" s="390"/>
      <c r="CM185" s="391"/>
      <c r="CN185" s="389"/>
      <c r="CO185" s="389"/>
      <c r="CP185" s="135"/>
      <c r="CQ185" s="135"/>
      <c r="CR185" s="135"/>
      <c r="CS185" s="135"/>
      <c r="CT185" s="135"/>
      <c r="CU185" s="135"/>
    </row>
    <row r="186" spans="1:99">
      <c r="A186" s="342" t="s">
        <v>394</v>
      </c>
      <c r="B186" s="342" t="s">
        <v>393</v>
      </c>
      <c r="C186" s="342" t="s">
        <v>1012</v>
      </c>
      <c r="D186" s="157">
        <v>0</v>
      </c>
      <c r="E186" s="157">
        <v>0</v>
      </c>
      <c r="F186" s="157">
        <v>0</v>
      </c>
      <c r="G186" s="157">
        <v>87332.07</v>
      </c>
      <c r="H186" s="157">
        <v>5414.06</v>
      </c>
      <c r="I186" s="157">
        <v>25345.03</v>
      </c>
      <c r="J186" s="157">
        <v>35172.71</v>
      </c>
      <c r="K186" s="157">
        <v>0</v>
      </c>
      <c r="L186" s="157">
        <v>0</v>
      </c>
      <c r="M186" s="157">
        <v>200359.64</v>
      </c>
      <c r="N186" s="264">
        <v>0.1308</v>
      </c>
      <c r="O186" s="265">
        <v>0.38490000000000002</v>
      </c>
      <c r="P186" s="157">
        <v>0</v>
      </c>
      <c r="Q186" s="396">
        <v>0</v>
      </c>
      <c r="R186" s="396">
        <v>0</v>
      </c>
      <c r="S186" s="397">
        <v>0</v>
      </c>
      <c r="T186" s="397">
        <v>0</v>
      </c>
      <c r="U186" s="397">
        <v>0</v>
      </c>
      <c r="V186" s="157">
        <v>0</v>
      </c>
      <c r="W186" s="397">
        <v>0</v>
      </c>
      <c r="X186" s="397">
        <v>0</v>
      </c>
      <c r="Y186" s="157">
        <v>84.58</v>
      </c>
      <c r="Z186" s="157">
        <v>0</v>
      </c>
      <c r="AA186" s="157">
        <v>0</v>
      </c>
      <c r="AB186" s="157">
        <v>0</v>
      </c>
      <c r="AC186" s="157">
        <v>13315.43</v>
      </c>
      <c r="AD186" s="157">
        <v>0.17</v>
      </c>
      <c r="AE186" s="157">
        <v>1417.97</v>
      </c>
      <c r="AF186" s="398">
        <f t="shared" si="54"/>
        <v>8341</v>
      </c>
      <c r="AG186" s="398">
        <f t="shared" si="55"/>
        <v>78326.058823529413</v>
      </c>
      <c r="AH186" s="399">
        <f t="shared" si="56"/>
        <v>69985.06</v>
      </c>
      <c r="AI186" s="157">
        <v>0</v>
      </c>
      <c r="AJ186" s="157">
        <v>0</v>
      </c>
      <c r="AK186" s="398">
        <f t="shared" si="57"/>
        <v>0</v>
      </c>
      <c r="AL186" s="398">
        <f t="shared" si="58"/>
        <v>0</v>
      </c>
      <c r="AM186" s="399">
        <f t="shared" si="59"/>
        <v>0</v>
      </c>
      <c r="AN186" s="397">
        <v>0</v>
      </c>
      <c r="AO186" s="397">
        <v>0</v>
      </c>
      <c r="AP186" s="46"/>
      <c r="AQ186" s="402">
        <v>37218.17</v>
      </c>
      <c r="AR186" s="274">
        <v>20516.62</v>
      </c>
      <c r="AS186" s="413">
        <v>12534.94</v>
      </c>
      <c r="AX186" s="2"/>
      <c r="BA186" s="342"/>
      <c r="BB186" s="342"/>
      <c r="BC186" s="342"/>
      <c r="BD186" s="386"/>
      <c r="BE186" s="386"/>
      <c r="BF186" s="386"/>
      <c r="BG186" s="386"/>
      <c r="BH186" s="386"/>
      <c r="BI186" s="386"/>
      <c r="BJ186" s="386"/>
      <c r="BK186" s="386"/>
      <c r="BL186" s="386"/>
      <c r="BM186" s="386"/>
      <c r="BN186" s="387"/>
      <c r="BO186" s="265"/>
      <c r="BP186" s="386"/>
      <c r="BQ186" s="388"/>
      <c r="BR186" s="388"/>
      <c r="BS186" s="389"/>
      <c r="BT186" s="389"/>
      <c r="BU186" s="389"/>
      <c r="BV186" s="386"/>
      <c r="BW186" s="389"/>
      <c r="BX186" s="389"/>
      <c r="BY186" s="386"/>
      <c r="BZ186" s="386"/>
      <c r="CA186" s="386"/>
      <c r="CB186" s="386"/>
      <c r="CC186" s="386"/>
      <c r="CD186" s="386"/>
      <c r="CE186" s="386"/>
      <c r="CF186" s="390"/>
      <c r="CG186" s="390"/>
      <c r="CH186" s="391"/>
      <c r="CI186" s="386"/>
      <c r="CJ186" s="386"/>
      <c r="CK186" s="390"/>
      <c r="CL186" s="390"/>
      <c r="CM186" s="391"/>
      <c r="CN186" s="389"/>
      <c r="CO186" s="389"/>
      <c r="CP186" s="135"/>
      <c r="CQ186" s="135"/>
      <c r="CR186" s="135"/>
      <c r="CS186" s="135"/>
      <c r="CT186" s="135"/>
      <c r="CU186" s="135"/>
    </row>
    <row r="187" spans="1:99">
      <c r="A187" s="342" t="s">
        <v>396</v>
      </c>
      <c r="B187" s="342" t="s">
        <v>395</v>
      </c>
      <c r="C187" s="342" t="s">
        <v>1013</v>
      </c>
      <c r="D187" s="157">
        <v>0</v>
      </c>
      <c r="E187" s="157">
        <v>163188.79</v>
      </c>
      <c r="F187" s="157">
        <v>26275.41</v>
      </c>
      <c r="G187" s="157">
        <v>25697632.100000001</v>
      </c>
      <c r="H187" s="157">
        <v>5335989.62</v>
      </c>
      <c r="I187" s="157">
        <v>1093717.6399999999</v>
      </c>
      <c r="J187" s="157">
        <v>4332612.55</v>
      </c>
      <c r="K187" s="157">
        <v>1543319.03</v>
      </c>
      <c r="L187" s="157">
        <v>452627.74</v>
      </c>
      <c r="M187" s="157">
        <v>9658602.75</v>
      </c>
      <c r="N187" s="264">
        <v>4.5699999999999998E-2</v>
      </c>
      <c r="O187" s="265">
        <v>0.1313</v>
      </c>
      <c r="P187" s="157">
        <v>0</v>
      </c>
      <c r="Q187" s="396">
        <v>0</v>
      </c>
      <c r="R187" s="396">
        <v>0</v>
      </c>
      <c r="S187" s="397">
        <v>0</v>
      </c>
      <c r="T187" s="397">
        <v>0</v>
      </c>
      <c r="U187" s="397">
        <v>0</v>
      </c>
      <c r="V187" s="157">
        <v>0</v>
      </c>
      <c r="W187" s="397">
        <v>0</v>
      </c>
      <c r="X187" s="397">
        <v>0</v>
      </c>
      <c r="Y187" s="157">
        <v>17152.150000000001</v>
      </c>
      <c r="Z187" s="157">
        <v>139437.51999999999</v>
      </c>
      <c r="AA187" s="157">
        <v>0</v>
      </c>
      <c r="AB187" s="157">
        <v>2013638.78</v>
      </c>
      <c r="AC187" s="157">
        <v>7563260.7300000004</v>
      </c>
      <c r="AD187" s="157">
        <v>785.58</v>
      </c>
      <c r="AE187" s="157">
        <v>6889097.6900000004</v>
      </c>
      <c r="AF187" s="398">
        <f t="shared" si="54"/>
        <v>8769.4412917844147</v>
      </c>
      <c r="AG187" s="398">
        <f t="shared" si="55"/>
        <v>9627.6136485144743</v>
      </c>
      <c r="AH187" s="399">
        <f t="shared" si="56"/>
        <v>858.17</v>
      </c>
      <c r="AI187" s="157">
        <v>219.65</v>
      </c>
      <c r="AJ187" s="157">
        <v>1870015.78</v>
      </c>
      <c r="AK187" s="398">
        <f t="shared" si="57"/>
        <v>8513.6161165490557</v>
      </c>
      <c r="AL187" s="398">
        <f t="shared" si="58"/>
        <v>9167.4881857500568</v>
      </c>
      <c r="AM187" s="399">
        <f t="shared" si="59"/>
        <v>653.87</v>
      </c>
      <c r="AN187" s="397">
        <v>5421.19</v>
      </c>
      <c r="AO187" s="397">
        <v>22177.23</v>
      </c>
      <c r="AP187" s="46"/>
      <c r="AQ187" s="402">
        <v>0</v>
      </c>
      <c r="AR187" s="274">
        <v>1510152.53</v>
      </c>
      <c r="AS187" s="413">
        <v>455467.13</v>
      </c>
      <c r="AX187" s="2"/>
      <c r="BA187" s="342"/>
      <c r="BB187" s="342"/>
      <c r="BC187" s="342"/>
      <c r="BD187" s="386"/>
      <c r="BE187" s="386"/>
      <c r="BF187" s="386"/>
      <c r="BG187" s="386"/>
      <c r="BH187" s="386"/>
      <c r="BI187" s="386"/>
      <c r="BJ187" s="386"/>
      <c r="BK187" s="386"/>
      <c r="BL187" s="386"/>
      <c r="BM187" s="386"/>
      <c r="BN187" s="387"/>
      <c r="BO187" s="265"/>
      <c r="BP187" s="386"/>
      <c r="BQ187" s="388"/>
      <c r="BR187" s="388"/>
      <c r="BS187" s="389"/>
      <c r="BT187" s="389"/>
      <c r="BU187" s="389"/>
      <c r="BV187" s="386"/>
      <c r="BW187" s="389"/>
      <c r="BX187" s="389"/>
      <c r="BY187" s="386"/>
      <c r="BZ187" s="386"/>
      <c r="CA187" s="386"/>
      <c r="CB187" s="386"/>
      <c r="CC187" s="386"/>
      <c r="CD187" s="386"/>
      <c r="CE187" s="386"/>
      <c r="CF187" s="390"/>
      <c r="CG187" s="390"/>
      <c r="CH187" s="391"/>
      <c r="CI187" s="386"/>
      <c r="CJ187" s="386"/>
      <c r="CK187" s="390"/>
      <c r="CL187" s="390"/>
      <c r="CM187" s="391"/>
      <c r="CN187" s="389"/>
      <c r="CO187" s="389"/>
      <c r="CP187" s="135"/>
      <c r="CQ187" s="135"/>
      <c r="CR187" s="135"/>
      <c r="CS187" s="135"/>
      <c r="CT187" s="135"/>
      <c r="CU187" s="135"/>
    </row>
    <row r="188" spans="1:99">
      <c r="A188" s="342" t="s">
        <v>398</v>
      </c>
      <c r="B188" s="342" t="s">
        <v>397</v>
      </c>
      <c r="C188" s="342" t="s">
        <v>1014</v>
      </c>
      <c r="D188" s="157">
        <v>0</v>
      </c>
      <c r="E188" s="157">
        <v>0</v>
      </c>
      <c r="F188" s="157">
        <v>0</v>
      </c>
      <c r="G188" s="157">
        <v>247226.72</v>
      </c>
      <c r="H188" s="157">
        <v>38454.44</v>
      </c>
      <c r="I188" s="157">
        <v>43448.639999999999</v>
      </c>
      <c r="J188" s="157">
        <v>104897.43</v>
      </c>
      <c r="K188" s="157">
        <v>0</v>
      </c>
      <c r="L188" s="157">
        <v>0</v>
      </c>
      <c r="M188" s="157">
        <v>342668.56</v>
      </c>
      <c r="N188" s="264">
        <v>2.2100000000000002E-2</v>
      </c>
      <c r="O188" s="265">
        <v>0.20530000000000001</v>
      </c>
      <c r="P188" s="157">
        <v>0</v>
      </c>
      <c r="Q188" s="396">
        <v>0</v>
      </c>
      <c r="R188" s="396">
        <v>0</v>
      </c>
      <c r="S188" s="397">
        <v>0</v>
      </c>
      <c r="T188" s="397">
        <v>0</v>
      </c>
      <c r="U188" s="397">
        <v>0</v>
      </c>
      <c r="V188" s="157">
        <v>0</v>
      </c>
      <c r="W188" s="397">
        <v>0</v>
      </c>
      <c r="X188" s="397">
        <v>0</v>
      </c>
      <c r="Y188" s="157">
        <v>0</v>
      </c>
      <c r="Z188" s="157">
        <v>0</v>
      </c>
      <c r="AA188" s="157">
        <v>0</v>
      </c>
      <c r="AB188" s="157">
        <v>0</v>
      </c>
      <c r="AC188" s="157">
        <v>71972.009999999995</v>
      </c>
      <c r="AD188" s="157">
        <v>6.88</v>
      </c>
      <c r="AE188" s="157">
        <v>59143.1</v>
      </c>
      <c r="AF188" s="398">
        <f t="shared" si="54"/>
        <v>8596.3808139534885</v>
      </c>
      <c r="AG188" s="398">
        <f t="shared" si="55"/>
        <v>10461.047965116279</v>
      </c>
      <c r="AH188" s="399">
        <f t="shared" si="56"/>
        <v>1864.67</v>
      </c>
      <c r="AI188" s="157">
        <v>0</v>
      </c>
      <c r="AJ188" s="157">
        <v>0</v>
      </c>
      <c r="AK188" s="398">
        <f t="shared" si="57"/>
        <v>0</v>
      </c>
      <c r="AL188" s="398">
        <f t="shared" si="58"/>
        <v>0</v>
      </c>
      <c r="AM188" s="399">
        <f t="shared" si="59"/>
        <v>0</v>
      </c>
      <c r="AN188" s="397">
        <v>0</v>
      </c>
      <c r="AO188" s="397">
        <v>0</v>
      </c>
      <c r="AP188" s="46"/>
      <c r="AQ188" s="402">
        <v>14284.119999999995</v>
      </c>
      <c r="AR188" s="274">
        <v>26607.74</v>
      </c>
      <c r="AS188" s="413">
        <v>15037.67</v>
      </c>
      <c r="AX188" s="2"/>
      <c r="BA188" s="342"/>
      <c r="BB188" s="342"/>
      <c r="BC188" s="342"/>
      <c r="BD188" s="386"/>
      <c r="BE188" s="386"/>
      <c r="BF188" s="386"/>
      <c r="BG188" s="386"/>
      <c r="BH188" s="386"/>
      <c r="BI188" s="386"/>
      <c r="BJ188" s="386"/>
      <c r="BK188" s="386"/>
      <c r="BL188" s="386"/>
      <c r="BM188" s="386"/>
      <c r="BN188" s="387"/>
      <c r="BO188" s="265"/>
      <c r="BP188" s="386"/>
      <c r="BQ188" s="388"/>
      <c r="BR188" s="388"/>
      <c r="BS188" s="389"/>
      <c r="BT188" s="389"/>
      <c r="BU188" s="389"/>
      <c r="BV188" s="386"/>
      <c r="BW188" s="389"/>
      <c r="BX188" s="389"/>
      <c r="BY188" s="386"/>
      <c r="BZ188" s="386"/>
      <c r="CA188" s="386"/>
      <c r="CB188" s="386"/>
      <c r="CC188" s="386"/>
      <c r="CD188" s="386"/>
      <c r="CE188" s="386"/>
      <c r="CF188" s="390"/>
      <c r="CG188" s="390"/>
      <c r="CH188" s="391"/>
      <c r="CI188" s="386"/>
      <c r="CJ188" s="386"/>
      <c r="CK188" s="390"/>
      <c r="CL188" s="390"/>
      <c r="CM188" s="391"/>
      <c r="CN188" s="389"/>
      <c r="CO188" s="389"/>
      <c r="CP188" s="135"/>
      <c r="CQ188" s="135"/>
      <c r="CR188" s="135"/>
      <c r="CS188" s="135"/>
      <c r="CT188" s="135"/>
      <c r="CU188" s="135"/>
    </row>
    <row r="189" spans="1:99">
      <c r="A189" s="342" t="s">
        <v>400</v>
      </c>
      <c r="B189" s="342" t="s">
        <v>399</v>
      </c>
      <c r="C189" s="342" t="s">
        <v>1015</v>
      </c>
      <c r="D189" s="157">
        <v>0</v>
      </c>
      <c r="E189" s="157">
        <v>0</v>
      </c>
      <c r="F189" s="157">
        <v>0</v>
      </c>
      <c r="G189" s="157">
        <v>39020241.369999997</v>
      </c>
      <c r="H189" s="157">
        <v>6033463.9699999997</v>
      </c>
      <c r="I189" s="157">
        <v>0</v>
      </c>
      <c r="J189" s="157">
        <v>2484729.33</v>
      </c>
      <c r="K189" s="157">
        <v>4312464.17</v>
      </c>
      <c r="L189" s="157">
        <v>771812.84</v>
      </c>
      <c r="M189" s="157">
        <v>12962953.949999999</v>
      </c>
      <c r="N189" s="264">
        <v>3.5499999999999997E-2</v>
      </c>
      <c r="O189" s="265">
        <v>0.1164</v>
      </c>
      <c r="P189" s="157">
        <v>0</v>
      </c>
      <c r="Q189" s="396">
        <v>0</v>
      </c>
      <c r="R189" s="396">
        <v>0</v>
      </c>
      <c r="S189" s="397">
        <v>160231.17000000001</v>
      </c>
      <c r="T189" s="397">
        <v>0</v>
      </c>
      <c r="U189" s="397">
        <v>6347.73</v>
      </c>
      <c r="V189" s="157">
        <v>0</v>
      </c>
      <c r="W189" s="397">
        <v>0</v>
      </c>
      <c r="X189" s="397">
        <v>0</v>
      </c>
      <c r="Y189" s="157">
        <v>14534.62</v>
      </c>
      <c r="Z189" s="157">
        <v>193805.09</v>
      </c>
      <c r="AA189" s="157">
        <v>760835.2</v>
      </c>
      <c r="AB189" s="157">
        <v>2189963.09</v>
      </c>
      <c r="AC189" s="157">
        <v>10142114.76</v>
      </c>
      <c r="AD189" s="157">
        <v>975.16</v>
      </c>
      <c r="AE189" s="157">
        <v>9426103.6400000006</v>
      </c>
      <c r="AF189" s="398">
        <f t="shared" si="54"/>
        <v>9666.2123548956079</v>
      </c>
      <c r="AG189" s="398">
        <f t="shared" si="55"/>
        <v>10400.462242093605</v>
      </c>
      <c r="AH189" s="399">
        <f t="shared" si="56"/>
        <v>734.25</v>
      </c>
      <c r="AI189" s="157">
        <v>216.35</v>
      </c>
      <c r="AJ189" s="157">
        <v>2034337.55</v>
      </c>
      <c r="AK189" s="398">
        <f t="shared" si="57"/>
        <v>9402.9930667899243</v>
      </c>
      <c r="AL189" s="398">
        <f t="shared" si="58"/>
        <v>10122.316108158077</v>
      </c>
      <c r="AM189" s="399">
        <f t="shared" si="59"/>
        <v>719.32</v>
      </c>
      <c r="AN189" s="397">
        <v>0</v>
      </c>
      <c r="AO189" s="397">
        <v>0</v>
      </c>
      <c r="AP189" s="46"/>
      <c r="AQ189" s="402">
        <v>0</v>
      </c>
      <c r="AR189" s="274">
        <v>2511815.15</v>
      </c>
      <c r="AS189" s="413">
        <v>691956.02</v>
      </c>
      <c r="AX189" s="2"/>
      <c r="BA189" s="342"/>
      <c r="BB189" s="342"/>
      <c r="BC189" s="342"/>
      <c r="BD189" s="386"/>
      <c r="BE189" s="386"/>
      <c r="BF189" s="386"/>
      <c r="BG189" s="386"/>
      <c r="BH189" s="386"/>
      <c r="BI189" s="386"/>
      <c r="BJ189" s="386"/>
      <c r="BK189" s="386"/>
      <c r="BL189" s="386"/>
      <c r="BM189" s="386"/>
      <c r="BN189" s="387"/>
      <c r="BO189" s="265"/>
      <c r="BP189" s="386"/>
      <c r="BQ189" s="388"/>
      <c r="BR189" s="388"/>
      <c r="BS189" s="389"/>
      <c r="BT189" s="389"/>
      <c r="BU189" s="389"/>
      <c r="BV189" s="386"/>
      <c r="BW189" s="389"/>
      <c r="BX189" s="389"/>
      <c r="BY189" s="386"/>
      <c r="BZ189" s="386"/>
      <c r="CA189" s="386"/>
      <c r="CB189" s="386"/>
      <c r="CC189" s="386"/>
      <c r="CD189" s="386"/>
      <c r="CE189" s="386"/>
      <c r="CF189" s="390"/>
      <c r="CG189" s="390"/>
      <c r="CH189" s="391"/>
      <c r="CI189" s="386"/>
      <c r="CJ189" s="386"/>
      <c r="CK189" s="390"/>
      <c r="CL189" s="390"/>
      <c r="CM189" s="391"/>
      <c r="CN189" s="389"/>
      <c r="CO189" s="389"/>
      <c r="CP189" s="135"/>
      <c r="CQ189" s="135"/>
      <c r="CR189" s="135"/>
      <c r="CS189" s="135"/>
      <c r="CT189" s="135"/>
      <c r="CU189" s="135"/>
    </row>
    <row r="190" spans="1:99">
      <c r="A190" s="342" t="s">
        <v>402</v>
      </c>
      <c r="B190" s="342" t="s">
        <v>401</v>
      </c>
      <c r="C190" s="342" t="s">
        <v>1016</v>
      </c>
      <c r="D190" s="157">
        <v>0</v>
      </c>
      <c r="E190" s="157">
        <v>83903.24</v>
      </c>
      <c r="F190" s="157">
        <v>0</v>
      </c>
      <c r="G190" s="157">
        <v>11820129.24</v>
      </c>
      <c r="H190" s="157">
        <v>2631898.9900000002</v>
      </c>
      <c r="I190" s="157">
        <v>288634.68</v>
      </c>
      <c r="J190" s="157">
        <v>1525967.14</v>
      </c>
      <c r="K190" s="157">
        <v>425261.33</v>
      </c>
      <c r="L190" s="157">
        <v>181483.05</v>
      </c>
      <c r="M190" s="157">
        <v>3228608.3</v>
      </c>
      <c r="N190" s="264">
        <v>3.95E-2</v>
      </c>
      <c r="O190" s="265">
        <v>0.14560000000000001</v>
      </c>
      <c r="P190" s="157">
        <v>0</v>
      </c>
      <c r="Q190" s="396">
        <v>0</v>
      </c>
      <c r="R190" s="396">
        <v>0</v>
      </c>
      <c r="S190" s="397">
        <v>0</v>
      </c>
      <c r="T190" s="397">
        <v>0</v>
      </c>
      <c r="U190" s="397">
        <v>0</v>
      </c>
      <c r="V190" s="157">
        <v>0</v>
      </c>
      <c r="W190" s="397">
        <v>0</v>
      </c>
      <c r="X190" s="397">
        <v>0</v>
      </c>
      <c r="Y190" s="157">
        <v>0</v>
      </c>
      <c r="Z190" s="157">
        <v>38531.97</v>
      </c>
      <c r="AA190" s="157">
        <v>298134.90000000002</v>
      </c>
      <c r="AB190" s="157">
        <v>363102.8</v>
      </c>
      <c r="AC190" s="157">
        <v>3849776.13</v>
      </c>
      <c r="AD190" s="157">
        <v>390.43</v>
      </c>
      <c r="AE190" s="157">
        <v>3633922.57</v>
      </c>
      <c r="AF190" s="398">
        <f t="shared" si="54"/>
        <v>9307.4880772481611</v>
      </c>
      <c r="AG190" s="398">
        <f t="shared" si="55"/>
        <v>9860.3491791102115</v>
      </c>
      <c r="AH190" s="399">
        <f t="shared" si="56"/>
        <v>552.86</v>
      </c>
      <c r="AI190" s="157">
        <v>37.26</v>
      </c>
      <c r="AJ190" s="157">
        <v>337261.62</v>
      </c>
      <c r="AK190" s="398">
        <f t="shared" si="57"/>
        <v>9051.5732689210945</v>
      </c>
      <c r="AL190" s="398">
        <f t="shared" si="58"/>
        <v>9745.110037573806</v>
      </c>
      <c r="AM190" s="399">
        <f t="shared" si="59"/>
        <v>693.54</v>
      </c>
      <c r="AN190" s="397">
        <v>0</v>
      </c>
      <c r="AO190" s="397">
        <v>0</v>
      </c>
      <c r="AP190" s="46"/>
      <c r="AQ190" s="402">
        <v>0</v>
      </c>
      <c r="AR190" s="274">
        <v>606757.06999999995</v>
      </c>
      <c r="AS190" s="413">
        <v>188401.65000000002</v>
      </c>
      <c r="AX190" s="2"/>
      <c r="BA190" s="342"/>
      <c r="BB190" s="342"/>
      <c r="BC190" s="342"/>
      <c r="BD190" s="386"/>
      <c r="BE190" s="386"/>
      <c r="BF190" s="386"/>
      <c r="BG190" s="386"/>
      <c r="BH190" s="386"/>
      <c r="BI190" s="386"/>
      <c r="BJ190" s="386"/>
      <c r="BK190" s="386"/>
      <c r="BL190" s="386"/>
      <c r="BM190" s="386"/>
      <c r="BN190" s="387"/>
      <c r="BO190" s="265"/>
      <c r="BP190" s="386"/>
      <c r="BQ190" s="388"/>
      <c r="BR190" s="388"/>
      <c r="BS190" s="389"/>
      <c r="BT190" s="389"/>
      <c r="BU190" s="389"/>
      <c r="BV190" s="386"/>
      <c r="BW190" s="389"/>
      <c r="BX190" s="389"/>
      <c r="BY190" s="386"/>
      <c r="BZ190" s="386"/>
      <c r="CA190" s="386"/>
      <c r="CB190" s="386"/>
      <c r="CC190" s="386"/>
      <c r="CD190" s="386"/>
      <c r="CE190" s="386"/>
      <c r="CF190" s="390"/>
      <c r="CG190" s="390"/>
      <c r="CH190" s="391"/>
      <c r="CI190" s="386"/>
      <c r="CJ190" s="386"/>
      <c r="CK190" s="390"/>
      <c r="CL190" s="390"/>
      <c r="CM190" s="391"/>
      <c r="CN190" s="389"/>
      <c r="CO190" s="389"/>
      <c r="CP190" s="135"/>
      <c r="CQ190" s="135"/>
      <c r="CR190" s="135"/>
      <c r="CS190" s="135"/>
      <c r="CT190" s="135"/>
      <c r="CU190" s="135"/>
    </row>
    <row r="191" spans="1:99">
      <c r="A191" s="342" t="s">
        <v>404</v>
      </c>
      <c r="B191" s="342" t="s">
        <v>403</v>
      </c>
      <c r="C191" s="342" t="s">
        <v>1017</v>
      </c>
      <c r="D191" s="157">
        <v>0</v>
      </c>
      <c r="E191" s="157">
        <v>0</v>
      </c>
      <c r="F191" s="157">
        <v>0</v>
      </c>
      <c r="G191" s="157">
        <v>194414.57</v>
      </c>
      <c r="H191" s="157">
        <v>42234.04</v>
      </c>
      <c r="I191" s="157">
        <v>0</v>
      </c>
      <c r="J191" s="157">
        <v>39722.03</v>
      </c>
      <c r="K191" s="157">
        <v>0</v>
      </c>
      <c r="L191" s="157">
        <v>4389.7700000000004</v>
      </c>
      <c r="M191" s="157">
        <v>343443.56</v>
      </c>
      <c r="N191" s="264">
        <v>3.8100000000000002E-2</v>
      </c>
      <c r="O191" s="265">
        <v>0.27089999999999997</v>
      </c>
      <c r="P191" s="157">
        <v>0</v>
      </c>
      <c r="Q191" s="396">
        <v>0</v>
      </c>
      <c r="R191" s="396">
        <v>0</v>
      </c>
      <c r="S191" s="397">
        <v>0</v>
      </c>
      <c r="T191" s="397">
        <v>0</v>
      </c>
      <c r="U191" s="397">
        <v>0</v>
      </c>
      <c r="V191" s="157">
        <v>0</v>
      </c>
      <c r="W191" s="397">
        <v>0</v>
      </c>
      <c r="X191" s="397">
        <v>0</v>
      </c>
      <c r="Y191" s="157">
        <v>0</v>
      </c>
      <c r="Z191" s="157">
        <v>0</v>
      </c>
      <c r="AA191" s="157">
        <v>0</v>
      </c>
      <c r="AB191" s="157">
        <v>6074.63</v>
      </c>
      <c r="AC191" s="157">
        <v>56275.35</v>
      </c>
      <c r="AD191" s="157">
        <v>6.09</v>
      </c>
      <c r="AE191" s="157">
        <v>53376.33</v>
      </c>
      <c r="AF191" s="398">
        <f t="shared" si="54"/>
        <v>8764.5862068965525</v>
      </c>
      <c r="AG191" s="398">
        <f t="shared" si="55"/>
        <v>9240.6157635467971</v>
      </c>
      <c r="AH191" s="399">
        <f t="shared" si="56"/>
        <v>476.03</v>
      </c>
      <c r="AI191" s="157">
        <v>0.66</v>
      </c>
      <c r="AJ191" s="157">
        <v>5700.97</v>
      </c>
      <c r="AK191" s="398">
        <f t="shared" si="57"/>
        <v>8637.8333333333339</v>
      </c>
      <c r="AL191" s="398">
        <f t="shared" si="58"/>
        <v>9203.984848484848</v>
      </c>
      <c r="AM191" s="399">
        <f t="shared" si="59"/>
        <v>566.15</v>
      </c>
      <c r="AN191" s="397">
        <v>0</v>
      </c>
      <c r="AO191" s="397">
        <v>0</v>
      </c>
      <c r="AP191" s="46"/>
      <c r="AQ191" s="402">
        <v>0</v>
      </c>
      <c r="AR191" s="274">
        <v>25724.799999999996</v>
      </c>
      <c r="AS191" s="413"/>
      <c r="AX191" s="2"/>
      <c r="BA191" s="342"/>
      <c r="BB191" s="342"/>
      <c r="BC191" s="342"/>
      <c r="BD191" s="386"/>
      <c r="BE191" s="386"/>
      <c r="BF191" s="386"/>
      <c r="BG191" s="386"/>
      <c r="BH191" s="386"/>
      <c r="BI191" s="386"/>
      <c r="BJ191" s="386"/>
      <c r="BK191" s="386"/>
      <c r="BL191" s="386"/>
      <c r="BM191" s="386"/>
      <c r="BN191" s="387"/>
      <c r="BO191" s="265"/>
      <c r="BP191" s="386"/>
      <c r="BQ191" s="388"/>
      <c r="BR191" s="388"/>
      <c r="BS191" s="389"/>
      <c r="BT191" s="389"/>
      <c r="BU191" s="389"/>
      <c r="BV191" s="386"/>
      <c r="BW191" s="389"/>
      <c r="BX191" s="389"/>
      <c r="BY191" s="386"/>
      <c r="BZ191" s="386"/>
      <c r="CA191" s="386"/>
      <c r="CB191" s="386"/>
      <c r="CC191" s="386"/>
      <c r="CD191" s="386"/>
      <c r="CE191" s="386"/>
      <c r="CF191" s="390"/>
      <c r="CG191" s="390"/>
      <c r="CH191" s="391"/>
      <c r="CI191" s="386"/>
      <c r="CJ191" s="386"/>
      <c r="CK191" s="390"/>
      <c r="CL191" s="390"/>
      <c r="CM191" s="391"/>
      <c r="CN191" s="389"/>
      <c r="CO191" s="389"/>
      <c r="CP191" s="135"/>
      <c r="CQ191" s="135"/>
      <c r="CR191" s="135"/>
      <c r="CS191" s="135"/>
      <c r="CT191" s="135"/>
      <c r="CU191" s="135"/>
    </row>
    <row r="192" spans="1:99">
      <c r="A192" s="342" t="s">
        <v>406</v>
      </c>
      <c r="B192" s="342" t="s">
        <v>405</v>
      </c>
      <c r="C192" s="342" t="s">
        <v>1018</v>
      </c>
      <c r="D192" s="157">
        <v>0</v>
      </c>
      <c r="E192" s="157">
        <v>0</v>
      </c>
      <c r="F192" s="157">
        <v>3359.06</v>
      </c>
      <c r="G192" s="157">
        <v>529589.82999999996</v>
      </c>
      <c r="H192" s="157">
        <v>67824.320000000007</v>
      </c>
      <c r="I192" s="157">
        <v>89276.6</v>
      </c>
      <c r="J192" s="157">
        <v>160449.62</v>
      </c>
      <c r="K192" s="157">
        <v>0</v>
      </c>
      <c r="L192" s="157">
        <v>9931.11</v>
      </c>
      <c r="M192" s="157">
        <v>258215.39</v>
      </c>
      <c r="N192" s="264">
        <v>0.23069999999999999</v>
      </c>
      <c r="O192" s="265">
        <v>0.36530000000000001</v>
      </c>
      <c r="P192" s="157">
        <v>0</v>
      </c>
      <c r="Q192" s="396">
        <v>0</v>
      </c>
      <c r="R192" s="396">
        <v>0</v>
      </c>
      <c r="S192" s="397">
        <v>0</v>
      </c>
      <c r="T192" s="397">
        <v>0</v>
      </c>
      <c r="U192" s="397">
        <v>0</v>
      </c>
      <c r="V192" s="157">
        <v>0</v>
      </c>
      <c r="W192" s="397">
        <v>0</v>
      </c>
      <c r="X192" s="397">
        <v>0</v>
      </c>
      <c r="Y192" s="157">
        <v>349.61</v>
      </c>
      <c r="Z192" s="157">
        <v>7707.13</v>
      </c>
      <c r="AA192" s="157">
        <v>0</v>
      </c>
      <c r="AB192" s="157">
        <v>0</v>
      </c>
      <c r="AC192" s="157">
        <v>174399.69</v>
      </c>
      <c r="AD192" s="157">
        <v>19.170000000000002</v>
      </c>
      <c r="AE192" s="157">
        <v>164589.4</v>
      </c>
      <c r="AF192" s="398">
        <f t="shared" si="54"/>
        <v>8585.7798643714123</v>
      </c>
      <c r="AG192" s="398">
        <f t="shared" si="55"/>
        <v>9097.5320813771505</v>
      </c>
      <c r="AH192" s="399">
        <f t="shared" si="56"/>
        <v>511.75</v>
      </c>
      <c r="AI192" s="157">
        <v>0</v>
      </c>
      <c r="AJ192" s="157">
        <v>0</v>
      </c>
      <c r="AK192" s="398">
        <f t="shared" si="57"/>
        <v>0</v>
      </c>
      <c r="AL192" s="398">
        <f t="shared" si="58"/>
        <v>0</v>
      </c>
      <c r="AM192" s="399">
        <f t="shared" si="59"/>
        <v>0</v>
      </c>
      <c r="AN192" s="397">
        <v>2159.29</v>
      </c>
      <c r="AO192" s="397">
        <v>0</v>
      </c>
      <c r="AP192" s="46"/>
      <c r="AQ192" s="402">
        <v>9893.86</v>
      </c>
      <c r="AR192" s="274">
        <v>41202.979999999996</v>
      </c>
      <c r="AS192" s="413">
        <v>21442.28</v>
      </c>
      <c r="AX192" s="2"/>
      <c r="BA192" s="342"/>
      <c r="BB192" s="342"/>
      <c r="BC192" s="342"/>
      <c r="BD192" s="386"/>
      <c r="BE192" s="386"/>
      <c r="BF192" s="386"/>
      <c r="BG192" s="386"/>
      <c r="BH192" s="386"/>
      <c r="BI192" s="386"/>
      <c r="BJ192" s="386"/>
      <c r="BK192" s="386"/>
      <c r="BL192" s="386"/>
      <c r="BM192" s="386"/>
      <c r="BN192" s="387"/>
      <c r="BO192" s="265"/>
      <c r="BP192" s="386"/>
      <c r="BQ192" s="388"/>
      <c r="BR192" s="388"/>
      <c r="BS192" s="389"/>
      <c r="BT192" s="389"/>
      <c r="BU192" s="389"/>
      <c r="BV192" s="386"/>
      <c r="BW192" s="389"/>
      <c r="BX192" s="389"/>
      <c r="BY192" s="386"/>
      <c r="BZ192" s="386"/>
      <c r="CA192" s="386"/>
      <c r="CB192" s="386"/>
      <c r="CC192" s="386"/>
      <c r="CD192" s="386"/>
      <c r="CE192" s="386"/>
      <c r="CF192" s="390"/>
      <c r="CG192" s="390"/>
      <c r="CH192" s="391"/>
      <c r="CI192" s="386"/>
      <c r="CJ192" s="386"/>
      <c r="CK192" s="390"/>
      <c r="CL192" s="390"/>
      <c r="CM192" s="391"/>
      <c r="CN192" s="389"/>
      <c r="CO192" s="389"/>
      <c r="CP192" s="135"/>
      <c r="CQ192" s="135"/>
      <c r="CR192" s="135"/>
      <c r="CS192" s="135"/>
      <c r="CT192" s="135"/>
      <c r="CU192" s="135"/>
    </row>
    <row r="193" spans="1:99">
      <c r="A193" s="342" t="s">
        <v>408</v>
      </c>
      <c r="B193" s="342" t="s">
        <v>407</v>
      </c>
      <c r="C193" s="342" t="s">
        <v>1019</v>
      </c>
      <c r="D193" s="157">
        <v>0</v>
      </c>
      <c r="E193" s="157">
        <v>0</v>
      </c>
      <c r="F193" s="157">
        <v>119.8</v>
      </c>
      <c r="G193" s="157">
        <v>0</v>
      </c>
      <c r="H193" s="157">
        <v>0</v>
      </c>
      <c r="I193" s="157">
        <v>308692.25</v>
      </c>
      <c r="J193" s="157">
        <v>424969.07</v>
      </c>
      <c r="K193" s="157">
        <v>76635.740000000005</v>
      </c>
      <c r="L193" s="157">
        <v>30207.15</v>
      </c>
      <c r="M193" s="157">
        <v>1110422.78</v>
      </c>
      <c r="N193" s="264">
        <v>7.1199999999999999E-2</v>
      </c>
      <c r="O193" s="265">
        <v>0.21360000000000001</v>
      </c>
      <c r="P193" s="157">
        <v>0</v>
      </c>
      <c r="Q193" s="396">
        <v>0</v>
      </c>
      <c r="R193" s="396">
        <v>0</v>
      </c>
      <c r="S193" s="397">
        <v>0</v>
      </c>
      <c r="T193" s="397">
        <v>0</v>
      </c>
      <c r="U193" s="397">
        <v>0</v>
      </c>
      <c r="V193" s="157">
        <v>0</v>
      </c>
      <c r="W193" s="397">
        <v>0</v>
      </c>
      <c r="X193" s="397">
        <v>0</v>
      </c>
      <c r="Y193" s="157">
        <v>1172.8699999999999</v>
      </c>
      <c r="Z193" s="157">
        <v>0</v>
      </c>
      <c r="AA193" s="157">
        <v>68638.86</v>
      </c>
      <c r="AB193" s="157">
        <v>338.81</v>
      </c>
      <c r="AC193" s="157">
        <v>931093.6</v>
      </c>
      <c r="AD193" s="157">
        <v>103.12</v>
      </c>
      <c r="AE193" s="157">
        <v>885880.14</v>
      </c>
      <c r="AF193" s="398">
        <f t="shared" si="54"/>
        <v>8590.7693948797514</v>
      </c>
      <c r="AG193" s="398">
        <f t="shared" si="55"/>
        <v>9029.2242048099288</v>
      </c>
      <c r="AH193" s="399">
        <f t="shared" si="56"/>
        <v>438.45</v>
      </c>
      <c r="AI193" s="157">
        <v>0.04</v>
      </c>
      <c r="AJ193" s="157">
        <v>347.28</v>
      </c>
      <c r="AK193" s="398">
        <f t="shared" si="57"/>
        <v>8682</v>
      </c>
      <c r="AL193" s="398">
        <f t="shared" si="58"/>
        <v>8470.25</v>
      </c>
      <c r="AM193" s="399">
        <f t="shared" si="59"/>
        <v>-211.75</v>
      </c>
      <c r="AN193" s="397">
        <v>12678.62</v>
      </c>
      <c r="AO193" s="397">
        <v>0</v>
      </c>
      <c r="AP193" s="46"/>
      <c r="AQ193" s="402">
        <v>19229.489999999991</v>
      </c>
      <c r="AR193" s="274">
        <v>91625.420000000013</v>
      </c>
      <c r="AS193" s="413">
        <v>42695.93</v>
      </c>
      <c r="AX193" s="2"/>
      <c r="BA193" s="342"/>
      <c r="BB193" s="342"/>
      <c r="BC193" s="342"/>
      <c r="BD193" s="386"/>
      <c r="BE193" s="386"/>
      <c r="BF193" s="386"/>
      <c r="BG193" s="386"/>
      <c r="BH193" s="386"/>
      <c r="BI193" s="386"/>
      <c r="BJ193" s="386"/>
      <c r="BK193" s="386"/>
      <c r="BL193" s="386"/>
      <c r="BM193" s="386"/>
      <c r="BN193" s="387"/>
      <c r="BO193" s="265"/>
      <c r="BP193" s="386"/>
      <c r="BQ193" s="388"/>
      <c r="BR193" s="388"/>
      <c r="BS193" s="389"/>
      <c r="BT193" s="389"/>
      <c r="BU193" s="389"/>
      <c r="BV193" s="386"/>
      <c r="BW193" s="389"/>
      <c r="BX193" s="389"/>
      <c r="BY193" s="386"/>
      <c r="BZ193" s="386"/>
      <c r="CA193" s="386"/>
      <c r="CB193" s="386"/>
      <c r="CC193" s="386"/>
      <c r="CD193" s="386"/>
      <c r="CE193" s="386"/>
      <c r="CF193" s="390"/>
      <c r="CG193" s="390"/>
      <c r="CH193" s="391"/>
      <c r="CI193" s="386"/>
      <c r="CJ193" s="386"/>
      <c r="CK193" s="390"/>
      <c r="CL193" s="390"/>
      <c r="CM193" s="391"/>
      <c r="CN193" s="389"/>
      <c r="CO193" s="389"/>
      <c r="CP193" s="135"/>
      <c r="CQ193" s="135"/>
      <c r="CR193" s="135"/>
      <c r="CS193" s="135"/>
      <c r="CT193" s="135"/>
      <c r="CU193" s="135"/>
    </row>
    <row r="194" spans="1:99">
      <c r="A194" s="342" t="s">
        <v>410</v>
      </c>
      <c r="B194" s="342" t="s">
        <v>409</v>
      </c>
      <c r="C194" s="342" t="s">
        <v>1020</v>
      </c>
      <c r="D194" s="157">
        <v>0</v>
      </c>
      <c r="E194" s="157">
        <v>4592.55</v>
      </c>
      <c r="F194" s="157">
        <v>17170.009999999998</v>
      </c>
      <c r="G194" s="157">
        <v>665212.27</v>
      </c>
      <c r="H194" s="157">
        <v>66175.72</v>
      </c>
      <c r="I194" s="157">
        <v>170173.84</v>
      </c>
      <c r="J194" s="157">
        <v>273209.19</v>
      </c>
      <c r="K194" s="157">
        <v>98865.19</v>
      </c>
      <c r="L194" s="157">
        <v>16862.21</v>
      </c>
      <c r="M194" s="157">
        <v>453973.01</v>
      </c>
      <c r="N194" s="264">
        <v>2.5899999999999999E-2</v>
      </c>
      <c r="O194" s="265">
        <v>0.185</v>
      </c>
      <c r="P194" s="157">
        <v>0</v>
      </c>
      <c r="Q194" s="396">
        <v>0</v>
      </c>
      <c r="R194" s="396">
        <v>0</v>
      </c>
      <c r="S194" s="397">
        <v>0</v>
      </c>
      <c r="T194" s="397">
        <v>0</v>
      </c>
      <c r="U194" s="397">
        <v>0</v>
      </c>
      <c r="V194" s="157">
        <v>0</v>
      </c>
      <c r="W194" s="397">
        <v>0</v>
      </c>
      <c r="X194" s="397">
        <v>0</v>
      </c>
      <c r="Y194" s="157">
        <v>638.30999999999995</v>
      </c>
      <c r="Z194" s="157">
        <v>11831.63</v>
      </c>
      <c r="AA194" s="157">
        <v>24952.02</v>
      </c>
      <c r="AB194" s="157">
        <v>74492.34</v>
      </c>
      <c r="AC194" s="157">
        <v>141862.42000000001</v>
      </c>
      <c r="AD194" s="157">
        <v>15.24</v>
      </c>
      <c r="AE194" s="157">
        <v>130894.29</v>
      </c>
      <c r="AF194" s="398">
        <f t="shared" si="54"/>
        <v>8588.8641732283468</v>
      </c>
      <c r="AG194" s="398">
        <f t="shared" si="55"/>
        <v>9308.5577427821536</v>
      </c>
      <c r="AH194" s="399">
        <f t="shared" si="56"/>
        <v>719.69</v>
      </c>
      <c r="AI194" s="157">
        <v>8.2899999999999991</v>
      </c>
      <c r="AJ194" s="157">
        <v>69097.69</v>
      </c>
      <c r="AK194" s="398">
        <f t="shared" si="57"/>
        <v>8335.0651387213529</v>
      </c>
      <c r="AL194" s="398">
        <f t="shared" si="58"/>
        <v>8985.8069963811831</v>
      </c>
      <c r="AM194" s="399">
        <f t="shared" si="59"/>
        <v>650.74</v>
      </c>
      <c r="AN194" s="397">
        <v>13488</v>
      </c>
      <c r="AO194" s="397">
        <v>0</v>
      </c>
      <c r="AP194" s="46"/>
      <c r="AQ194" s="402">
        <v>46791.010000000024</v>
      </c>
      <c r="AR194" s="274">
        <v>59837.16</v>
      </c>
      <c r="AS194" s="413">
        <v>26478.690000000002</v>
      </c>
      <c r="AX194" s="2"/>
      <c r="BA194" s="342"/>
      <c r="BB194" s="342"/>
      <c r="BC194" s="342"/>
      <c r="BD194" s="386"/>
      <c r="BE194" s="386"/>
      <c r="BF194" s="386"/>
      <c r="BG194" s="386"/>
      <c r="BH194" s="386"/>
      <c r="BI194" s="386"/>
      <c r="BJ194" s="386"/>
      <c r="BK194" s="386"/>
      <c r="BL194" s="386"/>
      <c r="BM194" s="386"/>
      <c r="BN194" s="387"/>
      <c r="BO194" s="265"/>
      <c r="BP194" s="386"/>
      <c r="BQ194" s="388"/>
      <c r="BR194" s="388"/>
      <c r="BS194" s="389"/>
      <c r="BT194" s="389"/>
      <c r="BU194" s="389"/>
      <c r="BV194" s="386"/>
      <c r="BW194" s="389"/>
      <c r="BX194" s="389"/>
      <c r="BY194" s="386"/>
      <c r="BZ194" s="386"/>
      <c r="CA194" s="386"/>
      <c r="CB194" s="386"/>
      <c r="CC194" s="386"/>
      <c r="CD194" s="386"/>
      <c r="CE194" s="386"/>
      <c r="CF194" s="390"/>
      <c r="CG194" s="390"/>
      <c r="CH194" s="391"/>
      <c r="CI194" s="386"/>
      <c r="CJ194" s="386"/>
      <c r="CK194" s="390"/>
      <c r="CL194" s="390"/>
      <c r="CM194" s="391"/>
      <c r="CN194" s="389"/>
      <c r="CO194" s="389"/>
      <c r="CP194" s="135"/>
      <c r="CQ194" s="135"/>
      <c r="CR194" s="135"/>
      <c r="CS194" s="135"/>
      <c r="CT194" s="135"/>
      <c r="CU194" s="135"/>
    </row>
    <row r="195" spans="1:99">
      <c r="A195" s="342" t="s">
        <v>412</v>
      </c>
      <c r="B195" s="342" t="s">
        <v>411</v>
      </c>
      <c r="C195" s="342" t="s">
        <v>1021</v>
      </c>
      <c r="D195" s="157">
        <v>0</v>
      </c>
      <c r="E195" s="157">
        <v>0</v>
      </c>
      <c r="F195" s="157">
        <v>0</v>
      </c>
      <c r="G195" s="157">
        <v>308412.81</v>
      </c>
      <c r="H195" s="157">
        <v>60635.06</v>
      </c>
      <c r="I195" s="157">
        <v>0</v>
      </c>
      <c r="J195" s="157">
        <v>62912.07</v>
      </c>
      <c r="K195" s="157">
        <v>0</v>
      </c>
      <c r="L195" s="157">
        <v>6807.24</v>
      </c>
      <c r="M195" s="157">
        <v>373004.1</v>
      </c>
      <c r="N195" s="264">
        <v>2.6100000000000002E-2</v>
      </c>
      <c r="O195" s="265">
        <v>0.2112</v>
      </c>
      <c r="P195" s="157">
        <v>0</v>
      </c>
      <c r="Q195" s="396">
        <v>0</v>
      </c>
      <c r="R195" s="396">
        <v>0</v>
      </c>
      <c r="S195" s="397">
        <v>0</v>
      </c>
      <c r="T195" s="397">
        <v>0</v>
      </c>
      <c r="U195" s="397">
        <v>0</v>
      </c>
      <c r="V195" s="157">
        <v>0</v>
      </c>
      <c r="W195" s="397">
        <v>0</v>
      </c>
      <c r="X195" s="397">
        <v>0</v>
      </c>
      <c r="Y195" s="157">
        <v>0</v>
      </c>
      <c r="Z195" s="157">
        <v>0</v>
      </c>
      <c r="AA195" s="157">
        <v>0</v>
      </c>
      <c r="AB195" s="157">
        <v>0</v>
      </c>
      <c r="AC195" s="157">
        <v>131246.88</v>
      </c>
      <c r="AD195" s="157">
        <v>14.01</v>
      </c>
      <c r="AE195" s="157">
        <v>125353.3</v>
      </c>
      <c r="AF195" s="398">
        <f t="shared" si="54"/>
        <v>8947.4161313347613</v>
      </c>
      <c r="AG195" s="398">
        <f t="shared" si="55"/>
        <v>9368.0856531049249</v>
      </c>
      <c r="AH195" s="399">
        <f t="shared" si="56"/>
        <v>420.67</v>
      </c>
      <c r="AI195" s="157">
        <v>0</v>
      </c>
      <c r="AJ195" s="157">
        <v>0</v>
      </c>
      <c r="AK195" s="398">
        <f t="shared" si="57"/>
        <v>0</v>
      </c>
      <c r="AL195" s="398">
        <f t="shared" si="58"/>
        <v>0</v>
      </c>
      <c r="AM195" s="399">
        <f t="shared" si="59"/>
        <v>0</v>
      </c>
      <c r="AN195" s="397">
        <v>0</v>
      </c>
      <c r="AO195" s="397">
        <v>0</v>
      </c>
      <c r="AP195" s="46"/>
      <c r="AQ195" s="402">
        <v>0</v>
      </c>
      <c r="AR195" s="274">
        <v>31740.54</v>
      </c>
      <c r="AS195" s="413">
        <v>16969.769999999997</v>
      </c>
      <c r="AX195" s="2"/>
      <c r="BA195" s="342"/>
      <c r="BB195" s="342"/>
      <c r="BC195" s="342"/>
      <c r="BD195" s="386"/>
      <c r="BE195" s="386"/>
      <c r="BF195" s="386"/>
      <c r="BG195" s="386"/>
      <c r="BH195" s="386"/>
      <c r="BI195" s="386"/>
      <c r="BJ195" s="386"/>
      <c r="BK195" s="386"/>
      <c r="BL195" s="386"/>
      <c r="BM195" s="386"/>
      <c r="BN195" s="387"/>
      <c r="BO195" s="265"/>
      <c r="BP195" s="386"/>
      <c r="BQ195" s="388"/>
      <c r="BR195" s="388"/>
      <c r="BS195" s="389"/>
      <c r="BT195" s="389"/>
      <c r="BU195" s="389"/>
      <c r="BV195" s="386"/>
      <c r="BW195" s="389"/>
      <c r="BX195" s="389"/>
      <c r="BY195" s="386"/>
      <c r="BZ195" s="386"/>
      <c r="CA195" s="386"/>
      <c r="CB195" s="386"/>
      <c r="CC195" s="386"/>
      <c r="CD195" s="386"/>
      <c r="CE195" s="386"/>
      <c r="CF195" s="390"/>
      <c r="CG195" s="390"/>
      <c r="CH195" s="391"/>
      <c r="CI195" s="386"/>
      <c r="CJ195" s="386"/>
      <c r="CK195" s="390"/>
      <c r="CL195" s="390"/>
      <c r="CM195" s="391"/>
      <c r="CN195" s="389"/>
      <c r="CO195" s="389"/>
      <c r="CP195" s="135"/>
      <c r="CQ195" s="135"/>
      <c r="CR195" s="135"/>
      <c r="CS195" s="135"/>
      <c r="CT195" s="135"/>
      <c r="CU195" s="135"/>
    </row>
    <row r="196" spans="1:99">
      <c r="A196" s="342" t="s">
        <v>414</v>
      </c>
      <c r="B196" s="342" t="s">
        <v>413</v>
      </c>
      <c r="C196" s="342" t="s">
        <v>1022</v>
      </c>
      <c r="D196" s="157">
        <v>0</v>
      </c>
      <c r="E196" s="157">
        <v>31937.23</v>
      </c>
      <c r="F196" s="157">
        <v>23095.19</v>
      </c>
      <c r="G196" s="157">
        <v>1447125.76</v>
      </c>
      <c r="H196" s="157">
        <v>200724.9</v>
      </c>
      <c r="I196" s="157">
        <v>327412.34000000003</v>
      </c>
      <c r="J196" s="157">
        <v>500219.26</v>
      </c>
      <c r="K196" s="157">
        <v>152224.13</v>
      </c>
      <c r="L196" s="157">
        <v>32655.59</v>
      </c>
      <c r="M196" s="157">
        <v>710520.5</v>
      </c>
      <c r="N196" s="264">
        <v>2.9899999999999999E-2</v>
      </c>
      <c r="O196" s="265">
        <v>0.1961</v>
      </c>
      <c r="P196" s="157">
        <v>0</v>
      </c>
      <c r="Q196" s="396">
        <v>0</v>
      </c>
      <c r="R196" s="396">
        <v>0</v>
      </c>
      <c r="S196" s="397">
        <v>160279.06</v>
      </c>
      <c r="T196" s="397">
        <v>14619.576000000001</v>
      </c>
      <c r="U196" s="397">
        <v>5749.77</v>
      </c>
      <c r="V196" s="157">
        <v>0</v>
      </c>
      <c r="W196" s="397">
        <v>0</v>
      </c>
      <c r="X196" s="397">
        <v>0</v>
      </c>
      <c r="Y196" s="157">
        <v>0</v>
      </c>
      <c r="Z196" s="157">
        <v>5774.89</v>
      </c>
      <c r="AA196" s="157">
        <v>57822.76</v>
      </c>
      <c r="AB196" s="157">
        <v>61764.06</v>
      </c>
      <c r="AC196" s="157">
        <v>736788.42</v>
      </c>
      <c r="AD196" s="157">
        <v>79.73</v>
      </c>
      <c r="AE196" s="157">
        <v>698742.13</v>
      </c>
      <c r="AF196" s="398">
        <f t="shared" si="54"/>
        <v>8763.8546343910693</v>
      </c>
      <c r="AG196" s="398">
        <f t="shared" si="55"/>
        <v>9241.0437727329736</v>
      </c>
      <c r="AH196" s="399">
        <f t="shared" si="56"/>
        <v>477.19</v>
      </c>
      <c r="AI196" s="157">
        <v>6.72</v>
      </c>
      <c r="AJ196" s="157">
        <v>57115.24</v>
      </c>
      <c r="AK196" s="398">
        <f t="shared" si="57"/>
        <v>8499.2916666666661</v>
      </c>
      <c r="AL196" s="398">
        <f t="shared" si="58"/>
        <v>9191.0803571428569</v>
      </c>
      <c r="AM196" s="399">
        <f t="shared" si="59"/>
        <v>691.79</v>
      </c>
      <c r="AN196" s="397">
        <v>0</v>
      </c>
      <c r="AO196" s="397">
        <v>0</v>
      </c>
      <c r="AP196" s="46"/>
      <c r="AQ196" s="402">
        <v>34575.049999999974</v>
      </c>
      <c r="AR196" s="274">
        <v>108630.98999999999</v>
      </c>
      <c r="AS196" s="413">
        <v>41062.76</v>
      </c>
      <c r="AX196" s="2"/>
      <c r="BA196" s="342"/>
      <c r="BB196" s="342"/>
      <c r="BC196" s="342"/>
      <c r="BD196" s="386"/>
      <c r="BE196" s="386"/>
      <c r="BF196" s="386"/>
      <c r="BG196" s="386"/>
      <c r="BH196" s="386"/>
      <c r="BI196" s="386"/>
      <c r="BJ196" s="386"/>
      <c r="BK196" s="386"/>
      <c r="BL196" s="386"/>
      <c r="BM196" s="386"/>
      <c r="BN196" s="387"/>
      <c r="BO196" s="265"/>
      <c r="BP196" s="386"/>
      <c r="BQ196" s="388"/>
      <c r="BR196" s="388"/>
      <c r="BS196" s="389"/>
      <c r="BT196" s="389"/>
      <c r="BU196" s="389"/>
      <c r="BV196" s="386"/>
      <c r="BW196" s="389"/>
      <c r="BX196" s="389"/>
      <c r="BY196" s="386"/>
      <c r="BZ196" s="386"/>
      <c r="CA196" s="386"/>
      <c r="CB196" s="386"/>
      <c r="CC196" s="386"/>
      <c r="CD196" s="386"/>
      <c r="CE196" s="386"/>
      <c r="CF196" s="390"/>
      <c r="CG196" s="390"/>
      <c r="CH196" s="391"/>
      <c r="CI196" s="386"/>
      <c r="CJ196" s="386"/>
      <c r="CK196" s="390"/>
      <c r="CL196" s="390"/>
      <c r="CM196" s="391"/>
      <c r="CN196" s="389"/>
      <c r="CO196" s="389"/>
      <c r="CP196" s="135"/>
      <c r="CQ196" s="135"/>
      <c r="CR196" s="135"/>
      <c r="CS196" s="135"/>
      <c r="CT196" s="135"/>
      <c r="CU196" s="135"/>
    </row>
    <row r="197" spans="1:99">
      <c r="A197" s="342" t="s">
        <v>416</v>
      </c>
      <c r="B197" s="342" t="s">
        <v>415</v>
      </c>
      <c r="C197" s="342" t="s">
        <v>1023</v>
      </c>
      <c r="D197" s="157">
        <v>0</v>
      </c>
      <c r="E197" s="157">
        <v>171624.8</v>
      </c>
      <c r="F197" s="157">
        <v>8691</v>
      </c>
      <c r="G197" s="157">
        <v>15205609.42</v>
      </c>
      <c r="H197" s="157">
        <v>3352095.12</v>
      </c>
      <c r="I197" s="157">
        <v>191971.99</v>
      </c>
      <c r="J197" s="157">
        <v>1922610.69</v>
      </c>
      <c r="K197" s="157">
        <v>522121.39</v>
      </c>
      <c r="L197" s="157">
        <v>291973.02</v>
      </c>
      <c r="M197" s="157">
        <v>4701119.25</v>
      </c>
      <c r="N197" s="264">
        <v>2.8799999999999999E-2</v>
      </c>
      <c r="O197" s="265">
        <v>0.13700000000000001</v>
      </c>
      <c r="P197" s="157">
        <v>0</v>
      </c>
      <c r="Q197" s="396">
        <v>0</v>
      </c>
      <c r="R197" s="396">
        <v>0</v>
      </c>
      <c r="S197" s="397">
        <v>176057</v>
      </c>
      <c r="T197" s="397">
        <v>4731.2799999999843</v>
      </c>
      <c r="U197" s="397">
        <v>5831.24</v>
      </c>
      <c r="V197" s="157">
        <v>0</v>
      </c>
      <c r="W197" s="397">
        <v>0</v>
      </c>
      <c r="X197" s="397">
        <v>0</v>
      </c>
      <c r="Y197" s="157">
        <v>1591.27</v>
      </c>
      <c r="Z197" s="157">
        <v>60619.86</v>
      </c>
      <c r="AA197" s="157">
        <v>260435.25</v>
      </c>
      <c r="AB197" s="157">
        <v>1157193.02</v>
      </c>
      <c r="AC197" s="157">
        <v>5894731.0499999998</v>
      </c>
      <c r="AD197" s="157">
        <v>597.69000000000005</v>
      </c>
      <c r="AE197" s="157">
        <v>5237760.8099999996</v>
      </c>
      <c r="AF197" s="398">
        <f t="shared" si="54"/>
        <v>8763.3402098077586</v>
      </c>
      <c r="AG197" s="398">
        <f t="shared" si="55"/>
        <v>9862.5224614766848</v>
      </c>
      <c r="AH197" s="399">
        <f t="shared" si="56"/>
        <v>1099.18</v>
      </c>
      <c r="AI197" s="157">
        <v>126.24</v>
      </c>
      <c r="AJ197" s="157">
        <v>1073850.79</v>
      </c>
      <c r="AK197" s="398">
        <f t="shared" si="57"/>
        <v>8506.4226077313069</v>
      </c>
      <c r="AL197" s="398">
        <f t="shared" si="58"/>
        <v>9166.6113751584289</v>
      </c>
      <c r="AM197" s="399">
        <f t="shared" si="59"/>
        <v>660.19</v>
      </c>
      <c r="AN197" s="397">
        <v>24964.91</v>
      </c>
      <c r="AO197" s="397">
        <v>14025.75</v>
      </c>
      <c r="AP197" s="46"/>
      <c r="AQ197" s="402">
        <v>0</v>
      </c>
      <c r="AR197" s="274">
        <v>900402.75</v>
      </c>
      <c r="AS197" s="413">
        <v>309702.38</v>
      </c>
      <c r="AX197" s="2"/>
      <c r="BA197" s="342"/>
      <c r="BB197" s="342"/>
      <c r="BC197" s="342"/>
      <c r="BD197" s="386"/>
      <c r="BE197" s="386"/>
      <c r="BF197" s="386"/>
      <c r="BG197" s="386"/>
      <c r="BH197" s="386"/>
      <c r="BI197" s="386"/>
      <c r="BJ197" s="386"/>
      <c r="BK197" s="386"/>
      <c r="BL197" s="386"/>
      <c r="BM197" s="386"/>
      <c r="BN197" s="387"/>
      <c r="BO197" s="265"/>
      <c r="BP197" s="386"/>
      <c r="BQ197" s="388"/>
      <c r="BR197" s="388"/>
      <c r="BS197" s="389"/>
      <c r="BT197" s="389"/>
      <c r="BU197" s="389"/>
      <c r="BV197" s="386"/>
      <c r="BW197" s="389"/>
      <c r="BX197" s="389"/>
      <c r="BY197" s="386"/>
      <c r="BZ197" s="386"/>
      <c r="CA197" s="386"/>
      <c r="CB197" s="386"/>
      <c r="CC197" s="386"/>
      <c r="CD197" s="386"/>
      <c r="CE197" s="386"/>
      <c r="CF197" s="390"/>
      <c r="CG197" s="390"/>
      <c r="CH197" s="391"/>
      <c r="CI197" s="386"/>
      <c r="CJ197" s="386"/>
      <c r="CK197" s="390"/>
      <c r="CL197" s="390"/>
      <c r="CM197" s="391"/>
      <c r="CN197" s="389"/>
      <c r="CO197" s="389"/>
      <c r="CP197" s="135"/>
      <c r="CQ197" s="135"/>
      <c r="CR197" s="135"/>
      <c r="CS197" s="135"/>
      <c r="CT197" s="135"/>
      <c r="CU197" s="135"/>
    </row>
    <row r="198" spans="1:99">
      <c r="A198" s="342" t="s">
        <v>418</v>
      </c>
      <c r="B198" s="342" t="s">
        <v>417</v>
      </c>
      <c r="C198" s="342" t="s">
        <v>1024</v>
      </c>
      <c r="D198" s="157">
        <v>0</v>
      </c>
      <c r="E198" s="157">
        <v>0</v>
      </c>
      <c r="F198" s="157">
        <v>29073.919999999998</v>
      </c>
      <c r="G198" s="157">
        <v>7437078.2800000003</v>
      </c>
      <c r="H198" s="157">
        <v>1278957.3999999999</v>
      </c>
      <c r="I198" s="157">
        <v>1508081.61</v>
      </c>
      <c r="J198" s="157">
        <v>2312502.14</v>
      </c>
      <c r="K198" s="157">
        <v>532288.55000000005</v>
      </c>
      <c r="L198" s="157">
        <v>174829.07</v>
      </c>
      <c r="M198" s="157">
        <v>1033007.47</v>
      </c>
      <c r="N198" s="264">
        <v>2.5499999999999998E-2</v>
      </c>
      <c r="O198" s="265">
        <v>7.0300000000000001E-2</v>
      </c>
      <c r="P198" s="157">
        <v>0</v>
      </c>
      <c r="Q198" s="396">
        <v>0</v>
      </c>
      <c r="R198" s="396">
        <v>0</v>
      </c>
      <c r="S198" s="397">
        <v>0</v>
      </c>
      <c r="T198" s="397">
        <v>0</v>
      </c>
      <c r="U198" s="397">
        <v>0</v>
      </c>
      <c r="V198" s="157">
        <v>0</v>
      </c>
      <c r="W198" s="397">
        <v>0</v>
      </c>
      <c r="X198" s="397">
        <v>0</v>
      </c>
      <c r="Y198" s="157">
        <v>7014.69</v>
      </c>
      <c r="Z198" s="157">
        <v>13077.82</v>
      </c>
      <c r="AA198" s="157">
        <v>121098.54</v>
      </c>
      <c r="AB198" s="157">
        <v>91227.75</v>
      </c>
      <c r="AC198" s="157">
        <v>1415414.66</v>
      </c>
      <c r="AD198" s="157">
        <v>138.44999999999999</v>
      </c>
      <c r="AE198" s="157">
        <v>1189268.8999999999</v>
      </c>
      <c r="AF198" s="398">
        <f t="shared" si="54"/>
        <v>8589.8801011195374</v>
      </c>
      <c r="AG198" s="398">
        <f t="shared" si="55"/>
        <v>10223.291152040449</v>
      </c>
      <c r="AH198" s="399">
        <f t="shared" si="56"/>
        <v>1633.41</v>
      </c>
      <c r="AI198" s="157">
        <v>10.16</v>
      </c>
      <c r="AJ198" s="157">
        <v>84713.22</v>
      </c>
      <c r="AK198" s="398">
        <f t="shared" si="57"/>
        <v>8337.9153543307093</v>
      </c>
      <c r="AL198" s="398">
        <f t="shared" si="58"/>
        <v>8979.1092519685044</v>
      </c>
      <c r="AM198" s="399">
        <f t="shared" si="59"/>
        <v>641.19000000000005</v>
      </c>
      <c r="AN198" s="397">
        <v>0</v>
      </c>
      <c r="AO198" s="397">
        <v>0</v>
      </c>
      <c r="AP198" s="46"/>
      <c r="AQ198" s="402">
        <v>0</v>
      </c>
      <c r="AR198" s="274">
        <v>262723.32999999996</v>
      </c>
      <c r="AS198" s="413">
        <v>56655.210000000006</v>
      </c>
      <c r="AX198" s="2"/>
      <c r="BA198" s="342"/>
      <c r="BB198" s="342"/>
      <c r="BC198" s="342"/>
      <c r="BD198" s="386"/>
      <c r="BE198" s="386"/>
      <c r="BF198" s="386"/>
      <c r="BG198" s="386"/>
      <c r="BH198" s="386"/>
      <c r="BI198" s="386"/>
      <c r="BJ198" s="386"/>
      <c r="BK198" s="386"/>
      <c r="BL198" s="386"/>
      <c r="BM198" s="386"/>
      <c r="BN198" s="387"/>
      <c r="BO198" s="265"/>
      <c r="BP198" s="386"/>
      <c r="BQ198" s="388"/>
      <c r="BR198" s="388"/>
      <c r="BS198" s="389"/>
      <c r="BT198" s="389"/>
      <c r="BU198" s="389"/>
      <c r="BV198" s="386"/>
      <c r="BW198" s="389"/>
      <c r="BX198" s="389"/>
      <c r="BY198" s="386"/>
      <c r="BZ198" s="386"/>
      <c r="CA198" s="386"/>
      <c r="CB198" s="386"/>
      <c r="CC198" s="386"/>
      <c r="CD198" s="386"/>
      <c r="CE198" s="386"/>
      <c r="CF198" s="390"/>
      <c r="CG198" s="390"/>
      <c r="CH198" s="391"/>
      <c r="CI198" s="386"/>
      <c r="CJ198" s="386"/>
      <c r="CK198" s="390"/>
      <c r="CL198" s="390"/>
      <c r="CM198" s="391"/>
      <c r="CN198" s="389"/>
      <c r="CO198" s="389"/>
      <c r="CP198" s="135"/>
      <c r="CQ198" s="135"/>
      <c r="CR198" s="135"/>
      <c r="CS198" s="135"/>
      <c r="CT198" s="135"/>
      <c r="CU198" s="135"/>
    </row>
    <row r="199" spans="1:99">
      <c r="A199" s="342" t="s">
        <v>420</v>
      </c>
      <c r="B199" s="342" t="s">
        <v>419</v>
      </c>
      <c r="C199" s="342" t="s">
        <v>1025</v>
      </c>
      <c r="D199" s="157">
        <v>0</v>
      </c>
      <c r="E199" s="157">
        <v>28205.77</v>
      </c>
      <c r="F199" s="157">
        <v>22234.05</v>
      </c>
      <c r="G199" s="157">
        <v>1186274.98</v>
      </c>
      <c r="H199" s="157">
        <v>273441.09999999998</v>
      </c>
      <c r="I199" s="157">
        <v>240415.81</v>
      </c>
      <c r="J199" s="157">
        <v>294312.81</v>
      </c>
      <c r="K199" s="157">
        <v>39282.18</v>
      </c>
      <c r="L199" s="157">
        <v>24931.25</v>
      </c>
      <c r="M199" s="157">
        <v>699128.99</v>
      </c>
      <c r="N199" s="264">
        <v>3.2800000000000003E-2</v>
      </c>
      <c r="O199" s="265">
        <v>0.19120000000000001</v>
      </c>
      <c r="P199" s="157">
        <v>0</v>
      </c>
      <c r="Q199" s="396">
        <v>0</v>
      </c>
      <c r="R199" s="396">
        <v>0</v>
      </c>
      <c r="S199" s="397">
        <v>0</v>
      </c>
      <c r="T199" s="397">
        <v>0</v>
      </c>
      <c r="U199" s="397">
        <v>0</v>
      </c>
      <c r="V199" s="157">
        <v>0</v>
      </c>
      <c r="W199" s="397">
        <v>0</v>
      </c>
      <c r="X199" s="397">
        <v>0</v>
      </c>
      <c r="Y199" s="157">
        <v>982.28</v>
      </c>
      <c r="Z199" s="157">
        <v>3125.62</v>
      </c>
      <c r="AA199" s="157">
        <v>33117.440000000002</v>
      </c>
      <c r="AB199" s="157">
        <v>83256.240000000005</v>
      </c>
      <c r="AC199" s="157">
        <v>931496.82</v>
      </c>
      <c r="AD199" s="157">
        <v>102.43</v>
      </c>
      <c r="AE199" s="157">
        <v>880051.93</v>
      </c>
      <c r="AF199" s="398">
        <f t="shared" ref="AF199:AF262" si="60">IFERROR(AE199/AD199,0)</f>
        <v>8591.7400175729763</v>
      </c>
      <c r="AG199" s="398">
        <f t="shared" ref="AG199:AG262" si="61">IFERROR(AC199/AD199,0)</f>
        <v>9093.9843795762954</v>
      </c>
      <c r="AH199" s="399">
        <f t="shared" ref="AH199:AH262" si="62">ROUND(AG199-AF199,2)</f>
        <v>502.24</v>
      </c>
      <c r="AI199" s="157">
        <v>9.27</v>
      </c>
      <c r="AJ199" s="157">
        <v>77259.929999999993</v>
      </c>
      <c r="AK199" s="398">
        <f t="shared" ref="AK199:AK262" si="63">IFERROR(AJ199/AI199,0)</f>
        <v>8334.4045307443357</v>
      </c>
      <c r="AL199" s="398">
        <f t="shared" ref="AL199:AL262" si="64">IFERROR(AB199/AI199,0)</f>
        <v>8981.2556634304219</v>
      </c>
      <c r="AM199" s="399">
        <f t="shared" ref="AM199:AM262" si="65">ROUND(AL199-AK199,2)</f>
        <v>646.85</v>
      </c>
      <c r="AN199" s="397">
        <v>0</v>
      </c>
      <c r="AO199" s="397">
        <v>0</v>
      </c>
      <c r="AP199" s="46"/>
      <c r="AQ199" s="402">
        <v>0</v>
      </c>
      <c r="AR199" s="274">
        <v>87047.62</v>
      </c>
      <c r="AS199" s="413">
        <v>35282.79</v>
      </c>
      <c r="AX199" s="2"/>
      <c r="BA199" s="342"/>
      <c r="BB199" s="342"/>
      <c r="BC199" s="342"/>
      <c r="BD199" s="386"/>
      <c r="BE199" s="386"/>
      <c r="BF199" s="386"/>
      <c r="BG199" s="386"/>
      <c r="BH199" s="386"/>
      <c r="BI199" s="386"/>
      <c r="BJ199" s="386"/>
      <c r="BK199" s="386"/>
      <c r="BL199" s="386"/>
      <c r="BM199" s="386"/>
      <c r="BN199" s="387"/>
      <c r="BO199" s="265"/>
      <c r="BP199" s="386"/>
      <c r="BQ199" s="388"/>
      <c r="BR199" s="388"/>
      <c r="BS199" s="389"/>
      <c r="BT199" s="389"/>
      <c r="BU199" s="389"/>
      <c r="BV199" s="386"/>
      <c r="BW199" s="389"/>
      <c r="BX199" s="389"/>
      <c r="BY199" s="386"/>
      <c r="BZ199" s="386"/>
      <c r="CA199" s="386"/>
      <c r="CB199" s="386"/>
      <c r="CC199" s="386"/>
      <c r="CD199" s="386"/>
      <c r="CE199" s="386"/>
      <c r="CF199" s="390"/>
      <c r="CG199" s="390"/>
      <c r="CH199" s="391"/>
      <c r="CI199" s="386"/>
      <c r="CJ199" s="386"/>
      <c r="CK199" s="390"/>
      <c r="CL199" s="390"/>
      <c r="CM199" s="391"/>
      <c r="CN199" s="389"/>
      <c r="CO199" s="389"/>
      <c r="CP199" s="135"/>
      <c r="CQ199" s="135"/>
      <c r="CR199" s="135"/>
      <c r="CS199" s="135"/>
      <c r="CT199" s="135"/>
      <c r="CU199" s="135"/>
    </row>
    <row r="200" spans="1:99">
      <c r="A200" s="342" t="s">
        <v>422</v>
      </c>
      <c r="B200" s="344" t="s">
        <v>421</v>
      </c>
      <c r="C200" s="342" t="s">
        <v>1026</v>
      </c>
      <c r="D200" s="157">
        <v>0</v>
      </c>
      <c r="E200" s="157">
        <v>0</v>
      </c>
      <c r="F200" s="157">
        <v>0</v>
      </c>
      <c r="G200" s="157">
        <v>51262.92</v>
      </c>
      <c r="H200" s="157">
        <v>5934.2</v>
      </c>
      <c r="I200" s="157">
        <v>14882.39</v>
      </c>
      <c r="J200" s="157">
        <v>25053.79</v>
      </c>
      <c r="K200" s="157">
        <v>0</v>
      </c>
      <c r="L200" s="157">
        <v>1177.75</v>
      </c>
      <c r="M200" s="157">
        <v>105375.03999999999</v>
      </c>
      <c r="N200" s="264">
        <v>5.9799999999999999E-2</v>
      </c>
      <c r="O200" s="265">
        <v>0.22869999999999999</v>
      </c>
      <c r="P200" s="157">
        <v>0</v>
      </c>
      <c r="Q200" s="396">
        <v>0</v>
      </c>
      <c r="R200" s="396">
        <v>0</v>
      </c>
      <c r="S200" s="397">
        <v>0</v>
      </c>
      <c r="T200" s="397">
        <v>0</v>
      </c>
      <c r="U200" s="397">
        <v>0</v>
      </c>
      <c r="V200" s="157">
        <v>0</v>
      </c>
      <c r="W200" s="397">
        <v>0</v>
      </c>
      <c r="X200" s="397">
        <v>0</v>
      </c>
      <c r="Y200" s="157">
        <v>0</v>
      </c>
      <c r="Z200" s="157">
        <v>0</v>
      </c>
      <c r="AA200" s="157">
        <v>0</v>
      </c>
      <c r="AB200" s="157">
        <v>0</v>
      </c>
      <c r="AC200" s="157">
        <v>0</v>
      </c>
      <c r="AD200" s="157">
        <v>0</v>
      </c>
      <c r="AE200" s="157">
        <v>0</v>
      </c>
      <c r="AF200" s="398">
        <f t="shared" si="60"/>
        <v>0</v>
      </c>
      <c r="AG200" s="398">
        <f t="shared" si="61"/>
        <v>0</v>
      </c>
      <c r="AH200" s="399">
        <f t="shared" si="62"/>
        <v>0</v>
      </c>
      <c r="AI200" s="157">
        <v>0</v>
      </c>
      <c r="AJ200" s="157">
        <v>0</v>
      </c>
      <c r="AK200" s="398">
        <f t="shared" si="63"/>
        <v>0</v>
      </c>
      <c r="AL200" s="398">
        <f t="shared" si="64"/>
        <v>0</v>
      </c>
      <c r="AM200" s="399">
        <f t="shared" si="65"/>
        <v>0</v>
      </c>
      <c r="AN200" s="397">
        <v>0</v>
      </c>
      <c r="AO200" s="397">
        <v>0</v>
      </c>
      <c r="AP200" s="46"/>
      <c r="AQ200" s="402">
        <v>11151.57</v>
      </c>
      <c r="AR200" s="274">
        <v>6791.74</v>
      </c>
      <c r="AS200" s="413">
        <v>11449.19</v>
      </c>
      <c r="AX200" s="2"/>
      <c r="BA200" s="342"/>
      <c r="BB200" s="344"/>
      <c r="BC200" s="342"/>
      <c r="BD200" s="386"/>
      <c r="BE200" s="386"/>
      <c r="BF200" s="386"/>
      <c r="BG200" s="386"/>
      <c r="BH200" s="386"/>
      <c r="BI200" s="386"/>
      <c r="BJ200" s="386"/>
      <c r="BK200" s="386"/>
      <c r="BL200" s="386"/>
      <c r="BM200" s="386"/>
      <c r="BN200" s="387"/>
      <c r="BO200" s="265"/>
      <c r="BP200" s="386"/>
      <c r="BQ200" s="388"/>
      <c r="BR200" s="388"/>
      <c r="BS200" s="389"/>
      <c r="BT200" s="389"/>
      <c r="BU200" s="389"/>
      <c r="BV200" s="386"/>
      <c r="BW200" s="389"/>
      <c r="BX200" s="389"/>
      <c r="BY200" s="386"/>
      <c r="BZ200" s="386"/>
      <c r="CA200" s="386"/>
      <c r="CB200" s="386"/>
      <c r="CC200" s="386"/>
      <c r="CD200" s="386"/>
      <c r="CE200" s="386"/>
      <c r="CF200" s="390"/>
      <c r="CG200" s="390"/>
      <c r="CH200" s="391"/>
      <c r="CI200" s="386"/>
      <c r="CJ200" s="386"/>
      <c r="CK200" s="390"/>
      <c r="CL200" s="390"/>
      <c r="CM200" s="391"/>
      <c r="CN200" s="389"/>
      <c r="CO200" s="389"/>
      <c r="CP200" s="135"/>
      <c r="CQ200" s="135"/>
      <c r="CR200" s="135"/>
      <c r="CS200" s="135"/>
      <c r="CT200" s="135"/>
      <c r="CU200" s="135"/>
    </row>
    <row r="201" spans="1:99">
      <c r="A201" s="342" t="s">
        <v>424</v>
      </c>
      <c r="B201" s="342" t="s">
        <v>423</v>
      </c>
      <c r="C201" s="342" t="s">
        <v>1027</v>
      </c>
      <c r="D201" s="157">
        <v>0</v>
      </c>
      <c r="E201" s="157">
        <v>0</v>
      </c>
      <c r="F201" s="157">
        <v>0</v>
      </c>
      <c r="G201" s="157">
        <v>1128656.8899999999</v>
      </c>
      <c r="H201" s="157">
        <v>118809.04</v>
      </c>
      <c r="I201" s="157">
        <v>0</v>
      </c>
      <c r="J201" s="157">
        <v>147176.24</v>
      </c>
      <c r="K201" s="157">
        <v>75851.360000000001</v>
      </c>
      <c r="L201" s="157">
        <v>22756.86</v>
      </c>
      <c r="M201" s="157">
        <v>193890.68</v>
      </c>
      <c r="N201" s="264">
        <v>6.9800000000000001E-2</v>
      </c>
      <c r="O201" s="265">
        <v>0.2301</v>
      </c>
      <c r="P201" s="157">
        <v>0</v>
      </c>
      <c r="Q201" s="396">
        <v>0</v>
      </c>
      <c r="R201" s="396">
        <v>0</v>
      </c>
      <c r="S201" s="397">
        <v>0</v>
      </c>
      <c r="T201" s="397">
        <v>0</v>
      </c>
      <c r="U201" s="397">
        <v>0</v>
      </c>
      <c r="V201" s="157">
        <v>0</v>
      </c>
      <c r="W201" s="397">
        <v>0</v>
      </c>
      <c r="X201" s="397">
        <v>0</v>
      </c>
      <c r="Y201" s="157">
        <v>0</v>
      </c>
      <c r="Z201" s="157">
        <v>0</v>
      </c>
      <c r="AA201" s="157">
        <v>0</v>
      </c>
      <c r="AB201" s="157">
        <v>0</v>
      </c>
      <c r="AC201" s="157">
        <v>58458.34</v>
      </c>
      <c r="AD201" s="157">
        <v>6</v>
      </c>
      <c r="AE201" s="157">
        <v>55837.599999999999</v>
      </c>
      <c r="AF201" s="398">
        <f t="shared" si="60"/>
        <v>9306.2666666666664</v>
      </c>
      <c r="AG201" s="398">
        <f t="shared" si="61"/>
        <v>9743.0566666666655</v>
      </c>
      <c r="AH201" s="399">
        <f t="shared" si="62"/>
        <v>436.79</v>
      </c>
      <c r="AI201" s="157">
        <v>0</v>
      </c>
      <c r="AJ201" s="157">
        <v>0</v>
      </c>
      <c r="AK201" s="398">
        <f t="shared" si="63"/>
        <v>0</v>
      </c>
      <c r="AL201" s="398">
        <f t="shared" si="64"/>
        <v>0</v>
      </c>
      <c r="AM201" s="399">
        <f t="shared" si="65"/>
        <v>0</v>
      </c>
      <c r="AN201" s="397">
        <v>2277.84</v>
      </c>
      <c r="AO201" s="397">
        <v>0</v>
      </c>
      <c r="AP201" s="46"/>
      <c r="AQ201" s="402">
        <v>183956.13</v>
      </c>
      <c r="AR201" s="274">
        <v>55337.67</v>
      </c>
      <c r="AS201" s="413">
        <v>22675.480000000003</v>
      </c>
      <c r="AX201" s="2"/>
      <c r="BA201" s="342"/>
      <c r="BB201" s="342"/>
      <c r="BC201" s="342"/>
      <c r="BD201" s="386"/>
      <c r="BE201" s="386"/>
      <c r="BF201" s="386"/>
      <c r="BG201" s="386"/>
      <c r="BH201" s="386"/>
      <c r="BI201" s="386"/>
      <c r="BJ201" s="386"/>
      <c r="BK201" s="386"/>
      <c r="BL201" s="386"/>
      <c r="BM201" s="386"/>
      <c r="BN201" s="387"/>
      <c r="BO201" s="265"/>
      <c r="BP201" s="386"/>
      <c r="BQ201" s="388"/>
      <c r="BR201" s="388"/>
      <c r="BS201" s="389"/>
      <c r="BT201" s="389"/>
      <c r="BU201" s="389"/>
      <c r="BV201" s="386"/>
      <c r="BW201" s="389"/>
      <c r="BX201" s="389"/>
      <c r="BY201" s="386"/>
      <c r="BZ201" s="386"/>
      <c r="CA201" s="386"/>
      <c r="CB201" s="386"/>
      <c r="CC201" s="386"/>
      <c r="CD201" s="386"/>
      <c r="CE201" s="386"/>
      <c r="CF201" s="390"/>
      <c r="CG201" s="390"/>
      <c r="CH201" s="391"/>
      <c r="CI201" s="386"/>
      <c r="CJ201" s="386"/>
      <c r="CK201" s="390"/>
      <c r="CL201" s="390"/>
      <c r="CM201" s="391"/>
      <c r="CN201" s="389"/>
      <c r="CO201" s="389"/>
      <c r="CP201" s="135"/>
      <c r="CQ201" s="135"/>
      <c r="CR201" s="135"/>
      <c r="CS201" s="135"/>
      <c r="CT201" s="135"/>
      <c r="CU201" s="135"/>
    </row>
    <row r="202" spans="1:99">
      <c r="A202" s="342" t="s">
        <v>426</v>
      </c>
      <c r="B202" s="342" t="s">
        <v>425</v>
      </c>
      <c r="C202" s="342" t="s">
        <v>1028</v>
      </c>
      <c r="D202" s="157">
        <v>0</v>
      </c>
      <c r="E202" s="157">
        <v>0</v>
      </c>
      <c r="F202" s="157">
        <v>0</v>
      </c>
      <c r="G202" s="157">
        <v>40730.959999999999</v>
      </c>
      <c r="H202" s="157">
        <v>5791.1</v>
      </c>
      <c r="I202" s="157">
        <v>0</v>
      </c>
      <c r="J202" s="157">
        <v>5069</v>
      </c>
      <c r="K202" s="157">
        <v>0</v>
      </c>
      <c r="L202" s="157">
        <v>0</v>
      </c>
      <c r="M202" s="157">
        <v>30878.89</v>
      </c>
      <c r="N202" s="264">
        <v>5.4199999999999998E-2</v>
      </c>
      <c r="O202" s="265">
        <v>0.34710000000000002</v>
      </c>
      <c r="P202" s="157">
        <v>0</v>
      </c>
      <c r="Q202" s="396">
        <v>0</v>
      </c>
      <c r="R202" s="396">
        <v>0</v>
      </c>
      <c r="S202" s="397">
        <v>0</v>
      </c>
      <c r="T202" s="397">
        <v>0</v>
      </c>
      <c r="U202" s="397">
        <v>0</v>
      </c>
      <c r="V202" s="157">
        <v>0</v>
      </c>
      <c r="W202" s="397">
        <v>0</v>
      </c>
      <c r="X202" s="397">
        <v>0</v>
      </c>
      <c r="Y202" s="157">
        <v>83.45</v>
      </c>
      <c r="Z202" s="157">
        <v>0</v>
      </c>
      <c r="AA202" s="157">
        <v>0</v>
      </c>
      <c r="AB202" s="157">
        <v>0</v>
      </c>
      <c r="AC202" s="157">
        <v>0</v>
      </c>
      <c r="AD202" s="157">
        <v>0</v>
      </c>
      <c r="AE202" s="157">
        <v>0</v>
      </c>
      <c r="AF202" s="398">
        <f t="shared" si="60"/>
        <v>0</v>
      </c>
      <c r="AG202" s="398">
        <f t="shared" si="61"/>
        <v>0</v>
      </c>
      <c r="AH202" s="399">
        <f t="shared" si="62"/>
        <v>0</v>
      </c>
      <c r="AI202" s="157">
        <v>0</v>
      </c>
      <c r="AJ202" s="157">
        <v>0</v>
      </c>
      <c r="AK202" s="398">
        <f t="shared" si="63"/>
        <v>0</v>
      </c>
      <c r="AL202" s="398">
        <f t="shared" si="64"/>
        <v>0</v>
      </c>
      <c r="AM202" s="399">
        <f t="shared" si="65"/>
        <v>0</v>
      </c>
      <c r="AN202" s="397">
        <v>0</v>
      </c>
      <c r="AO202" s="397">
        <v>0</v>
      </c>
      <c r="AP202" s="46"/>
      <c r="AQ202" s="402">
        <v>17611.759999999998</v>
      </c>
      <c r="AR202" s="274">
        <v>9056.869999999999</v>
      </c>
      <c r="AS202" s="413"/>
      <c r="AX202" s="2"/>
      <c r="BA202" s="342"/>
      <c r="BB202" s="342"/>
      <c r="BC202" s="342"/>
      <c r="BD202" s="386"/>
      <c r="BE202" s="386"/>
      <c r="BF202" s="386"/>
      <c r="BG202" s="386"/>
      <c r="BH202" s="386"/>
      <c r="BI202" s="386"/>
      <c r="BJ202" s="386"/>
      <c r="BK202" s="386"/>
      <c r="BL202" s="386"/>
      <c r="BM202" s="386"/>
      <c r="BN202" s="387"/>
      <c r="BO202" s="265"/>
      <c r="BP202" s="386"/>
      <c r="BQ202" s="388"/>
      <c r="BR202" s="388"/>
      <c r="BS202" s="389"/>
      <c r="BT202" s="389"/>
      <c r="BU202" s="389"/>
      <c r="BV202" s="386"/>
      <c r="BW202" s="389"/>
      <c r="BX202" s="389"/>
      <c r="BY202" s="386"/>
      <c r="BZ202" s="386"/>
      <c r="CA202" s="386"/>
      <c r="CB202" s="386"/>
      <c r="CC202" s="386"/>
      <c r="CD202" s="386"/>
      <c r="CE202" s="386"/>
      <c r="CF202" s="390"/>
      <c r="CG202" s="390"/>
      <c r="CH202" s="391"/>
      <c r="CI202" s="386"/>
      <c r="CJ202" s="386"/>
      <c r="CK202" s="390"/>
      <c r="CL202" s="390"/>
      <c r="CM202" s="391"/>
      <c r="CN202" s="389"/>
      <c r="CO202" s="389"/>
      <c r="CP202" s="135"/>
      <c r="CQ202" s="135"/>
      <c r="CR202" s="135"/>
      <c r="CS202" s="135"/>
      <c r="CT202" s="135"/>
      <c r="CU202" s="135"/>
    </row>
    <row r="203" spans="1:99">
      <c r="A203" s="342" t="s">
        <v>428</v>
      </c>
      <c r="B203" s="342" t="s">
        <v>427</v>
      </c>
      <c r="C203" s="342" t="s">
        <v>1029</v>
      </c>
      <c r="D203" s="157">
        <v>0</v>
      </c>
      <c r="E203" s="157">
        <v>0</v>
      </c>
      <c r="F203" s="157">
        <v>0</v>
      </c>
      <c r="G203" s="157">
        <v>54729.13</v>
      </c>
      <c r="H203" s="157">
        <v>6320.26</v>
      </c>
      <c r="I203" s="157">
        <v>10171.41</v>
      </c>
      <c r="J203" s="157">
        <v>15953.06</v>
      </c>
      <c r="K203" s="157">
        <v>0</v>
      </c>
      <c r="L203" s="157">
        <v>1177.75</v>
      </c>
      <c r="M203" s="157">
        <v>321239.71000000002</v>
      </c>
      <c r="N203" s="264">
        <v>6.4699999999999994E-2</v>
      </c>
      <c r="O203" s="265">
        <v>0.22670000000000001</v>
      </c>
      <c r="P203" s="157">
        <v>0</v>
      </c>
      <c r="Q203" s="396">
        <v>0</v>
      </c>
      <c r="R203" s="396">
        <v>0</v>
      </c>
      <c r="S203" s="397">
        <v>0</v>
      </c>
      <c r="T203" s="397">
        <v>0</v>
      </c>
      <c r="U203" s="397">
        <v>0</v>
      </c>
      <c r="V203" s="157">
        <v>0</v>
      </c>
      <c r="W203" s="397">
        <v>0</v>
      </c>
      <c r="X203" s="397">
        <v>0</v>
      </c>
      <c r="Y203" s="157">
        <v>0</v>
      </c>
      <c r="Z203" s="157">
        <v>0</v>
      </c>
      <c r="AA203" s="157">
        <v>0</v>
      </c>
      <c r="AB203" s="157">
        <v>0</v>
      </c>
      <c r="AC203" s="157">
        <v>0</v>
      </c>
      <c r="AD203" s="157">
        <v>0</v>
      </c>
      <c r="AE203" s="157">
        <v>0</v>
      </c>
      <c r="AF203" s="398">
        <f t="shared" si="60"/>
        <v>0</v>
      </c>
      <c r="AG203" s="398">
        <f t="shared" si="61"/>
        <v>0</v>
      </c>
      <c r="AH203" s="399">
        <f t="shared" si="62"/>
        <v>0</v>
      </c>
      <c r="AI203" s="157">
        <v>0</v>
      </c>
      <c r="AJ203" s="157">
        <v>0</v>
      </c>
      <c r="AK203" s="398">
        <f t="shared" si="63"/>
        <v>0</v>
      </c>
      <c r="AL203" s="398">
        <f t="shared" si="64"/>
        <v>0</v>
      </c>
      <c r="AM203" s="399">
        <f t="shared" si="65"/>
        <v>0</v>
      </c>
      <c r="AN203" s="397">
        <v>0</v>
      </c>
      <c r="AO203" s="397">
        <v>0</v>
      </c>
      <c r="AP203" s="46"/>
      <c r="AQ203" s="402">
        <v>0</v>
      </c>
      <c r="AR203" s="274">
        <v>6614.01</v>
      </c>
      <c r="AS203" s="413">
        <v>11261.19</v>
      </c>
      <c r="AX203" s="2"/>
      <c r="BA203" s="342"/>
      <c r="BB203" s="342"/>
      <c r="BC203" s="342"/>
      <c r="BD203" s="386"/>
      <c r="BE203" s="386"/>
      <c r="BF203" s="386"/>
      <c r="BG203" s="386"/>
      <c r="BH203" s="386"/>
      <c r="BI203" s="386"/>
      <c r="BJ203" s="386"/>
      <c r="BK203" s="386"/>
      <c r="BL203" s="386"/>
      <c r="BM203" s="386"/>
      <c r="BN203" s="387"/>
      <c r="BO203" s="265"/>
      <c r="BP203" s="386"/>
      <c r="BQ203" s="388"/>
      <c r="BR203" s="388"/>
      <c r="BS203" s="389"/>
      <c r="BT203" s="389"/>
      <c r="BU203" s="389"/>
      <c r="BV203" s="386"/>
      <c r="BW203" s="389"/>
      <c r="BX203" s="389"/>
      <c r="BY203" s="386"/>
      <c r="BZ203" s="386"/>
      <c r="CA203" s="386"/>
      <c r="CB203" s="386"/>
      <c r="CC203" s="386"/>
      <c r="CD203" s="386"/>
      <c r="CE203" s="386"/>
      <c r="CF203" s="390"/>
      <c r="CG203" s="390"/>
      <c r="CH203" s="391"/>
      <c r="CI203" s="386"/>
      <c r="CJ203" s="386"/>
      <c r="CK203" s="390"/>
      <c r="CL203" s="390"/>
      <c r="CM203" s="391"/>
      <c r="CN203" s="389"/>
      <c r="CO203" s="389"/>
      <c r="CP203" s="135"/>
      <c r="CQ203" s="135"/>
      <c r="CR203" s="135"/>
      <c r="CS203" s="135"/>
      <c r="CT203" s="135"/>
      <c r="CU203" s="135"/>
    </row>
    <row r="204" spans="1:99">
      <c r="A204" s="342" t="s">
        <v>430</v>
      </c>
      <c r="B204" s="342" t="s">
        <v>429</v>
      </c>
      <c r="C204" s="342" t="s">
        <v>1030</v>
      </c>
      <c r="D204" s="157">
        <v>0</v>
      </c>
      <c r="E204" s="157">
        <v>3792.77</v>
      </c>
      <c r="F204" s="157">
        <v>3867.92</v>
      </c>
      <c r="G204" s="157">
        <v>0</v>
      </c>
      <c r="H204" s="157">
        <v>0</v>
      </c>
      <c r="I204" s="157">
        <v>41586.57</v>
      </c>
      <c r="J204" s="157">
        <v>80897.240000000005</v>
      </c>
      <c r="K204" s="157">
        <v>91658.38</v>
      </c>
      <c r="L204" s="157">
        <v>3517.27</v>
      </c>
      <c r="M204" s="157">
        <v>268555.08</v>
      </c>
      <c r="N204" s="264">
        <v>5.8099999999999999E-2</v>
      </c>
      <c r="O204" s="265">
        <v>0.2157</v>
      </c>
      <c r="P204" s="157">
        <v>0</v>
      </c>
      <c r="Q204" s="396">
        <v>0</v>
      </c>
      <c r="R204" s="396">
        <v>0</v>
      </c>
      <c r="S204" s="397">
        <v>0</v>
      </c>
      <c r="T204" s="397">
        <v>0</v>
      </c>
      <c r="U204" s="397">
        <v>0</v>
      </c>
      <c r="V204" s="157">
        <v>0</v>
      </c>
      <c r="W204" s="397">
        <v>0</v>
      </c>
      <c r="X204" s="397">
        <v>0</v>
      </c>
      <c r="Y204" s="157">
        <v>157.88999999999999</v>
      </c>
      <c r="Z204" s="157">
        <v>0</v>
      </c>
      <c r="AA204" s="157">
        <v>0</v>
      </c>
      <c r="AB204" s="157">
        <v>11238.08</v>
      </c>
      <c r="AC204" s="157">
        <v>0</v>
      </c>
      <c r="AD204" s="157">
        <v>0</v>
      </c>
      <c r="AE204" s="157">
        <v>0</v>
      </c>
      <c r="AF204" s="398">
        <f t="shared" si="60"/>
        <v>0</v>
      </c>
      <c r="AG204" s="398">
        <f t="shared" si="61"/>
        <v>0</v>
      </c>
      <c r="AH204" s="399">
        <f t="shared" si="62"/>
        <v>0</v>
      </c>
      <c r="AI204" s="157">
        <v>1.26</v>
      </c>
      <c r="AJ204" s="157">
        <v>10492.43</v>
      </c>
      <c r="AK204" s="398">
        <f t="shared" si="63"/>
        <v>8327.3253968253975</v>
      </c>
      <c r="AL204" s="398">
        <f t="shared" si="64"/>
        <v>8919.1111111111113</v>
      </c>
      <c r="AM204" s="399">
        <f t="shared" si="65"/>
        <v>591.79</v>
      </c>
      <c r="AN204" s="397">
        <v>0</v>
      </c>
      <c r="AO204" s="397">
        <v>0</v>
      </c>
      <c r="AP204" s="46"/>
      <c r="AQ204" s="402">
        <v>830.95000000000073</v>
      </c>
      <c r="AR204" s="274">
        <v>13969.149999999998</v>
      </c>
      <c r="AS204" s="413">
        <v>15092.83</v>
      </c>
      <c r="AX204" s="2"/>
      <c r="BA204" s="342"/>
      <c r="BB204" s="342"/>
      <c r="BC204" s="342"/>
      <c r="BD204" s="386"/>
      <c r="BE204" s="386"/>
      <c r="BF204" s="386"/>
      <c r="BG204" s="386"/>
      <c r="BH204" s="386"/>
      <c r="BI204" s="386"/>
      <c r="BJ204" s="386"/>
      <c r="BK204" s="386"/>
      <c r="BL204" s="386"/>
      <c r="BM204" s="386"/>
      <c r="BN204" s="387"/>
      <c r="BO204" s="265"/>
      <c r="BP204" s="386"/>
      <c r="BQ204" s="388"/>
      <c r="BR204" s="388"/>
      <c r="BS204" s="389"/>
      <c r="BT204" s="389"/>
      <c r="BU204" s="389"/>
      <c r="BV204" s="386"/>
      <c r="BW204" s="389"/>
      <c r="BX204" s="389"/>
      <c r="BY204" s="386"/>
      <c r="BZ204" s="386"/>
      <c r="CA204" s="386"/>
      <c r="CB204" s="386"/>
      <c r="CC204" s="386"/>
      <c r="CD204" s="386"/>
      <c r="CE204" s="386"/>
      <c r="CF204" s="390"/>
      <c r="CG204" s="390"/>
      <c r="CH204" s="391"/>
      <c r="CI204" s="386"/>
      <c r="CJ204" s="386"/>
      <c r="CK204" s="390"/>
      <c r="CL204" s="390"/>
      <c r="CM204" s="391"/>
      <c r="CN204" s="389"/>
      <c r="CO204" s="389"/>
      <c r="CP204" s="135"/>
      <c r="CQ204" s="135"/>
      <c r="CR204" s="135"/>
      <c r="CS204" s="135"/>
      <c r="CT204" s="135"/>
      <c r="CU204" s="135"/>
    </row>
    <row r="205" spans="1:99">
      <c r="A205" s="342" t="s">
        <v>432</v>
      </c>
      <c r="B205" s="342" t="s">
        <v>431</v>
      </c>
      <c r="C205" s="342" t="s">
        <v>1031</v>
      </c>
      <c r="D205" s="157">
        <v>0</v>
      </c>
      <c r="E205" s="157">
        <v>0</v>
      </c>
      <c r="F205" s="157">
        <v>0</v>
      </c>
      <c r="G205" s="157">
        <v>568933.1</v>
      </c>
      <c r="H205" s="157">
        <v>94000.12</v>
      </c>
      <c r="I205" s="157">
        <v>73966.149999999994</v>
      </c>
      <c r="J205" s="157">
        <v>248381.39</v>
      </c>
      <c r="K205" s="157">
        <v>107290.04</v>
      </c>
      <c r="L205" s="157">
        <v>0</v>
      </c>
      <c r="M205" s="157">
        <v>267121.44</v>
      </c>
      <c r="N205" s="264">
        <v>4.1200000000000001E-2</v>
      </c>
      <c r="O205" s="265">
        <v>0.2666</v>
      </c>
      <c r="P205" s="157">
        <v>0</v>
      </c>
      <c r="Q205" s="396">
        <v>0</v>
      </c>
      <c r="R205" s="396">
        <v>0</v>
      </c>
      <c r="S205" s="397">
        <v>0</v>
      </c>
      <c r="T205" s="397">
        <v>0</v>
      </c>
      <c r="U205" s="397">
        <v>0</v>
      </c>
      <c r="V205" s="157">
        <v>0</v>
      </c>
      <c r="W205" s="397">
        <v>0</v>
      </c>
      <c r="X205" s="397">
        <v>0</v>
      </c>
      <c r="Y205" s="157">
        <v>0</v>
      </c>
      <c r="Z205" s="157">
        <v>0</v>
      </c>
      <c r="AA205" s="157">
        <v>0</v>
      </c>
      <c r="AB205" s="157">
        <v>37880.769999999997</v>
      </c>
      <c r="AC205" s="157">
        <v>186232.79</v>
      </c>
      <c r="AD205" s="157">
        <v>19.920000000000002</v>
      </c>
      <c r="AE205" s="157">
        <v>171158.1</v>
      </c>
      <c r="AF205" s="398">
        <f t="shared" si="60"/>
        <v>8592.2740963855413</v>
      </c>
      <c r="AG205" s="398">
        <f t="shared" si="61"/>
        <v>9349.0356425702812</v>
      </c>
      <c r="AH205" s="399">
        <f t="shared" si="62"/>
        <v>756.76</v>
      </c>
      <c r="AI205" s="157">
        <v>4.21</v>
      </c>
      <c r="AJ205" s="157">
        <v>35097.58</v>
      </c>
      <c r="AK205" s="398">
        <f t="shared" si="63"/>
        <v>8336.7173396674589</v>
      </c>
      <c r="AL205" s="398">
        <f t="shared" si="64"/>
        <v>8997.8076009501183</v>
      </c>
      <c r="AM205" s="399">
        <f t="shared" si="65"/>
        <v>661.09</v>
      </c>
      <c r="AN205" s="397">
        <v>0</v>
      </c>
      <c r="AO205" s="397">
        <v>0</v>
      </c>
      <c r="AP205" s="46"/>
      <c r="AQ205" s="402">
        <v>0</v>
      </c>
      <c r="AR205" s="274">
        <v>55534.28</v>
      </c>
      <c r="AS205" s="413">
        <v>25540.85</v>
      </c>
      <c r="AX205" s="2"/>
      <c r="BA205" s="342"/>
      <c r="BB205" s="342"/>
      <c r="BC205" s="342"/>
      <c r="BD205" s="386"/>
      <c r="BE205" s="386"/>
      <c r="BF205" s="386"/>
      <c r="BG205" s="386"/>
      <c r="BH205" s="386"/>
      <c r="BI205" s="386"/>
      <c r="BJ205" s="386"/>
      <c r="BK205" s="386"/>
      <c r="BL205" s="386"/>
      <c r="BM205" s="386"/>
      <c r="BN205" s="387"/>
      <c r="BO205" s="265"/>
      <c r="BP205" s="386"/>
      <c r="BQ205" s="388"/>
      <c r="BR205" s="388"/>
      <c r="BS205" s="389"/>
      <c r="BT205" s="389"/>
      <c r="BU205" s="389"/>
      <c r="BV205" s="386"/>
      <c r="BW205" s="389"/>
      <c r="BX205" s="389"/>
      <c r="BY205" s="386"/>
      <c r="BZ205" s="386"/>
      <c r="CA205" s="386"/>
      <c r="CB205" s="386"/>
      <c r="CC205" s="386"/>
      <c r="CD205" s="386"/>
      <c r="CE205" s="386"/>
      <c r="CF205" s="390"/>
      <c r="CG205" s="390"/>
      <c r="CH205" s="391"/>
      <c r="CI205" s="386"/>
      <c r="CJ205" s="386"/>
      <c r="CK205" s="390"/>
      <c r="CL205" s="390"/>
      <c r="CM205" s="391"/>
      <c r="CN205" s="389"/>
      <c r="CO205" s="389"/>
      <c r="CP205" s="135"/>
      <c r="CQ205" s="135"/>
      <c r="CR205" s="135"/>
      <c r="CS205" s="135"/>
      <c r="CT205" s="135"/>
      <c r="CU205" s="135"/>
    </row>
    <row r="206" spans="1:99">
      <c r="A206" s="342" t="s">
        <v>434</v>
      </c>
      <c r="B206" s="342" t="s">
        <v>433</v>
      </c>
      <c r="C206" s="342" t="s">
        <v>1032</v>
      </c>
      <c r="D206" s="157">
        <v>0</v>
      </c>
      <c r="E206" s="157">
        <v>0</v>
      </c>
      <c r="F206" s="157">
        <v>0</v>
      </c>
      <c r="G206" s="157">
        <v>4623001.71</v>
      </c>
      <c r="H206" s="157">
        <v>775055.12</v>
      </c>
      <c r="I206" s="157">
        <v>0</v>
      </c>
      <c r="J206" s="157">
        <v>507268.3</v>
      </c>
      <c r="K206" s="157">
        <v>192873.68</v>
      </c>
      <c r="L206" s="157">
        <v>84617.33</v>
      </c>
      <c r="M206" s="157">
        <v>1923862.22</v>
      </c>
      <c r="N206" s="264">
        <v>3.9699999999999999E-2</v>
      </c>
      <c r="O206" s="265">
        <v>0.192</v>
      </c>
      <c r="P206" s="157">
        <v>0</v>
      </c>
      <c r="Q206" s="396">
        <v>0</v>
      </c>
      <c r="R206" s="396">
        <v>0</v>
      </c>
      <c r="S206" s="397">
        <v>0</v>
      </c>
      <c r="T206" s="397">
        <v>0</v>
      </c>
      <c r="U206" s="397">
        <v>0</v>
      </c>
      <c r="V206" s="157">
        <v>0</v>
      </c>
      <c r="W206" s="397">
        <v>0</v>
      </c>
      <c r="X206" s="397">
        <v>0</v>
      </c>
      <c r="Y206" s="157">
        <v>3146.46</v>
      </c>
      <c r="Z206" s="157">
        <v>0</v>
      </c>
      <c r="AA206" s="157">
        <v>14230.48</v>
      </c>
      <c r="AB206" s="157">
        <v>476587.12</v>
      </c>
      <c r="AC206" s="157">
        <v>2254477.86</v>
      </c>
      <c r="AD206" s="157">
        <v>237.51</v>
      </c>
      <c r="AE206" s="157">
        <v>2125406.2200000002</v>
      </c>
      <c r="AF206" s="398">
        <f t="shared" si="60"/>
        <v>8948.7020335985871</v>
      </c>
      <c r="AG206" s="398">
        <f t="shared" si="61"/>
        <v>9492.1386888973102</v>
      </c>
      <c r="AH206" s="399">
        <f t="shared" si="62"/>
        <v>543.44000000000005</v>
      </c>
      <c r="AI206" s="157">
        <v>50.92</v>
      </c>
      <c r="AJ206" s="157">
        <v>442655.12</v>
      </c>
      <c r="AK206" s="398">
        <f t="shared" si="63"/>
        <v>8693.148468185389</v>
      </c>
      <c r="AL206" s="398">
        <f t="shared" si="64"/>
        <v>9359.5271013354286</v>
      </c>
      <c r="AM206" s="399">
        <f t="shared" si="65"/>
        <v>666.38</v>
      </c>
      <c r="AN206" s="397">
        <v>0</v>
      </c>
      <c r="AO206" s="397">
        <v>0</v>
      </c>
      <c r="AP206" s="46"/>
      <c r="AQ206" s="402">
        <v>0</v>
      </c>
      <c r="AR206" s="274">
        <v>276951.45999999996</v>
      </c>
      <c r="AS206" s="413">
        <v>97025.040000000008</v>
      </c>
      <c r="AX206" s="2"/>
      <c r="BA206" s="342"/>
      <c r="BB206" s="342"/>
      <c r="BC206" s="342"/>
      <c r="BD206" s="386"/>
      <c r="BE206" s="386"/>
      <c r="BF206" s="386"/>
      <c r="BG206" s="386"/>
      <c r="BH206" s="386"/>
      <c r="BI206" s="386"/>
      <c r="BJ206" s="386"/>
      <c r="BK206" s="386"/>
      <c r="BL206" s="386"/>
      <c r="BM206" s="386"/>
      <c r="BN206" s="387"/>
      <c r="BO206" s="265"/>
      <c r="BP206" s="386"/>
      <c r="BQ206" s="388"/>
      <c r="BR206" s="388"/>
      <c r="BS206" s="389"/>
      <c r="BT206" s="389"/>
      <c r="BU206" s="389"/>
      <c r="BV206" s="386"/>
      <c r="BW206" s="389"/>
      <c r="BX206" s="389"/>
      <c r="BY206" s="386"/>
      <c r="BZ206" s="386"/>
      <c r="CA206" s="386"/>
      <c r="CB206" s="386"/>
      <c r="CC206" s="386"/>
      <c r="CD206" s="386"/>
      <c r="CE206" s="386"/>
      <c r="CF206" s="390"/>
      <c r="CG206" s="390"/>
      <c r="CH206" s="391"/>
      <c r="CI206" s="386"/>
      <c r="CJ206" s="386"/>
      <c r="CK206" s="390"/>
      <c r="CL206" s="390"/>
      <c r="CM206" s="391"/>
      <c r="CN206" s="389"/>
      <c r="CO206" s="389"/>
      <c r="CP206" s="135"/>
      <c r="CQ206" s="135"/>
      <c r="CR206" s="135"/>
      <c r="CS206" s="135"/>
      <c r="CT206" s="135"/>
      <c r="CU206" s="135"/>
    </row>
    <row r="207" spans="1:99">
      <c r="A207" s="342" t="s">
        <v>436</v>
      </c>
      <c r="B207" s="342" t="s">
        <v>435</v>
      </c>
      <c r="C207" s="342" t="s">
        <v>1033</v>
      </c>
      <c r="D207" s="157">
        <v>512381.65</v>
      </c>
      <c r="E207" s="157">
        <v>162805.06</v>
      </c>
      <c r="F207" s="157">
        <v>124075.59</v>
      </c>
      <c r="G207" s="157">
        <v>5836244.7000000002</v>
      </c>
      <c r="H207" s="157">
        <v>1107982.8999999999</v>
      </c>
      <c r="I207" s="157">
        <v>1303873</v>
      </c>
      <c r="J207" s="157">
        <v>2399089.0699999998</v>
      </c>
      <c r="K207" s="157">
        <v>3059847.09</v>
      </c>
      <c r="L207" s="157">
        <v>135621.84</v>
      </c>
      <c r="M207" s="157">
        <v>2648572.73</v>
      </c>
      <c r="N207" s="264">
        <v>5.5300000000000002E-2</v>
      </c>
      <c r="O207" s="265">
        <v>0.15110000000000001</v>
      </c>
      <c r="P207" s="157">
        <v>0</v>
      </c>
      <c r="Q207" s="396">
        <v>0</v>
      </c>
      <c r="R207" s="396">
        <v>0</v>
      </c>
      <c r="S207" s="397">
        <v>0</v>
      </c>
      <c r="T207" s="397">
        <v>0</v>
      </c>
      <c r="U207" s="397">
        <v>0</v>
      </c>
      <c r="V207" s="157">
        <v>0</v>
      </c>
      <c r="W207" s="397">
        <v>0</v>
      </c>
      <c r="X207" s="397">
        <v>0</v>
      </c>
      <c r="Y207" s="157">
        <v>0</v>
      </c>
      <c r="Z207" s="157">
        <v>0</v>
      </c>
      <c r="AA207" s="157">
        <v>77026.2</v>
      </c>
      <c r="AB207" s="157">
        <v>166491.14000000001</v>
      </c>
      <c r="AC207" s="157">
        <v>2324943.38</v>
      </c>
      <c r="AD207" s="157">
        <v>251.98</v>
      </c>
      <c r="AE207" s="157">
        <v>2164456.5099999998</v>
      </c>
      <c r="AF207" s="398">
        <f t="shared" si="60"/>
        <v>8589.7948646717996</v>
      </c>
      <c r="AG207" s="398">
        <f t="shared" si="61"/>
        <v>9226.6980712754976</v>
      </c>
      <c r="AH207" s="399">
        <f t="shared" si="62"/>
        <v>636.9</v>
      </c>
      <c r="AI207" s="157">
        <v>18.54</v>
      </c>
      <c r="AJ207" s="157">
        <v>154601.44</v>
      </c>
      <c r="AK207" s="398">
        <f t="shared" si="63"/>
        <v>8338.8047464940682</v>
      </c>
      <c r="AL207" s="398">
        <f t="shared" si="64"/>
        <v>8980.1046386192029</v>
      </c>
      <c r="AM207" s="399">
        <f t="shared" si="65"/>
        <v>641.29999999999995</v>
      </c>
      <c r="AN207" s="397">
        <v>3000</v>
      </c>
      <c r="AO207" s="397">
        <v>0</v>
      </c>
      <c r="AP207" s="46"/>
      <c r="AQ207" s="402">
        <v>664104.85999999987</v>
      </c>
      <c r="AR207" s="274">
        <v>523274.28</v>
      </c>
      <c r="AS207" s="413">
        <v>152343.57</v>
      </c>
      <c r="AX207" s="2"/>
      <c r="BA207" s="342"/>
      <c r="BB207" s="342"/>
      <c r="BC207" s="342"/>
      <c r="BD207" s="386"/>
      <c r="BE207" s="386"/>
      <c r="BF207" s="386"/>
      <c r="BG207" s="386"/>
      <c r="BH207" s="386"/>
      <c r="BI207" s="386"/>
      <c r="BJ207" s="386"/>
      <c r="BK207" s="386"/>
      <c r="BL207" s="386"/>
      <c r="BM207" s="386"/>
      <c r="BN207" s="387"/>
      <c r="BO207" s="265"/>
      <c r="BP207" s="386"/>
      <c r="BQ207" s="388"/>
      <c r="BR207" s="388"/>
      <c r="BS207" s="389"/>
      <c r="BT207" s="389"/>
      <c r="BU207" s="389"/>
      <c r="BV207" s="386"/>
      <c r="BW207" s="389"/>
      <c r="BX207" s="389"/>
      <c r="BY207" s="386"/>
      <c r="BZ207" s="386"/>
      <c r="CA207" s="386"/>
      <c r="CB207" s="386"/>
      <c r="CC207" s="386"/>
      <c r="CD207" s="386"/>
      <c r="CE207" s="386"/>
      <c r="CF207" s="390"/>
      <c r="CG207" s="390"/>
      <c r="CH207" s="391"/>
      <c r="CI207" s="386"/>
      <c r="CJ207" s="386"/>
      <c r="CK207" s="390"/>
      <c r="CL207" s="390"/>
      <c r="CM207" s="391"/>
      <c r="CN207" s="389"/>
      <c r="CO207" s="389"/>
      <c r="CP207" s="135"/>
      <c r="CQ207" s="135"/>
      <c r="CR207" s="135"/>
      <c r="CS207" s="135"/>
      <c r="CT207" s="135"/>
      <c r="CU207" s="135"/>
    </row>
    <row r="208" spans="1:99">
      <c r="A208" s="342" t="s">
        <v>438</v>
      </c>
      <c r="B208" s="342" t="s">
        <v>437</v>
      </c>
      <c r="C208" s="342" t="s">
        <v>1034</v>
      </c>
      <c r="D208" s="157">
        <v>4286.68</v>
      </c>
      <c r="E208" s="157">
        <v>701.3</v>
      </c>
      <c r="F208" s="157">
        <v>55.05</v>
      </c>
      <c r="G208" s="157">
        <v>36947.11</v>
      </c>
      <c r="H208" s="157">
        <v>936.63</v>
      </c>
      <c r="I208" s="157">
        <v>6724.2</v>
      </c>
      <c r="J208" s="157">
        <v>13448.38</v>
      </c>
      <c r="K208" s="157">
        <v>13500.07</v>
      </c>
      <c r="L208" s="157">
        <v>827.6</v>
      </c>
      <c r="M208" s="157">
        <v>77742.48</v>
      </c>
      <c r="N208" s="264">
        <v>0.22059999999999999</v>
      </c>
      <c r="O208" s="265">
        <v>0.46439999999999998</v>
      </c>
      <c r="P208" s="157">
        <v>0</v>
      </c>
      <c r="Q208" s="396">
        <v>0</v>
      </c>
      <c r="R208" s="396">
        <v>0</v>
      </c>
      <c r="S208" s="397">
        <v>0</v>
      </c>
      <c r="T208" s="397">
        <v>0</v>
      </c>
      <c r="U208" s="397">
        <v>0</v>
      </c>
      <c r="V208" s="157">
        <v>0</v>
      </c>
      <c r="W208" s="397">
        <v>0</v>
      </c>
      <c r="X208" s="397">
        <v>0</v>
      </c>
      <c r="Y208" s="157">
        <v>0</v>
      </c>
      <c r="Z208" s="157">
        <v>0</v>
      </c>
      <c r="AA208" s="157">
        <v>0</v>
      </c>
      <c r="AB208" s="157">
        <v>0</v>
      </c>
      <c r="AC208" s="157">
        <v>0</v>
      </c>
      <c r="AD208" s="157">
        <v>0</v>
      </c>
      <c r="AE208" s="157">
        <v>0</v>
      </c>
      <c r="AF208" s="398">
        <f t="shared" si="60"/>
        <v>0</v>
      </c>
      <c r="AG208" s="398">
        <f t="shared" si="61"/>
        <v>0</v>
      </c>
      <c r="AH208" s="399">
        <f t="shared" si="62"/>
        <v>0</v>
      </c>
      <c r="AI208" s="157">
        <v>0</v>
      </c>
      <c r="AJ208" s="157">
        <v>0</v>
      </c>
      <c r="AK208" s="398">
        <f t="shared" si="63"/>
        <v>0</v>
      </c>
      <c r="AL208" s="398">
        <f t="shared" si="64"/>
        <v>0</v>
      </c>
      <c r="AM208" s="399">
        <f t="shared" si="65"/>
        <v>0</v>
      </c>
      <c r="AN208" s="397">
        <v>0</v>
      </c>
      <c r="AO208" s="397">
        <v>0</v>
      </c>
      <c r="AP208" s="46"/>
      <c r="AQ208" s="402">
        <v>5288.63</v>
      </c>
      <c r="AR208" s="274">
        <v>4934.84</v>
      </c>
      <c r="AS208" s="413">
        <v>10729.39</v>
      </c>
      <c r="AX208" s="2"/>
      <c r="BA208" s="342"/>
      <c r="BB208" s="342"/>
      <c r="BC208" s="342"/>
      <c r="BD208" s="386"/>
      <c r="BE208" s="386"/>
      <c r="BF208" s="386"/>
      <c r="BG208" s="386"/>
      <c r="BH208" s="386"/>
      <c r="BI208" s="386"/>
      <c r="BJ208" s="386"/>
      <c r="BK208" s="386"/>
      <c r="BL208" s="386"/>
      <c r="BM208" s="386"/>
      <c r="BN208" s="387"/>
      <c r="BO208" s="265"/>
      <c r="BP208" s="386"/>
      <c r="BQ208" s="388"/>
      <c r="BR208" s="388"/>
      <c r="BS208" s="389"/>
      <c r="BT208" s="389"/>
      <c r="BU208" s="389"/>
      <c r="BV208" s="386"/>
      <c r="BW208" s="389"/>
      <c r="BX208" s="389"/>
      <c r="BY208" s="386"/>
      <c r="BZ208" s="386"/>
      <c r="CA208" s="386"/>
      <c r="CB208" s="386"/>
      <c r="CC208" s="386"/>
      <c r="CD208" s="386"/>
      <c r="CE208" s="386"/>
      <c r="CF208" s="390"/>
      <c r="CG208" s="390"/>
      <c r="CH208" s="391"/>
      <c r="CI208" s="386"/>
      <c r="CJ208" s="386"/>
      <c r="CK208" s="390"/>
      <c r="CL208" s="390"/>
      <c r="CM208" s="391"/>
      <c r="CN208" s="389"/>
      <c r="CO208" s="389"/>
      <c r="CP208" s="135"/>
      <c r="CQ208" s="135"/>
      <c r="CR208" s="135"/>
      <c r="CS208" s="135"/>
      <c r="CT208" s="135"/>
      <c r="CU208" s="135"/>
    </row>
    <row r="209" spans="1:99">
      <c r="A209" s="342" t="s">
        <v>440</v>
      </c>
      <c r="B209" s="342" t="s">
        <v>439</v>
      </c>
      <c r="C209" s="342" t="s">
        <v>1035</v>
      </c>
      <c r="D209" s="157">
        <v>0</v>
      </c>
      <c r="E209" s="157">
        <v>0</v>
      </c>
      <c r="F209" s="157">
        <v>0</v>
      </c>
      <c r="G209" s="157">
        <v>210254.04</v>
      </c>
      <c r="H209" s="157">
        <v>24776.21</v>
      </c>
      <c r="I209" s="157">
        <v>0</v>
      </c>
      <c r="J209" s="157">
        <v>37448.589999999997</v>
      </c>
      <c r="K209" s="157">
        <v>0</v>
      </c>
      <c r="L209" s="157">
        <v>0</v>
      </c>
      <c r="M209" s="157">
        <v>0</v>
      </c>
      <c r="N209" s="264">
        <v>0</v>
      </c>
      <c r="O209" s="265">
        <v>0.2626</v>
      </c>
      <c r="P209" s="157">
        <v>0</v>
      </c>
      <c r="Q209" s="396">
        <v>0</v>
      </c>
      <c r="R209" s="396">
        <v>0</v>
      </c>
      <c r="S209" s="397">
        <v>0</v>
      </c>
      <c r="T209" s="397">
        <v>0</v>
      </c>
      <c r="U209" s="397">
        <v>0</v>
      </c>
      <c r="V209" s="157">
        <v>0</v>
      </c>
      <c r="W209" s="397">
        <v>0</v>
      </c>
      <c r="X209" s="397">
        <v>0</v>
      </c>
      <c r="Y209" s="157">
        <v>0</v>
      </c>
      <c r="Z209" s="157">
        <v>0</v>
      </c>
      <c r="AA209" s="157">
        <v>0</v>
      </c>
      <c r="AB209" s="157">
        <v>0</v>
      </c>
      <c r="AC209" s="157">
        <v>68160.63</v>
      </c>
      <c r="AD209" s="157">
        <v>7.59</v>
      </c>
      <c r="AE209" s="157">
        <v>65253.3</v>
      </c>
      <c r="AF209" s="398">
        <f t="shared" si="60"/>
        <v>8597.2727272727279</v>
      </c>
      <c r="AG209" s="398">
        <f t="shared" si="61"/>
        <v>8980.3201581027679</v>
      </c>
      <c r="AH209" s="399">
        <f t="shared" si="62"/>
        <v>383.05</v>
      </c>
      <c r="AI209" s="157">
        <v>0</v>
      </c>
      <c r="AJ209" s="157">
        <v>0</v>
      </c>
      <c r="AK209" s="398">
        <f t="shared" si="63"/>
        <v>0</v>
      </c>
      <c r="AL209" s="398">
        <f t="shared" si="64"/>
        <v>0</v>
      </c>
      <c r="AM209" s="399">
        <f t="shared" si="65"/>
        <v>0</v>
      </c>
      <c r="AN209" s="397">
        <v>0</v>
      </c>
      <c r="AO209" s="397">
        <v>0</v>
      </c>
      <c r="AP209" s="46"/>
      <c r="AQ209" s="402">
        <v>48577.380000000005</v>
      </c>
      <c r="AR209" s="274">
        <v>25145.75</v>
      </c>
      <c r="AS209" s="413">
        <v>15202.71</v>
      </c>
      <c r="AX209" s="2"/>
      <c r="BA209" s="342"/>
      <c r="BB209" s="342"/>
      <c r="BC209" s="342"/>
      <c r="BD209" s="386"/>
      <c r="BE209" s="386"/>
      <c r="BF209" s="386"/>
      <c r="BG209" s="386"/>
      <c r="BH209" s="386"/>
      <c r="BI209" s="386"/>
      <c r="BJ209" s="386"/>
      <c r="BK209" s="386"/>
      <c r="BL209" s="386"/>
      <c r="BM209" s="386"/>
      <c r="BN209" s="387"/>
      <c r="BO209" s="265"/>
      <c r="BP209" s="386"/>
      <c r="BQ209" s="388"/>
      <c r="BR209" s="388"/>
      <c r="BS209" s="389"/>
      <c r="BT209" s="389"/>
      <c r="BU209" s="389"/>
      <c r="BV209" s="386"/>
      <c r="BW209" s="389"/>
      <c r="BX209" s="389"/>
      <c r="BY209" s="386"/>
      <c r="BZ209" s="386"/>
      <c r="CA209" s="386"/>
      <c r="CB209" s="386"/>
      <c r="CC209" s="386"/>
      <c r="CD209" s="386"/>
      <c r="CE209" s="386"/>
      <c r="CF209" s="390"/>
      <c r="CG209" s="390"/>
      <c r="CH209" s="391"/>
      <c r="CI209" s="386"/>
      <c r="CJ209" s="386"/>
      <c r="CK209" s="390"/>
      <c r="CL209" s="390"/>
      <c r="CM209" s="391"/>
      <c r="CN209" s="389"/>
      <c r="CO209" s="389"/>
      <c r="CP209" s="135"/>
      <c r="CQ209" s="135"/>
      <c r="CR209" s="135"/>
      <c r="CS209" s="135"/>
      <c r="CT209" s="135"/>
      <c r="CU209" s="135"/>
    </row>
    <row r="210" spans="1:99">
      <c r="A210" s="342" t="s">
        <v>442</v>
      </c>
      <c r="B210" s="342" t="s">
        <v>441</v>
      </c>
      <c r="C210" s="342" t="s">
        <v>1036</v>
      </c>
      <c r="D210" s="157">
        <v>0</v>
      </c>
      <c r="E210" s="157">
        <v>268778.23</v>
      </c>
      <c r="F210" s="157">
        <v>446043.55</v>
      </c>
      <c r="G210" s="157">
        <v>23386628</v>
      </c>
      <c r="H210" s="157">
        <v>5916223.0199999996</v>
      </c>
      <c r="I210" s="157">
        <v>4908144.5999999996</v>
      </c>
      <c r="J210" s="157">
        <v>8737211.1799999997</v>
      </c>
      <c r="K210" s="157">
        <v>10420329.859999999</v>
      </c>
      <c r="L210" s="157">
        <v>537107.96</v>
      </c>
      <c r="M210" s="157">
        <v>8405910.3000000007</v>
      </c>
      <c r="N210" s="264">
        <v>2.7199999999999998E-2</v>
      </c>
      <c r="O210" s="265">
        <v>0.113</v>
      </c>
      <c r="P210" s="157">
        <v>0</v>
      </c>
      <c r="Q210" s="396">
        <v>0</v>
      </c>
      <c r="R210" s="396">
        <v>0</v>
      </c>
      <c r="S210" s="397">
        <v>0</v>
      </c>
      <c r="T210" s="397">
        <v>0</v>
      </c>
      <c r="U210" s="397">
        <v>0</v>
      </c>
      <c r="V210" s="157">
        <v>0</v>
      </c>
      <c r="W210" s="397">
        <v>0</v>
      </c>
      <c r="X210" s="397">
        <v>0</v>
      </c>
      <c r="Y210" s="157">
        <v>0</v>
      </c>
      <c r="Z210" s="157">
        <v>2274.4699999999998</v>
      </c>
      <c r="AA210" s="157">
        <v>666706.54</v>
      </c>
      <c r="AB210" s="157">
        <v>1334350.0900000001</v>
      </c>
      <c r="AC210" s="157">
        <v>9406576.7100000009</v>
      </c>
      <c r="AD210" s="157">
        <v>1019.86</v>
      </c>
      <c r="AE210" s="157">
        <v>8760814</v>
      </c>
      <c r="AF210" s="398">
        <f t="shared" si="60"/>
        <v>8590.2123820916604</v>
      </c>
      <c r="AG210" s="398">
        <f t="shared" si="61"/>
        <v>9223.3999862726268</v>
      </c>
      <c r="AH210" s="399">
        <f t="shared" si="62"/>
        <v>633.19000000000005</v>
      </c>
      <c r="AI210" s="157">
        <v>148.66</v>
      </c>
      <c r="AJ210" s="157">
        <v>1239174.97</v>
      </c>
      <c r="AK210" s="398">
        <f t="shared" si="63"/>
        <v>8335.6314408717881</v>
      </c>
      <c r="AL210" s="398">
        <f t="shared" si="64"/>
        <v>8975.8515404278223</v>
      </c>
      <c r="AM210" s="399">
        <f t="shared" si="65"/>
        <v>640.22</v>
      </c>
      <c r="AN210" s="397">
        <v>0</v>
      </c>
      <c r="AO210" s="397">
        <v>0</v>
      </c>
      <c r="AP210" s="46"/>
      <c r="AQ210" s="402">
        <v>536613.52</v>
      </c>
      <c r="AR210" s="274">
        <v>2015531.5699999998</v>
      </c>
      <c r="AS210" s="413">
        <v>628215.34</v>
      </c>
      <c r="AX210" s="2"/>
      <c r="BA210" s="342"/>
      <c r="BB210" s="342"/>
      <c r="BC210" s="342"/>
      <c r="BD210" s="386"/>
      <c r="BE210" s="386"/>
      <c r="BF210" s="386"/>
      <c r="BG210" s="386"/>
      <c r="BH210" s="386"/>
      <c r="BI210" s="386"/>
      <c r="BJ210" s="386"/>
      <c r="BK210" s="386"/>
      <c r="BL210" s="386"/>
      <c r="BM210" s="386"/>
      <c r="BN210" s="387"/>
      <c r="BO210" s="265"/>
      <c r="BP210" s="386"/>
      <c r="BQ210" s="388"/>
      <c r="BR210" s="388"/>
      <c r="BS210" s="389"/>
      <c r="BT210" s="389"/>
      <c r="BU210" s="389"/>
      <c r="BV210" s="386"/>
      <c r="BW210" s="389"/>
      <c r="BX210" s="389"/>
      <c r="BY210" s="386"/>
      <c r="BZ210" s="386"/>
      <c r="CA210" s="386"/>
      <c r="CB210" s="386"/>
      <c r="CC210" s="386"/>
      <c r="CD210" s="386"/>
      <c r="CE210" s="386"/>
      <c r="CF210" s="390"/>
      <c r="CG210" s="390"/>
      <c r="CH210" s="391"/>
      <c r="CI210" s="386"/>
      <c r="CJ210" s="386"/>
      <c r="CK210" s="390"/>
      <c r="CL210" s="390"/>
      <c r="CM210" s="391"/>
      <c r="CN210" s="389"/>
      <c r="CO210" s="389"/>
      <c r="CP210" s="135"/>
      <c r="CQ210" s="135"/>
      <c r="CR210" s="135"/>
      <c r="CS210" s="135"/>
      <c r="CT210" s="135"/>
      <c r="CU210" s="135"/>
    </row>
    <row r="211" spans="1:99">
      <c r="A211" s="342" t="s">
        <v>444</v>
      </c>
      <c r="B211" s="342" t="s">
        <v>443</v>
      </c>
      <c r="C211" s="342" t="s">
        <v>1037</v>
      </c>
      <c r="D211" s="157">
        <v>0</v>
      </c>
      <c r="E211" s="157">
        <v>13082.77</v>
      </c>
      <c r="F211" s="157">
        <v>5583.37</v>
      </c>
      <c r="G211" s="157">
        <v>341180.65</v>
      </c>
      <c r="H211" s="157">
        <v>57232.71</v>
      </c>
      <c r="I211" s="157">
        <v>89829.61</v>
      </c>
      <c r="J211" s="157">
        <v>145825.91</v>
      </c>
      <c r="K211" s="157">
        <v>48535.24</v>
      </c>
      <c r="L211" s="157">
        <v>8137.13</v>
      </c>
      <c r="M211" s="157">
        <v>223444.33</v>
      </c>
      <c r="N211" s="264">
        <v>3.6299999999999999E-2</v>
      </c>
      <c r="O211" s="265">
        <v>0.24060000000000001</v>
      </c>
      <c r="P211" s="157">
        <v>0</v>
      </c>
      <c r="Q211" s="396">
        <v>0</v>
      </c>
      <c r="R211" s="396">
        <v>0</v>
      </c>
      <c r="S211" s="397">
        <v>0</v>
      </c>
      <c r="T211" s="397">
        <v>0</v>
      </c>
      <c r="U211" s="397">
        <v>0</v>
      </c>
      <c r="V211" s="157">
        <v>0</v>
      </c>
      <c r="W211" s="397">
        <v>0</v>
      </c>
      <c r="X211" s="397">
        <v>0</v>
      </c>
      <c r="Y211" s="157">
        <v>0</v>
      </c>
      <c r="Z211" s="157">
        <v>0</v>
      </c>
      <c r="AA211" s="157">
        <v>0</v>
      </c>
      <c r="AB211" s="157">
        <v>4147.75</v>
      </c>
      <c r="AC211" s="157">
        <v>103081</v>
      </c>
      <c r="AD211" s="157">
        <v>10.210000000000001</v>
      </c>
      <c r="AE211" s="157">
        <v>89420.55</v>
      </c>
      <c r="AF211" s="398">
        <f t="shared" si="60"/>
        <v>8758.134182174339</v>
      </c>
      <c r="AG211" s="398">
        <f t="shared" si="61"/>
        <v>10096.082272282076</v>
      </c>
      <c r="AH211" s="399">
        <f t="shared" si="62"/>
        <v>1337.95</v>
      </c>
      <c r="AI211" s="157">
        <v>0.46</v>
      </c>
      <c r="AJ211" s="157">
        <v>3720.05</v>
      </c>
      <c r="AK211" s="398">
        <f t="shared" si="63"/>
        <v>8087.065217391304</v>
      </c>
      <c r="AL211" s="398">
        <f t="shared" si="64"/>
        <v>9016.847826086956</v>
      </c>
      <c r="AM211" s="399">
        <f t="shared" si="65"/>
        <v>929.78</v>
      </c>
      <c r="AN211" s="397">
        <v>0</v>
      </c>
      <c r="AO211" s="397">
        <v>0</v>
      </c>
      <c r="AP211" s="46"/>
      <c r="AQ211" s="402">
        <v>41467.650000000009</v>
      </c>
      <c r="AR211" s="274">
        <v>37632.25</v>
      </c>
      <c r="AS211" s="413">
        <v>18428.2</v>
      </c>
      <c r="AX211" s="2"/>
      <c r="BA211" s="342"/>
      <c r="BB211" s="342"/>
      <c r="BC211" s="342"/>
      <c r="BD211" s="386"/>
      <c r="BE211" s="386"/>
      <c r="BF211" s="386"/>
      <c r="BG211" s="386"/>
      <c r="BH211" s="386"/>
      <c r="BI211" s="386"/>
      <c r="BJ211" s="386"/>
      <c r="BK211" s="386"/>
      <c r="BL211" s="386"/>
      <c r="BM211" s="386"/>
      <c r="BN211" s="387"/>
      <c r="BO211" s="265"/>
      <c r="BP211" s="386"/>
      <c r="BQ211" s="388"/>
      <c r="BR211" s="388"/>
      <c r="BS211" s="389"/>
      <c r="BT211" s="389"/>
      <c r="BU211" s="389"/>
      <c r="BV211" s="386"/>
      <c r="BW211" s="389"/>
      <c r="BX211" s="389"/>
      <c r="BY211" s="386"/>
      <c r="BZ211" s="386"/>
      <c r="CA211" s="386"/>
      <c r="CB211" s="386"/>
      <c r="CC211" s="386"/>
      <c r="CD211" s="386"/>
      <c r="CE211" s="386"/>
      <c r="CF211" s="390"/>
      <c r="CG211" s="390"/>
      <c r="CH211" s="391"/>
      <c r="CI211" s="386"/>
      <c r="CJ211" s="386"/>
      <c r="CK211" s="390"/>
      <c r="CL211" s="390"/>
      <c r="CM211" s="391"/>
      <c r="CN211" s="389"/>
      <c r="CO211" s="389"/>
      <c r="CP211" s="135"/>
      <c r="CQ211" s="135"/>
      <c r="CR211" s="135"/>
      <c r="CS211" s="135"/>
      <c r="CT211" s="135"/>
      <c r="CU211" s="135"/>
    </row>
    <row r="212" spans="1:99">
      <c r="A212" s="342" t="s">
        <v>446</v>
      </c>
      <c r="B212" s="342" t="s">
        <v>445</v>
      </c>
      <c r="C212" s="342" t="s">
        <v>1038</v>
      </c>
      <c r="D212" s="157">
        <v>17822.53</v>
      </c>
      <c r="E212" s="157">
        <v>5839.4</v>
      </c>
      <c r="F212" s="157">
        <v>1580.04</v>
      </c>
      <c r="G212" s="157">
        <v>221854.09</v>
      </c>
      <c r="H212" s="157">
        <v>19410.919999999998</v>
      </c>
      <c r="I212" s="157">
        <v>42724.49</v>
      </c>
      <c r="J212" s="157">
        <v>93104.23</v>
      </c>
      <c r="K212" s="157">
        <v>46691.98</v>
      </c>
      <c r="L212" s="157">
        <v>0</v>
      </c>
      <c r="M212" s="157">
        <v>364069.17</v>
      </c>
      <c r="N212" s="264">
        <v>5.1999999999999998E-2</v>
      </c>
      <c r="O212" s="265">
        <v>0.27829999999999999</v>
      </c>
      <c r="P212" s="157">
        <v>0</v>
      </c>
      <c r="Q212" s="396">
        <v>0</v>
      </c>
      <c r="R212" s="396">
        <v>0</v>
      </c>
      <c r="S212" s="397">
        <v>0</v>
      </c>
      <c r="T212" s="397">
        <v>0</v>
      </c>
      <c r="U212" s="397">
        <v>0</v>
      </c>
      <c r="V212" s="157">
        <v>0</v>
      </c>
      <c r="W212" s="397">
        <v>0</v>
      </c>
      <c r="X212" s="397">
        <v>0</v>
      </c>
      <c r="Y212" s="157">
        <v>163.53</v>
      </c>
      <c r="Z212" s="157">
        <v>0</v>
      </c>
      <c r="AA212" s="157">
        <v>0</v>
      </c>
      <c r="AB212" s="157">
        <v>96970.44</v>
      </c>
      <c r="AC212" s="157">
        <v>0</v>
      </c>
      <c r="AD212" s="157">
        <v>0</v>
      </c>
      <c r="AE212" s="157">
        <v>0</v>
      </c>
      <c r="AF212" s="398">
        <f t="shared" si="60"/>
        <v>0</v>
      </c>
      <c r="AG212" s="398">
        <f t="shared" si="61"/>
        <v>0</v>
      </c>
      <c r="AH212" s="399">
        <f t="shared" si="62"/>
        <v>0</v>
      </c>
      <c r="AI212" s="157">
        <v>10.8</v>
      </c>
      <c r="AJ212" s="157">
        <v>89942.28</v>
      </c>
      <c r="AK212" s="398">
        <f t="shared" si="63"/>
        <v>8327.9888888888891</v>
      </c>
      <c r="AL212" s="398">
        <f t="shared" si="64"/>
        <v>8978.7444444444445</v>
      </c>
      <c r="AM212" s="399">
        <f t="shared" si="65"/>
        <v>650.76</v>
      </c>
      <c r="AN212" s="397">
        <v>0</v>
      </c>
      <c r="AO212" s="397">
        <v>0</v>
      </c>
      <c r="AP212" s="46"/>
      <c r="AQ212" s="402">
        <v>10266.15</v>
      </c>
      <c r="AR212" s="274">
        <v>17677.120000000003</v>
      </c>
      <c r="AS212" s="413">
        <v>14331.69</v>
      </c>
      <c r="AX212" s="2"/>
      <c r="BA212" s="342"/>
      <c r="BB212" s="342"/>
      <c r="BC212" s="342"/>
      <c r="BD212" s="386"/>
      <c r="BE212" s="386"/>
      <c r="BF212" s="386"/>
      <c r="BG212" s="386"/>
      <c r="BH212" s="386"/>
      <c r="BI212" s="386"/>
      <c r="BJ212" s="386"/>
      <c r="BK212" s="386"/>
      <c r="BL212" s="386"/>
      <c r="BM212" s="386"/>
      <c r="BN212" s="387"/>
      <c r="BO212" s="265"/>
      <c r="BP212" s="386"/>
      <c r="BQ212" s="388"/>
      <c r="BR212" s="388"/>
      <c r="BS212" s="389"/>
      <c r="BT212" s="389"/>
      <c r="BU212" s="389"/>
      <c r="BV212" s="386"/>
      <c r="BW212" s="389"/>
      <c r="BX212" s="389"/>
      <c r="BY212" s="386"/>
      <c r="BZ212" s="386"/>
      <c r="CA212" s="386"/>
      <c r="CB212" s="386"/>
      <c r="CC212" s="386"/>
      <c r="CD212" s="386"/>
      <c r="CE212" s="386"/>
      <c r="CF212" s="390"/>
      <c r="CG212" s="390"/>
      <c r="CH212" s="391"/>
      <c r="CI212" s="386"/>
      <c r="CJ212" s="386"/>
      <c r="CK212" s="390"/>
      <c r="CL212" s="390"/>
      <c r="CM212" s="391"/>
      <c r="CN212" s="389"/>
      <c r="CO212" s="389"/>
      <c r="CP212" s="135"/>
      <c r="CQ212" s="135"/>
      <c r="CR212" s="135"/>
      <c r="CS212" s="135"/>
      <c r="CT212" s="135"/>
      <c r="CU212" s="135"/>
    </row>
    <row r="213" spans="1:99">
      <c r="A213" s="342" t="s">
        <v>448</v>
      </c>
      <c r="B213" s="342" t="s">
        <v>447</v>
      </c>
      <c r="C213" s="342" t="s">
        <v>1039</v>
      </c>
      <c r="D213" s="157">
        <v>0</v>
      </c>
      <c r="E213" s="157">
        <v>470.33</v>
      </c>
      <c r="F213" s="157">
        <v>1002.13</v>
      </c>
      <c r="G213" s="157">
        <v>401149.82</v>
      </c>
      <c r="H213" s="157">
        <v>98964.74</v>
      </c>
      <c r="I213" s="157">
        <v>77730.990000000005</v>
      </c>
      <c r="J213" s="157">
        <v>100215.16</v>
      </c>
      <c r="K213" s="157">
        <v>0</v>
      </c>
      <c r="L213" s="157">
        <v>8137.13</v>
      </c>
      <c r="M213" s="157">
        <v>139693.13</v>
      </c>
      <c r="N213" s="264">
        <v>1.8800000000000001E-2</v>
      </c>
      <c r="O213" s="265">
        <v>0.19339999999999999</v>
      </c>
      <c r="P213" s="157">
        <v>0</v>
      </c>
      <c r="Q213" s="396">
        <v>0</v>
      </c>
      <c r="R213" s="396">
        <v>0</v>
      </c>
      <c r="S213" s="397">
        <v>0</v>
      </c>
      <c r="T213" s="397">
        <v>0</v>
      </c>
      <c r="U213" s="397">
        <v>0</v>
      </c>
      <c r="V213" s="157">
        <v>0</v>
      </c>
      <c r="W213" s="397">
        <v>0</v>
      </c>
      <c r="X213" s="397">
        <v>0</v>
      </c>
      <c r="Y213" s="157">
        <v>0</v>
      </c>
      <c r="Z213" s="157">
        <v>1458.74</v>
      </c>
      <c r="AA213" s="157">
        <v>0</v>
      </c>
      <c r="AB213" s="157">
        <v>89446.33</v>
      </c>
      <c r="AC213" s="157">
        <v>145525.95000000001</v>
      </c>
      <c r="AD213" s="157">
        <v>15.86</v>
      </c>
      <c r="AE213" s="157">
        <v>138957.12</v>
      </c>
      <c r="AF213" s="398">
        <f t="shared" si="60"/>
        <v>8761.4829760403536</v>
      </c>
      <c r="AG213" s="398">
        <f t="shared" si="61"/>
        <v>9175.6588902900385</v>
      </c>
      <c r="AH213" s="399">
        <f t="shared" si="62"/>
        <v>414.18</v>
      </c>
      <c r="AI213" s="157">
        <v>9.75</v>
      </c>
      <c r="AJ213" s="157">
        <v>82995.42</v>
      </c>
      <c r="AK213" s="398">
        <f t="shared" si="63"/>
        <v>8512.3507692307685</v>
      </c>
      <c r="AL213" s="398">
        <f t="shared" si="64"/>
        <v>9173.9825641025636</v>
      </c>
      <c r="AM213" s="399">
        <f t="shared" si="65"/>
        <v>661.63</v>
      </c>
      <c r="AN213" s="397">
        <v>0</v>
      </c>
      <c r="AO213" s="397">
        <v>0</v>
      </c>
      <c r="AP213" s="46"/>
      <c r="AQ213" s="402">
        <v>9734.2200000000048</v>
      </c>
      <c r="AR213" s="274">
        <v>38899.93</v>
      </c>
      <c r="AS213" s="413">
        <v>18126.560000000001</v>
      </c>
      <c r="AX213" s="2"/>
      <c r="BA213" s="342"/>
      <c r="BB213" s="342"/>
      <c r="BC213" s="342"/>
      <c r="BD213" s="386"/>
      <c r="BE213" s="386"/>
      <c r="BF213" s="386"/>
      <c r="BG213" s="386"/>
      <c r="BH213" s="386"/>
      <c r="BI213" s="386"/>
      <c r="BJ213" s="386"/>
      <c r="BK213" s="386"/>
      <c r="BL213" s="386"/>
      <c r="BM213" s="386"/>
      <c r="BN213" s="387"/>
      <c r="BO213" s="265"/>
      <c r="BP213" s="386"/>
      <c r="BQ213" s="388"/>
      <c r="BR213" s="388"/>
      <c r="BS213" s="389"/>
      <c r="BT213" s="389"/>
      <c r="BU213" s="389"/>
      <c r="BV213" s="386"/>
      <c r="BW213" s="389"/>
      <c r="BX213" s="389"/>
      <c r="BY213" s="386"/>
      <c r="BZ213" s="386"/>
      <c r="CA213" s="386"/>
      <c r="CB213" s="386"/>
      <c r="CC213" s="386"/>
      <c r="CD213" s="386"/>
      <c r="CE213" s="386"/>
      <c r="CF213" s="390"/>
      <c r="CG213" s="390"/>
      <c r="CH213" s="391"/>
      <c r="CI213" s="386"/>
      <c r="CJ213" s="386"/>
      <c r="CK213" s="390"/>
      <c r="CL213" s="390"/>
      <c r="CM213" s="391"/>
      <c r="CN213" s="389"/>
      <c r="CO213" s="389"/>
      <c r="CP213" s="135"/>
      <c r="CQ213" s="135"/>
      <c r="CR213" s="135"/>
      <c r="CS213" s="135"/>
      <c r="CT213" s="135"/>
      <c r="CU213" s="135"/>
    </row>
    <row r="214" spans="1:99">
      <c r="A214" s="342" t="s">
        <v>450</v>
      </c>
      <c r="B214" s="342" t="s">
        <v>449</v>
      </c>
      <c r="C214" s="342" t="s">
        <v>1040</v>
      </c>
      <c r="D214" s="157">
        <v>0</v>
      </c>
      <c r="E214" s="157">
        <v>109852.09</v>
      </c>
      <c r="F214" s="157">
        <v>0</v>
      </c>
      <c r="G214" s="157">
        <v>14341659.65</v>
      </c>
      <c r="H214" s="157">
        <v>2527777.56</v>
      </c>
      <c r="I214" s="157">
        <v>0</v>
      </c>
      <c r="J214" s="157">
        <v>1148008.73</v>
      </c>
      <c r="K214" s="157">
        <v>424015.93</v>
      </c>
      <c r="L214" s="157">
        <v>300834.68</v>
      </c>
      <c r="M214" s="157">
        <v>6616655.2699999996</v>
      </c>
      <c r="N214" s="264">
        <v>5.0599999999999999E-2</v>
      </c>
      <c r="O214" s="265">
        <v>0.151</v>
      </c>
      <c r="P214" s="157">
        <v>0</v>
      </c>
      <c r="Q214" s="396">
        <v>0</v>
      </c>
      <c r="R214" s="396">
        <v>0</v>
      </c>
      <c r="S214" s="397">
        <v>0</v>
      </c>
      <c r="T214" s="397">
        <v>0</v>
      </c>
      <c r="U214" s="397">
        <v>0</v>
      </c>
      <c r="V214" s="157">
        <v>0</v>
      </c>
      <c r="W214" s="397">
        <v>0</v>
      </c>
      <c r="X214" s="397">
        <v>0</v>
      </c>
      <c r="Y214" s="157">
        <v>10105.89</v>
      </c>
      <c r="Z214" s="157">
        <v>66604.679999999993</v>
      </c>
      <c r="AA214" s="157">
        <v>390325.72</v>
      </c>
      <c r="AB214" s="157">
        <v>961903.3</v>
      </c>
      <c r="AC214" s="157">
        <v>4624796.9800000004</v>
      </c>
      <c r="AD214" s="157">
        <v>444.22</v>
      </c>
      <c r="AE214" s="157">
        <v>4211710.41</v>
      </c>
      <c r="AF214" s="398">
        <f t="shared" si="60"/>
        <v>9481.1363963801723</v>
      </c>
      <c r="AG214" s="398">
        <f t="shared" si="61"/>
        <v>10411.050785646752</v>
      </c>
      <c r="AH214" s="399">
        <f t="shared" si="62"/>
        <v>929.91</v>
      </c>
      <c r="AI214" s="157">
        <v>96.86</v>
      </c>
      <c r="AJ214" s="157">
        <v>892821.74</v>
      </c>
      <c r="AK214" s="398">
        <f t="shared" si="63"/>
        <v>9217.6516621928549</v>
      </c>
      <c r="AL214" s="398">
        <f t="shared" si="64"/>
        <v>9930.8620689655181</v>
      </c>
      <c r="AM214" s="399">
        <f t="shared" si="65"/>
        <v>713.21</v>
      </c>
      <c r="AN214" s="397">
        <v>0</v>
      </c>
      <c r="AO214" s="397">
        <v>0</v>
      </c>
      <c r="AP214" s="46"/>
      <c r="AQ214" s="402">
        <v>0</v>
      </c>
      <c r="AR214" s="274">
        <v>963510.41999999993</v>
      </c>
      <c r="AS214" s="413">
        <v>251928.49</v>
      </c>
      <c r="AX214" s="2"/>
      <c r="BA214" s="342"/>
      <c r="BB214" s="342"/>
      <c r="BC214" s="342"/>
      <c r="BD214" s="386"/>
      <c r="BE214" s="386"/>
      <c r="BF214" s="386"/>
      <c r="BG214" s="386"/>
      <c r="BH214" s="386"/>
      <c r="BI214" s="386"/>
      <c r="BJ214" s="386"/>
      <c r="BK214" s="386"/>
      <c r="BL214" s="386"/>
      <c r="BM214" s="386"/>
      <c r="BN214" s="387"/>
      <c r="BO214" s="265"/>
      <c r="BP214" s="386"/>
      <c r="BQ214" s="388"/>
      <c r="BR214" s="388"/>
      <c r="BS214" s="389"/>
      <c r="BT214" s="389"/>
      <c r="BU214" s="389"/>
      <c r="BV214" s="386"/>
      <c r="BW214" s="389"/>
      <c r="BX214" s="389"/>
      <c r="BY214" s="386"/>
      <c r="BZ214" s="386"/>
      <c r="CA214" s="386"/>
      <c r="CB214" s="386"/>
      <c r="CC214" s="386"/>
      <c r="CD214" s="386"/>
      <c r="CE214" s="386"/>
      <c r="CF214" s="390"/>
      <c r="CG214" s="390"/>
      <c r="CH214" s="391"/>
      <c r="CI214" s="386"/>
      <c r="CJ214" s="386"/>
      <c r="CK214" s="390"/>
      <c r="CL214" s="390"/>
      <c r="CM214" s="391"/>
      <c r="CN214" s="389"/>
      <c r="CO214" s="389"/>
      <c r="CP214" s="135"/>
      <c r="CQ214" s="135"/>
      <c r="CR214" s="135"/>
      <c r="CS214" s="135"/>
      <c r="CT214" s="135"/>
      <c r="CU214" s="135"/>
    </row>
    <row r="215" spans="1:99">
      <c r="A215" s="342" t="s">
        <v>452</v>
      </c>
      <c r="B215" s="343" t="s">
        <v>451</v>
      </c>
      <c r="C215" s="343" t="s">
        <v>1041</v>
      </c>
      <c r="D215" s="157">
        <v>0</v>
      </c>
      <c r="E215" s="157">
        <v>0</v>
      </c>
      <c r="F215" s="157">
        <v>0</v>
      </c>
      <c r="G215" s="157">
        <v>193422.38</v>
      </c>
      <c r="H215" s="157">
        <v>30338.93</v>
      </c>
      <c r="I215" s="157">
        <v>0</v>
      </c>
      <c r="J215" s="157">
        <v>32171.279999999999</v>
      </c>
      <c r="K215" s="157">
        <v>37608.89</v>
      </c>
      <c r="L215" s="157">
        <v>0</v>
      </c>
      <c r="M215" s="157">
        <v>79317.570000000007</v>
      </c>
      <c r="N215" s="264">
        <v>0.08</v>
      </c>
      <c r="O215" s="265">
        <v>0.1</v>
      </c>
      <c r="P215" s="157">
        <v>0</v>
      </c>
      <c r="Q215" s="396">
        <v>0</v>
      </c>
      <c r="R215" s="396">
        <v>0</v>
      </c>
      <c r="S215" s="397">
        <v>0</v>
      </c>
      <c r="T215" s="397">
        <v>0</v>
      </c>
      <c r="U215" s="397">
        <v>0</v>
      </c>
      <c r="V215" s="157">
        <v>0</v>
      </c>
      <c r="W215" s="397">
        <v>0</v>
      </c>
      <c r="X215" s="397">
        <v>0</v>
      </c>
      <c r="Y215" s="157">
        <v>0</v>
      </c>
      <c r="Z215" s="157">
        <v>0</v>
      </c>
      <c r="AA215" s="157">
        <v>0</v>
      </c>
      <c r="AB215" s="157">
        <v>61530.85</v>
      </c>
      <c r="AC215" s="157">
        <v>0</v>
      </c>
      <c r="AD215" s="157">
        <v>0</v>
      </c>
      <c r="AE215" s="157">
        <v>0</v>
      </c>
      <c r="AF215" s="398">
        <f t="shared" si="60"/>
        <v>0</v>
      </c>
      <c r="AG215" s="398">
        <f t="shared" si="61"/>
        <v>0</v>
      </c>
      <c r="AH215" s="399">
        <f t="shared" si="62"/>
        <v>0</v>
      </c>
      <c r="AI215" s="157">
        <v>6.7</v>
      </c>
      <c r="AJ215" s="157">
        <v>57022.55</v>
      </c>
      <c r="AK215" s="398">
        <f t="shared" si="63"/>
        <v>8510.8283582089553</v>
      </c>
      <c r="AL215" s="398">
        <f t="shared" si="64"/>
        <v>9183.7089552238795</v>
      </c>
      <c r="AM215" s="399">
        <f t="shared" si="65"/>
        <v>672.88</v>
      </c>
      <c r="AN215" s="397">
        <v>0</v>
      </c>
      <c r="AO215" s="397">
        <v>0</v>
      </c>
      <c r="AP215" s="46"/>
      <c r="AQ215" s="402">
        <v>0</v>
      </c>
      <c r="AR215" s="274">
        <v>15600.060000000001</v>
      </c>
      <c r="AS215" s="413">
        <v>14236.78</v>
      </c>
      <c r="AX215" s="2"/>
      <c r="BA215" s="342"/>
      <c r="BB215" s="342"/>
      <c r="BC215" s="342"/>
      <c r="BD215" s="386"/>
      <c r="BE215" s="386"/>
      <c r="BF215" s="386"/>
      <c r="BG215" s="386"/>
      <c r="BH215" s="386"/>
      <c r="BI215" s="386"/>
      <c r="BJ215" s="386"/>
      <c r="BK215" s="386"/>
      <c r="BL215" s="386"/>
      <c r="BM215" s="386"/>
      <c r="BN215" s="387"/>
      <c r="BO215" s="265"/>
      <c r="BP215" s="386"/>
      <c r="BQ215" s="388"/>
      <c r="BR215" s="388"/>
      <c r="BS215" s="389"/>
      <c r="BT215" s="389"/>
      <c r="BU215" s="389"/>
      <c r="BV215" s="386"/>
      <c r="BW215" s="389"/>
      <c r="BX215" s="389"/>
      <c r="BY215" s="386"/>
      <c r="BZ215" s="386"/>
      <c r="CA215" s="386"/>
      <c r="CB215" s="386"/>
      <c r="CC215" s="386"/>
      <c r="CD215" s="386"/>
      <c r="CE215" s="386"/>
      <c r="CF215" s="390"/>
      <c r="CG215" s="390"/>
      <c r="CH215" s="391"/>
      <c r="CI215" s="386"/>
      <c r="CJ215" s="386"/>
      <c r="CK215" s="390"/>
      <c r="CL215" s="390"/>
      <c r="CM215" s="391"/>
      <c r="CN215" s="389"/>
      <c r="CO215" s="389"/>
      <c r="CP215" s="135"/>
      <c r="CQ215" s="135"/>
      <c r="CR215" s="135"/>
      <c r="CS215" s="135"/>
      <c r="CT215" s="135"/>
      <c r="CU215" s="135"/>
    </row>
    <row r="216" spans="1:99">
      <c r="A216" s="342" t="s">
        <v>454</v>
      </c>
      <c r="B216" s="342" t="s">
        <v>453</v>
      </c>
      <c r="C216" s="342" t="s">
        <v>1042</v>
      </c>
      <c r="D216" s="157">
        <v>0</v>
      </c>
      <c r="E216" s="157">
        <v>23523.5</v>
      </c>
      <c r="F216" s="157">
        <v>7442.05</v>
      </c>
      <c r="G216" s="157">
        <v>1242787.47</v>
      </c>
      <c r="H216" s="157">
        <v>150242.54</v>
      </c>
      <c r="I216" s="157">
        <v>211243.17</v>
      </c>
      <c r="J216" s="157">
        <v>247243.45</v>
      </c>
      <c r="K216" s="157">
        <v>57146.9</v>
      </c>
      <c r="L216" s="157">
        <v>22138.11</v>
      </c>
      <c r="M216" s="157">
        <v>653048.82999999996</v>
      </c>
      <c r="N216" s="264">
        <v>4.3099999999999999E-2</v>
      </c>
      <c r="O216" s="265">
        <v>0.18379999999999999</v>
      </c>
      <c r="P216" s="157">
        <v>0</v>
      </c>
      <c r="Q216" s="396">
        <v>0</v>
      </c>
      <c r="R216" s="396">
        <v>0</v>
      </c>
      <c r="S216" s="397">
        <v>0</v>
      </c>
      <c r="T216" s="397">
        <v>0</v>
      </c>
      <c r="U216" s="397">
        <v>0</v>
      </c>
      <c r="V216" s="157">
        <v>0</v>
      </c>
      <c r="W216" s="397">
        <v>0</v>
      </c>
      <c r="X216" s="397">
        <v>0</v>
      </c>
      <c r="Y216" s="157">
        <v>826.65</v>
      </c>
      <c r="Z216" s="157">
        <v>0</v>
      </c>
      <c r="AA216" s="157">
        <v>0</v>
      </c>
      <c r="AB216" s="157">
        <v>0</v>
      </c>
      <c r="AC216" s="157">
        <v>0</v>
      </c>
      <c r="AD216" s="157">
        <v>0</v>
      </c>
      <c r="AE216" s="157">
        <v>0</v>
      </c>
      <c r="AF216" s="398">
        <f t="shared" si="60"/>
        <v>0</v>
      </c>
      <c r="AG216" s="398">
        <f t="shared" si="61"/>
        <v>0</v>
      </c>
      <c r="AH216" s="399">
        <f t="shared" si="62"/>
        <v>0</v>
      </c>
      <c r="AI216" s="157">
        <v>0</v>
      </c>
      <c r="AJ216" s="157">
        <v>0</v>
      </c>
      <c r="AK216" s="398">
        <f t="shared" si="63"/>
        <v>0</v>
      </c>
      <c r="AL216" s="398">
        <f t="shared" si="64"/>
        <v>0</v>
      </c>
      <c r="AM216" s="399">
        <f t="shared" si="65"/>
        <v>0</v>
      </c>
      <c r="AN216" s="397">
        <v>0</v>
      </c>
      <c r="AO216" s="397">
        <v>0</v>
      </c>
      <c r="AP216" s="46"/>
      <c r="AQ216" s="402">
        <v>0</v>
      </c>
      <c r="AR216" s="274">
        <v>80305.460000000006</v>
      </c>
      <c r="AS216" s="413">
        <v>31645.43</v>
      </c>
      <c r="AX216" s="2"/>
      <c r="BA216" s="342"/>
      <c r="BB216" s="342"/>
      <c r="BC216" s="342"/>
      <c r="BD216" s="386"/>
      <c r="BE216" s="386"/>
      <c r="BF216" s="386"/>
      <c r="BG216" s="386"/>
      <c r="BH216" s="386"/>
      <c r="BI216" s="386"/>
      <c r="BJ216" s="386"/>
      <c r="BK216" s="386"/>
      <c r="BL216" s="386"/>
      <c r="BM216" s="386"/>
      <c r="BN216" s="387"/>
      <c r="BO216" s="265"/>
      <c r="BP216" s="386"/>
      <c r="BQ216" s="388"/>
      <c r="BR216" s="388"/>
      <c r="BS216" s="389"/>
      <c r="BT216" s="389"/>
      <c r="BU216" s="389"/>
      <c r="BV216" s="386"/>
      <c r="BW216" s="389"/>
      <c r="BX216" s="389"/>
      <c r="BY216" s="386"/>
      <c r="BZ216" s="386"/>
      <c r="CA216" s="386"/>
      <c r="CB216" s="386"/>
      <c r="CC216" s="386"/>
      <c r="CD216" s="386"/>
      <c r="CE216" s="386"/>
      <c r="CF216" s="390"/>
      <c r="CG216" s="390"/>
      <c r="CH216" s="391"/>
      <c r="CI216" s="386"/>
      <c r="CJ216" s="386"/>
      <c r="CK216" s="390"/>
      <c r="CL216" s="390"/>
      <c r="CM216" s="391"/>
      <c r="CN216" s="389"/>
      <c r="CO216" s="389"/>
      <c r="CP216" s="135"/>
      <c r="CQ216" s="135"/>
      <c r="CR216" s="135"/>
      <c r="CS216" s="135"/>
      <c r="CT216" s="135"/>
      <c r="CU216" s="135"/>
    </row>
    <row r="217" spans="1:99">
      <c r="A217" s="342" t="s">
        <v>456</v>
      </c>
      <c r="B217" s="342" t="s">
        <v>455</v>
      </c>
      <c r="C217" s="342" t="s">
        <v>1043</v>
      </c>
      <c r="D217" s="157">
        <v>0</v>
      </c>
      <c r="E217" s="157">
        <v>0</v>
      </c>
      <c r="F217" s="157">
        <v>0</v>
      </c>
      <c r="G217" s="157">
        <v>455531.63</v>
      </c>
      <c r="H217" s="157">
        <v>123448.24</v>
      </c>
      <c r="I217" s="157">
        <v>45824.88</v>
      </c>
      <c r="J217" s="157">
        <v>121307.46</v>
      </c>
      <c r="K217" s="157">
        <v>7248.76</v>
      </c>
      <c r="L217" s="157">
        <v>10706.73</v>
      </c>
      <c r="M217" s="157">
        <v>334749.65000000002</v>
      </c>
      <c r="N217" s="264">
        <v>5.0299999999999997E-2</v>
      </c>
      <c r="O217" s="265">
        <v>0.2535</v>
      </c>
      <c r="P217" s="157">
        <v>0</v>
      </c>
      <c r="Q217" s="396">
        <v>0</v>
      </c>
      <c r="R217" s="396">
        <v>0</v>
      </c>
      <c r="S217" s="397">
        <v>0</v>
      </c>
      <c r="T217" s="397">
        <v>0</v>
      </c>
      <c r="U217" s="397">
        <v>0</v>
      </c>
      <c r="V217" s="157">
        <v>0</v>
      </c>
      <c r="W217" s="397">
        <v>0</v>
      </c>
      <c r="X217" s="397">
        <v>0</v>
      </c>
      <c r="Y217" s="157">
        <v>0</v>
      </c>
      <c r="Z217" s="157">
        <v>0</v>
      </c>
      <c r="AA217" s="157">
        <v>0</v>
      </c>
      <c r="AB217" s="157">
        <v>96480.46</v>
      </c>
      <c r="AC217" s="157">
        <v>354050.67</v>
      </c>
      <c r="AD217" s="157">
        <v>38.35</v>
      </c>
      <c r="AE217" s="157">
        <v>336102.31</v>
      </c>
      <c r="AF217" s="398">
        <f t="shared" si="60"/>
        <v>8764.0758800521508</v>
      </c>
      <c r="AG217" s="398">
        <f t="shared" si="61"/>
        <v>9232.0904823989567</v>
      </c>
      <c r="AH217" s="399">
        <f t="shared" si="62"/>
        <v>468.01</v>
      </c>
      <c r="AI217" s="157">
        <v>10.53</v>
      </c>
      <c r="AJ217" s="157">
        <v>89639.53</v>
      </c>
      <c r="AK217" s="398">
        <f t="shared" si="63"/>
        <v>8512.7758784425459</v>
      </c>
      <c r="AL217" s="398">
        <f t="shared" si="64"/>
        <v>9162.4368471035141</v>
      </c>
      <c r="AM217" s="399">
        <f t="shared" si="65"/>
        <v>649.66</v>
      </c>
      <c r="AN217" s="397">
        <v>4791.8100000000004</v>
      </c>
      <c r="AO217" s="397">
        <v>0</v>
      </c>
      <c r="AP217" s="46"/>
      <c r="AQ217" s="402">
        <v>0</v>
      </c>
      <c r="AR217" s="274">
        <v>45546.78</v>
      </c>
      <c r="AS217" s="413">
        <v>20756.75</v>
      </c>
      <c r="AX217" s="2"/>
      <c r="BA217" s="342"/>
      <c r="BB217" s="342"/>
      <c r="BC217" s="342"/>
      <c r="BD217" s="386"/>
      <c r="BE217" s="386"/>
      <c r="BF217" s="386"/>
      <c r="BG217" s="386"/>
      <c r="BH217" s="386"/>
      <c r="BI217" s="386"/>
      <c r="BJ217" s="386"/>
      <c r="BK217" s="386"/>
      <c r="BL217" s="386"/>
      <c r="BM217" s="386"/>
      <c r="BN217" s="387"/>
      <c r="BO217" s="265"/>
      <c r="BP217" s="386"/>
      <c r="BQ217" s="388"/>
      <c r="BR217" s="388"/>
      <c r="BS217" s="389"/>
      <c r="BT217" s="389"/>
      <c r="BU217" s="389"/>
      <c r="BV217" s="386"/>
      <c r="BW217" s="389"/>
      <c r="BX217" s="389"/>
      <c r="BY217" s="386"/>
      <c r="BZ217" s="386"/>
      <c r="CA217" s="386"/>
      <c r="CB217" s="386"/>
      <c r="CC217" s="386"/>
      <c r="CD217" s="386"/>
      <c r="CE217" s="386"/>
      <c r="CF217" s="390"/>
      <c r="CG217" s="390"/>
      <c r="CH217" s="391"/>
      <c r="CI217" s="386"/>
      <c r="CJ217" s="386"/>
      <c r="CK217" s="390"/>
      <c r="CL217" s="390"/>
      <c r="CM217" s="391"/>
      <c r="CN217" s="389"/>
      <c r="CO217" s="389"/>
      <c r="CP217" s="135"/>
      <c r="CQ217" s="135"/>
      <c r="CR217" s="135"/>
      <c r="CS217" s="135"/>
      <c r="CT217" s="135"/>
      <c r="CU217" s="135"/>
    </row>
    <row r="218" spans="1:99">
      <c r="A218" s="342" t="s">
        <v>458</v>
      </c>
      <c r="B218" s="342" t="s">
        <v>457</v>
      </c>
      <c r="C218" s="342" t="s">
        <v>1044</v>
      </c>
      <c r="D218" s="157">
        <v>0</v>
      </c>
      <c r="E218" s="157">
        <v>0</v>
      </c>
      <c r="F218" s="157">
        <v>42106.1</v>
      </c>
      <c r="G218" s="157">
        <v>5120890.7699999996</v>
      </c>
      <c r="H218" s="157">
        <v>1178234.44</v>
      </c>
      <c r="I218" s="157">
        <v>687170.22</v>
      </c>
      <c r="J218" s="157">
        <v>1244062.68</v>
      </c>
      <c r="K218" s="157">
        <v>97928.99</v>
      </c>
      <c r="L218" s="157">
        <v>105751.17</v>
      </c>
      <c r="M218" s="157">
        <v>1779918.62</v>
      </c>
      <c r="N218" s="264">
        <v>4.5199999999999997E-2</v>
      </c>
      <c r="O218" s="265">
        <v>0.15240000000000001</v>
      </c>
      <c r="P218" s="157">
        <v>0</v>
      </c>
      <c r="Q218" s="396">
        <v>0</v>
      </c>
      <c r="R218" s="396">
        <v>0</v>
      </c>
      <c r="S218" s="397">
        <v>0</v>
      </c>
      <c r="T218" s="397">
        <v>0</v>
      </c>
      <c r="U218" s="397">
        <v>0</v>
      </c>
      <c r="V218" s="157">
        <v>0</v>
      </c>
      <c r="W218" s="397">
        <v>0</v>
      </c>
      <c r="X218" s="397">
        <v>0</v>
      </c>
      <c r="Y218" s="157">
        <v>870.63</v>
      </c>
      <c r="Z218" s="157">
        <v>0</v>
      </c>
      <c r="AA218" s="157">
        <v>79118.100000000006</v>
      </c>
      <c r="AB218" s="157">
        <v>597805.43999999994</v>
      </c>
      <c r="AC218" s="157">
        <v>1945401.92</v>
      </c>
      <c r="AD218" s="157">
        <v>206.76</v>
      </c>
      <c r="AE218" s="157">
        <v>1813282.1</v>
      </c>
      <c r="AF218" s="398">
        <f t="shared" si="60"/>
        <v>8769.9850067711359</v>
      </c>
      <c r="AG218" s="398">
        <f t="shared" si="61"/>
        <v>9408.9858773457145</v>
      </c>
      <c r="AH218" s="399">
        <f t="shared" si="62"/>
        <v>639</v>
      </c>
      <c r="AI218" s="157">
        <v>65.22</v>
      </c>
      <c r="AJ218" s="157">
        <v>555122.74</v>
      </c>
      <c r="AK218" s="398">
        <f t="shared" si="63"/>
        <v>8511.5415516712674</v>
      </c>
      <c r="AL218" s="398">
        <f t="shared" si="64"/>
        <v>9165.9834406623722</v>
      </c>
      <c r="AM218" s="399">
        <f t="shared" si="65"/>
        <v>654.44000000000005</v>
      </c>
      <c r="AN218" s="397">
        <v>315.12</v>
      </c>
      <c r="AO218" s="397">
        <v>0</v>
      </c>
      <c r="AP218" s="46"/>
      <c r="AQ218" s="402">
        <v>0</v>
      </c>
      <c r="AR218" s="274">
        <v>340297.31999999995</v>
      </c>
      <c r="AS218" s="413">
        <v>110062.55</v>
      </c>
      <c r="AX218" s="2"/>
      <c r="BA218" s="342"/>
      <c r="BB218" s="342"/>
      <c r="BC218" s="342"/>
      <c r="BD218" s="386"/>
      <c r="BE218" s="386"/>
      <c r="BF218" s="386"/>
      <c r="BG218" s="386"/>
      <c r="BH218" s="386"/>
      <c r="BI218" s="386"/>
      <c r="BJ218" s="386"/>
      <c r="BK218" s="386"/>
      <c r="BL218" s="386"/>
      <c r="BM218" s="386"/>
      <c r="BN218" s="387"/>
      <c r="BO218" s="265"/>
      <c r="BP218" s="386"/>
      <c r="BQ218" s="388"/>
      <c r="BR218" s="388"/>
      <c r="BS218" s="389"/>
      <c r="BT218" s="389"/>
      <c r="BU218" s="389"/>
      <c r="BV218" s="386"/>
      <c r="BW218" s="389"/>
      <c r="BX218" s="389"/>
      <c r="BY218" s="386"/>
      <c r="BZ218" s="386"/>
      <c r="CA218" s="386"/>
      <c r="CB218" s="386"/>
      <c r="CC218" s="386"/>
      <c r="CD218" s="386"/>
      <c r="CE218" s="386"/>
      <c r="CF218" s="390"/>
      <c r="CG218" s="390"/>
      <c r="CH218" s="391"/>
      <c r="CI218" s="386"/>
      <c r="CJ218" s="386"/>
      <c r="CK218" s="390"/>
      <c r="CL218" s="390"/>
      <c r="CM218" s="391"/>
      <c r="CN218" s="389"/>
      <c r="CO218" s="389"/>
      <c r="CP218" s="135"/>
      <c r="CQ218" s="135"/>
      <c r="CR218" s="135"/>
      <c r="CS218" s="135"/>
      <c r="CT218" s="135"/>
      <c r="CU218" s="135"/>
    </row>
    <row r="219" spans="1:99">
      <c r="A219" s="342" t="s">
        <v>460</v>
      </c>
      <c r="B219" s="342" t="s">
        <v>459</v>
      </c>
      <c r="C219" s="342" t="s">
        <v>1045</v>
      </c>
      <c r="D219" s="157">
        <v>0</v>
      </c>
      <c r="E219" s="157">
        <v>34129.599999999999</v>
      </c>
      <c r="F219" s="157">
        <v>22452.98</v>
      </c>
      <c r="G219" s="157">
        <v>1689005.3</v>
      </c>
      <c r="H219" s="157">
        <v>225045.79</v>
      </c>
      <c r="I219" s="157">
        <v>46246.12</v>
      </c>
      <c r="J219" s="157">
        <v>368055.97</v>
      </c>
      <c r="K219" s="157">
        <v>57079.66</v>
      </c>
      <c r="L219" s="157">
        <v>38032.080000000002</v>
      </c>
      <c r="M219" s="157">
        <v>748370.07</v>
      </c>
      <c r="N219" s="264">
        <v>4.6800000000000001E-2</v>
      </c>
      <c r="O219" s="265">
        <v>0.2392</v>
      </c>
      <c r="P219" s="157">
        <v>0</v>
      </c>
      <c r="Q219" s="396">
        <v>0</v>
      </c>
      <c r="R219" s="396">
        <v>0</v>
      </c>
      <c r="S219" s="397">
        <v>0</v>
      </c>
      <c r="T219" s="397">
        <v>0</v>
      </c>
      <c r="U219" s="397">
        <v>0</v>
      </c>
      <c r="V219" s="157">
        <v>0</v>
      </c>
      <c r="W219" s="397">
        <v>0</v>
      </c>
      <c r="X219" s="397">
        <v>0</v>
      </c>
      <c r="Y219" s="157">
        <v>0</v>
      </c>
      <c r="Z219" s="157">
        <v>0</v>
      </c>
      <c r="AA219" s="157">
        <v>50800.28</v>
      </c>
      <c r="AB219" s="157">
        <v>0</v>
      </c>
      <c r="AC219" s="157">
        <v>515651.34</v>
      </c>
      <c r="AD219" s="157">
        <v>52.72</v>
      </c>
      <c r="AE219" s="157">
        <v>480905.47</v>
      </c>
      <c r="AF219" s="398">
        <f t="shared" si="60"/>
        <v>9121.8791729893783</v>
      </c>
      <c r="AG219" s="398">
        <f t="shared" si="61"/>
        <v>9780.943474962065</v>
      </c>
      <c r="AH219" s="399">
        <f t="shared" si="62"/>
        <v>659.06</v>
      </c>
      <c r="AI219" s="157">
        <v>0</v>
      </c>
      <c r="AJ219" s="157">
        <v>0</v>
      </c>
      <c r="AK219" s="398">
        <f t="shared" si="63"/>
        <v>0</v>
      </c>
      <c r="AL219" s="398">
        <f t="shared" si="64"/>
        <v>0</v>
      </c>
      <c r="AM219" s="399">
        <f t="shared" si="65"/>
        <v>0</v>
      </c>
      <c r="AN219" s="397">
        <v>0</v>
      </c>
      <c r="AO219" s="397">
        <v>0</v>
      </c>
      <c r="AP219" s="46"/>
      <c r="AQ219" s="402">
        <v>0</v>
      </c>
      <c r="AR219" s="274">
        <v>113597.25</v>
      </c>
      <c r="AS219" s="413">
        <v>47229.39</v>
      </c>
      <c r="AX219" s="2"/>
      <c r="BA219" s="342"/>
      <c r="BB219" s="342"/>
      <c r="BC219" s="342"/>
      <c r="BD219" s="386"/>
      <c r="BE219" s="386"/>
      <c r="BF219" s="386"/>
      <c r="BG219" s="386"/>
      <c r="BH219" s="386"/>
      <c r="BI219" s="386"/>
      <c r="BJ219" s="386"/>
      <c r="BK219" s="386"/>
      <c r="BL219" s="386"/>
      <c r="BM219" s="386"/>
      <c r="BN219" s="387"/>
      <c r="BO219" s="265"/>
      <c r="BP219" s="386"/>
      <c r="BQ219" s="388"/>
      <c r="BR219" s="388"/>
      <c r="BS219" s="389"/>
      <c r="BT219" s="389"/>
      <c r="BU219" s="389"/>
      <c r="BV219" s="386"/>
      <c r="BW219" s="389"/>
      <c r="BX219" s="389"/>
      <c r="BY219" s="386"/>
      <c r="BZ219" s="386"/>
      <c r="CA219" s="386"/>
      <c r="CB219" s="386"/>
      <c r="CC219" s="386"/>
      <c r="CD219" s="386"/>
      <c r="CE219" s="386"/>
      <c r="CF219" s="390"/>
      <c r="CG219" s="390"/>
      <c r="CH219" s="391"/>
      <c r="CI219" s="386"/>
      <c r="CJ219" s="386"/>
      <c r="CK219" s="390"/>
      <c r="CL219" s="390"/>
      <c r="CM219" s="391"/>
      <c r="CN219" s="389"/>
      <c r="CO219" s="389"/>
      <c r="CP219" s="135"/>
      <c r="CQ219" s="135"/>
      <c r="CR219" s="135"/>
      <c r="CS219" s="135"/>
      <c r="CT219" s="135"/>
      <c r="CU219" s="135"/>
    </row>
    <row r="220" spans="1:99">
      <c r="A220" s="342" t="s">
        <v>462</v>
      </c>
      <c r="B220" s="342" t="s">
        <v>461</v>
      </c>
      <c r="C220" s="342" t="s">
        <v>1046</v>
      </c>
      <c r="D220" s="157">
        <v>0</v>
      </c>
      <c r="E220" s="157">
        <v>0</v>
      </c>
      <c r="F220" s="157">
        <v>4277.3100000000004</v>
      </c>
      <c r="G220" s="157">
        <v>315080.24</v>
      </c>
      <c r="H220" s="157">
        <v>51974.239999999998</v>
      </c>
      <c r="I220" s="157">
        <v>75414.429999999993</v>
      </c>
      <c r="J220" s="157">
        <v>136759.78</v>
      </c>
      <c r="K220" s="157">
        <v>139974.43</v>
      </c>
      <c r="L220" s="157">
        <v>0</v>
      </c>
      <c r="M220" s="157">
        <v>452404.62</v>
      </c>
      <c r="N220" s="264">
        <v>3.7699999999999997E-2</v>
      </c>
      <c r="O220" s="266">
        <v>0.2016</v>
      </c>
      <c r="P220" s="157">
        <v>0</v>
      </c>
      <c r="Q220" s="396">
        <v>0</v>
      </c>
      <c r="R220" s="396">
        <v>0</v>
      </c>
      <c r="S220" s="397">
        <v>0</v>
      </c>
      <c r="T220" s="397">
        <v>0</v>
      </c>
      <c r="U220" s="397">
        <v>0</v>
      </c>
      <c r="V220" s="157">
        <v>0</v>
      </c>
      <c r="W220" s="397">
        <v>0</v>
      </c>
      <c r="X220" s="397">
        <v>0</v>
      </c>
      <c r="Y220" s="157">
        <v>227.81</v>
      </c>
      <c r="Z220" s="157">
        <v>0</v>
      </c>
      <c r="AA220" s="157">
        <v>0</v>
      </c>
      <c r="AB220" s="157">
        <v>0</v>
      </c>
      <c r="AC220" s="157">
        <v>7632.72</v>
      </c>
      <c r="AD220" s="157">
        <v>0.85</v>
      </c>
      <c r="AE220" s="157">
        <v>7271.07</v>
      </c>
      <c r="AF220" s="398">
        <f t="shared" si="60"/>
        <v>8554.2000000000007</v>
      </c>
      <c r="AG220" s="398">
        <f t="shared" si="61"/>
        <v>8979.6705882352944</v>
      </c>
      <c r="AH220" s="399">
        <f t="shared" si="62"/>
        <v>425.47</v>
      </c>
      <c r="AI220" s="157">
        <v>0</v>
      </c>
      <c r="AJ220" s="157">
        <v>0</v>
      </c>
      <c r="AK220" s="398">
        <f t="shared" si="63"/>
        <v>0</v>
      </c>
      <c r="AL220" s="398">
        <f t="shared" si="64"/>
        <v>0</v>
      </c>
      <c r="AM220" s="399">
        <f t="shared" si="65"/>
        <v>0</v>
      </c>
      <c r="AN220" s="397">
        <v>0</v>
      </c>
      <c r="AO220" s="397">
        <v>0</v>
      </c>
      <c r="AP220" s="46"/>
      <c r="AQ220" s="402">
        <v>32807.31</v>
      </c>
      <c r="AR220" s="274">
        <v>35126.020000000004</v>
      </c>
      <c r="AS220" s="413">
        <v>18048.43</v>
      </c>
      <c r="AX220" s="2"/>
      <c r="BA220" s="342"/>
      <c r="BB220" s="342"/>
      <c r="BC220" s="342"/>
      <c r="BD220" s="386"/>
      <c r="BE220" s="386"/>
      <c r="BF220" s="386"/>
      <c r="BG220" s="386"/>
      <c r="BH220" s="386"/>
      <c r="BI220" s="386"/>
      <c r="BJ220" s="386"/>
      <c r="BK220" s="386"/>
      <c r="BL220" s="386"/>
      <c r="BM220" s="386"/>
      <c r="BN220" s="387"/>
      <c r="BO220" s="265"/>
      <c r="BP220" s="386"/>
      <c r="BQ220" s="388"/>
      <c r="BR220" s="388"/>
      <c r="BS220" s="389"/>
      <c r="BT220" s="389"/>
      <c r="BU220" s="389"/>
      <c r="BV220" s="386"/>
      <c r="BW220" s="389"/>
      <c r="BX220" s="389"/>
      <c r="BY220" s="386"/>
      <c r="BZ220" s="386"/>
      <c r="CA220" s="386"/>
      <c r="CB220" s="386"/>
      <c r="CC220" s="386"/>
      <c r="CD220" s="386"/>
      <c r="CE220" s="386"/>
      <c r="CF220" s="390"/>
      <c r="CG220" s="390"/>
      <c r="CH220" s="391"/>
      <c r="CI220" s="386"/>
      <c r="CJ220" s="386"/>
      <c r="CK220" s="390"/>
      <c r="CL220" s="390"/>
      <c r="CM220" s="391"/>
      <c r="CN220" s="389"/>
      <c r="CO220" s="389"/>
      <c r="CP220" s="135"/>
      <c r="CQ220" s="135"/>
      <c r="CR220" s="135"/>
      <c r="CS220" s="135"/>
      <c r="CT220" s="135"/>
      <c r="CU220" s="135"/>
    </row>
    <row r="221" spans="1:99">
      <c r="A221" s="342" t="s">
        <v>1047</v>
      </c>
      <c r="B221" s="342" t="s">
        <v>463</v>
      </c>
      <c r="C221" s="342" t="s">
        <v>1048</v>
      </c>
      <c r="D221" s="157">
        <v>0</v>
      </c>
      <c r="E221" s="157">
        <v>0</v>
      </c>
      <c r="F221" s="157">
        <v>0</v>
      </c>
      <c r="G221" s="157">
        <v>603125.06000000006</v>
      </c>
      <c r="H221" s="157">
        <v>93221.97</v>
      </c>
      <c r="I221" s="157">
        <v>191435.1</v>
      </c>
      <c r="J221" s="157">
        <v>242930.38</v>
      </c>
      <c r="K221" s="157">
        <v>0</v>
      </c>
      <c r="L221" s="157">
        <v>0</v>
      </c>
      <c r="M221" s="157">
        <v>812603.01</v>
      </c>
      <c r="N221" s="264">
        <v>7.1400000000000005E-2</v>
      </c>
      <c r="O221" s="265">
        <v>0.37680000000000002</v>
      </c>
      <c r="P221" s="157">
        <v>0</v>
      </c>
      <c r="Q221" s="396">
        <v>0</v>
      </c>
      <c r="R221" s="396">
        <v>0</v>
      </c>
      <c r="S221" s="397">
        <v>0</v>
      </c>
      <c r="T221" s="397">
        <v>0</v>
      </c>
      <c r="U221" s="397">
        <v>0</v>
      </c>
      <c r="V221" s="157">
        <v>0</v>
      </c>
      <c r="W221" s="397">
        <v>0</v>
      </c>
      <c r="X221" s="397">
        <v>0</v>
      </c>
      <c r="Y221" s="157">
        <v>577.41</v>
      </c>
      <c r="Z221" s="157">
        <v>0</v>
      </c>
      <c r="AA221" s="157">
        <v>0</v>
      </c>
      <c r="AB221" s="157">
        <v>0</v>
      </c>
      <c r="AC221" s="157">
        <v>47634.11</v>
      </c>
      <c r="AD221" s="157">
        <v>3.6</v>
      </c>
      <c r="AE221" s="157">
        <v>31501.3</v>
      </c>
      <c r="AF221" s="398">
        <f t="shared" si="60"/>
        <v>8750.3611111111113</v>
      </c>
      <c r="AG221" s="398">
        <f t="shared" si="61"/>
        <v>13231.697222222221</v>
      </c>
      <c r="AH221" s="399">
        <f t="shared" si="62"/>
        <v>4481.34</v>
      </c>
      <c r="AI221" s="157">
        <v>0</v>
      </c>
      <c r="AJ221" s="157">
        <v>0</v>
      </c>
      <c r="AK221" s="398">
        <f t="shared" si="63"/>
        <v>0</v>
      </c>
      <c r="AL221" s="398">
        <f t="shared" si="64"/>
        <v>0</v>
      </c>
      <c r="AM221" s="399">
        <f t="shared" si="65"/>
        <v>0</v>
      </c>
      <c r="AN221" s="397">
        <v>0</v>
      </c>
      <c r="AO221" s="397">
        <v>0</v>
      </c>
      <c r="AP221" s="46"/>
      <c r="AQ221" s="402">
        <v>118986.87000000002</v>
      </c>
      <c r="AR221" s="274">
        <v>48237.760000000009</v>
      </c>
      <c r="AS221" s="413">
        <v>27552.080000000002</v>
      </c>
      <c r="AX221" s="2"/>
      <c r="BA221" s="342"/>
      <c r="BB221" s="342"/>
      <c r="BC221" s="342"/>
      <c r="BD221" s="386"/>
      <c r="BE221" s="386"/>
      <c r="BF221" s="386"/>
      <c r="BG221" s="386"/>
      <c r="BH221" s="386"/>
      <c r="BI221" s="386"/>
      <c r="BJ221" s="386"/>
      <c r="BK221" s="386"/>
      <c r="BL221" s="386"/>
      <c r="BM221" s="386"/>
      <c r="BN221" s="387"/>
      <c r="BO221" s="265"/>
      <c r="BP221" s="386"/>
      <c r="BQ221" s="388"/>
      <c r="BR221" s="388"/>
      <c r="BS221" s="389"/>
      <c r="BT221" s="389"/>
      <c r="BU221" s="389"/>
      <c r="BV221" s="386"/>
      <c r="BW221" s="389"/>
      <c r="BX221" s="389"/>
      <c r="BY221" s="386"/>
      <c r="BZ221" s="386"/>
      <c r="CA221" s="386"/>
      <c r="CB221" s="386"/>
      <c r="CC221" s="386"/>
      <c r="CD221" s="386"/>
      <c r="CE221" s="386"/>
      <c r="CF221" s="390"/>
      <c r="CG221" s="390"/>
      <c r="CH221" s="391"/>
      <c r="CI221" s="386"/>
      <c r="CJ221" s="386"/>
      <c r="CK221" s="390"/>
      <c r="CL221" s="390"/>
      <c r="CM221" s="391"/>
      <c r="CN221" s="389"/>
      <c r="CO221" s="389"/>
      <c r="CP221" s="135"/>
      <c r="CQ221" s="135"/>
      <c r="CR221" s="135"/>
      <c r="CS221" s="135"/>
      <c r="CT221" s="135"/>
      <c r="CU221" s="135"/>
    </row>
    <row r="222" spans="1:99">
      <c r="A222" s="342" t="s">
        <v>466</v>
      </c>
      <c r="B222" s="342" t="s">
        <v>465</v>
      </c>
      <c r="C222" s="342" t="s">
        <v>1049</v>
      </c>
      <c r="D222" s="157">
        <v>0</v>
      </c>
      <c r="E222" s="157">
        <v>102168.85</v>
      </c>
      <c r="F222" s="157">
        <v>71150.41</v>
      </c>
      <c r="G222" s="157">
        <v>2967880.29</v>
      </c>
      <c r="H222" s="157">
        <v>729950.52</v>
      </c>
      <c r="I222" s="157">
        <v>741316.57</v>
      </c>
      <c r="J222" s="157">
        <v>1163078.72</v>
      </c>
      <c r="K222" s="157">
        <v>952110.33</v>
      </c>
      <c r="L222" s="157">
        <v>71276.45</v>
      </c>
      <c r="M222" s="157">
        <v>1678740.15</v>
      </c>
      <c r="N222" s="264">
        <v>4.2799999999999998E-2</v>
      </c>
      <c r="O222" s="265">
        <v>0.15429999999999999</v>
      </c>
      <c r="P222" s="157">
        <v>0</v>
      </c>
      <c r="Q222" s="396">
        <v>0</v>
      </c>
      <c r="R222" s="396">
        <v>0</v>
      </c>
      <c r="S222" s="397">
        <v>0</v>
      </c>
      <c r="T222" s="397">
        <v>0</v>
      </c>
      <c r="U222" s="397">
        <v>0</v>
      </c>
      <c r="V222" s="157">
        <v>0</v>
      </c>
      <c r="W222" s="397">
        <v>0</v>
      </c>
      <c r="X222" s="397">
        <v>0</v>
      </c>
      <c r="Y222" s="157">
        <v>2740.47</v>
      </c>
      <c r="Z222" s="157">
        <v>17933.11</v>
      </c>
      <c r="AA222" s="157">
        <v>34916.11</v>
      </c>
      <c r="AB222" s="157">
        <v>201604.65</v>
      </c>
      <c r="AC222" s="157">
        <v>1881419.16</v>
      </c>
      <c r="AD222" s="157">
        <v>203.62</v>
      </c>
      <c r="AE222" s="157">
        <v>1749173.1</v>
      </c>
      <c r="AF222" s="398">
        <f t="shared" si="60"/>
        <v>8590.3796287201658</v>
      </c>
      <c r="AG222" s="398">
        <f t="shared" si="61"/>
        <v>9239.8544347313618</v>
      </c>
      <c r="AH222" s="399">
        <f t="shared" si="62"/>
        <v>649.47</v>
      </c>
      <c r="AI222" s="157">
        <v>22.47</v>
      </c>
      <c r="AJ222" s="157">
        <v>187309.06</v>
      </c>
      <c r="AK222" s="398">
        <f t="shared" si="63"/>
        <v>8335.9617267467729</v>
      </c>
      <c r="AL222" s="398">
        <f t="shared" si="64"/>
        <v>8972.1695594125504</v>
      </c>
      <c r="AM222" s="399">
        <f t="shared" si="65"/>
        <v>636.21</v>
      </c>
      <c r="AN222" s="397">
        <v>0</v>
      </c>
      <c r="AO222" s="397">
        <v>0</v>
      </c>
      <c r="AP222" s="46"/>
      <c r="AQ222" s="402">
        <v>164101.70000000013</v>
      </c>
      <c r="AR222" s="274">
        <v>253741.53</v>
      </c>
      <c r="AS222" s="413">
        <v>87408.9</v>
      </c>
      <c r="AX222" s="2"/>
      <c r="BA222" s="342"/>
      <c r="BB222" s="342"/>
      <c r="BC222" s="342"/>
      <c r="BD222" s="386"/>
      <c r="BE222" s="386"/>
      <c r="BF222" s="386"/>
      <c r="BG222" s="386"/>
      <c r="BH222" s="386"/>
      <c r="BI222" s="386"/>
      <c r="BJ222" s="386"/>
      <c r="BK222" s="386"/>
      <c r="BL222" s="386"/>
      <c r="BM222" s="386"/>
      <c r="BN222" s="387"/>
      <c r="BO222" s="265"/>
      <c r="BP222" s="386"/>
      <c r="BQ222" s="388"/>
      <c r="BR222" s="388"/>
      <c r="BS222" s="389"/>
      <c r="BT222" s="389"/>
      <c r="BU222" s="389"/>
      <c r="BV222" s="386"/>
      <c r="BW222" s="389"/>
      <c r="BX222" s="389"/>
      <c r="BY222" s="386"/>
      <c r="BZ222" s="386"/>
      <c r="CA222" s="386"/>
      <c r="CB222" s="386"/>
      <c r="CC222" s="386"/>
      <c r="CD222" s="386"/>
      <c r="CE222" s="386"/>
      <c r="CF222" s="390"/>
      <c r="CG222" s="390"/>
      <c r="CH222" s="391"/>
      <c r="CI222" s="386"/>
      <c r="CJ222" s="386"/>
      <c r="CK222" s="390"/>
      <c r="CL222" s="390"/>
      <c r="CM222" s="391"/>
      <c r="CN222" s="389"/>
      <c r="CO222" s="389"/>
      <c r="CP222" s="135"/>
      <c r="CQ222" s="135"/>
      <c r="CR222" s="135"/>
      <c r="CS222" s="135"/>
      <c r="CT222" s="135"/>
      <c r="CU222" s="135"/>
    </row>
    <row r="223" spans="1:99">
      <c r="A223" s="342" t="s">
        <v>468</v>
      </c>
      <c r="B223" s="342" t="s">
        <v>467</v>
      </c>
      <c r="C223" s="342" t="s">
        <v>1050</v>
      </c>
      <c r="D223" s="157">
        <v>0</v>
      </c>
      <c r="E223" s="157">
        <v>0</v>
      </c>
      <c r="F223" s="157">
        <v>0</v>
      </c>
      <c r="G223" s="157">
        <v>3558044.74</v>
      </c>
      <c r="H223" s="157">
        <v>531514.84</v>
      </c>
      <c r="I223" s="157">
        <v>0</v>
      </c>
      <c r="J223" s="157">
        <v>535866.56000000006</v>
      </c>
      <c r="K223" s="157">
        <v>224426.02</v>
      </c>
      <c r="L223" s="157">
        <v>80069.63</v>
      </c>
      <c r="M223" s="157">
        <v>1379643.79</v>
      </c>
      <c r="N223" s="264">
        <v>4.1599999999999998E-2</v>
      </c>
      <c r="O223" s="265">
        <v>0.2172</v>
      </c>
      <c r="P223" s="157">
        <v>0</v>
      </c>
      <c r="Q223" s="396">
        <v>0</v>
      </c>
      <c r="R223" s="396">
        <v>0</v>
      </c>
      <c r="S223" s="397">
        <v>0</v>
      </c>
      <c r="T223" s="397">
        <v>0</v>
      </c>
      <c r="U223" s="397">
        <v>0</v>
      </c>
      <c r="V223" s="157">
        <v>0</v>
      </c>
      <c r="W223" s="397">
        <v>0</v>
      </c>
      <c r="X223" s="397">
        <v>0</v>
      </c>
      <c r="Y223" s="157">
        <v>0</v>
      </c>
      <c r="Z223" s="157">
        <v>0</v>
      </c>
      <c r="AA223" s="157">
        <v>0</v>
      </c>
      <c r="AB223" s="157">
        <v>331603.82</v>
      </c>
      <c r="AC223" s="157">
        <v>1269058.0900000001</v>
      </c>
      <c r="AD223" s="157">
        <v>139.85</v>
      </c>
      <c r="AE223" s="157">
        <v>1201288.33</v>
      </c>
      <c r="AF223" s="398">
        <f t="shared" si="60"/>
        <v>8589.8343224883811</v>
      </c>
      <c r="AG223" s="398">
        <f t="shared" si="61"/>
        <v>9074.4232391848418</v>
      </c>
      <c r="AH223" s="399">
        <f t="shared" si="62"/>
        <v>484.59</v>
      </c>
      <c r="AI223" s="157">
        <v>36.93</v>
      </c>
      <c r="AJ223" s="157">
        <v>307828.77</v>
      </c>
      <c r="AK223" s="398">
        <f t="shared" si="63"/>
        <v>8335.4662875710801</v>
      </c>
      <c r="AL223" s="398">
        <f t="shared" si="64"/>
        <v>8979.2531816950996</v>
      </c>
      <c r="AM223" s="399">
        <f t="shared" si="65"/>
        <v>643.79</v>
      </c>
      <c r="AN223" s="397">
        <v>0</v>
      </c>
      <c r="AO223" s="397">
        <v>0</v>
      </c>
      <c r="AP223" s="46"/>
      <c r="AQ223" s="402">
        <v>2.9103830456733704E-11</v>
      </c>
      <c r="AR223" s="274">
        <v>261813.53</v>
      </c>
      <c r="AS223" s="413">
        <v>92140.25</v>
      </c>
      <c r="AX223" s="2"/>
      <c r="BA223" s="342"/>
      <c r="BB223" s="342"/>
      <c r="BC223" s="342"/>
      <c r="BD223" s="386"/>
      <c r="BE223" s="386"/>
      <c r="BF223" s="386"/>
      <c r="BG223" s="386"/>
      <c r="BH223" s="386"/>
      <c r="BI223" s="386"/>
      <c r="BJ223" s="386"/>
      <c r="BK223" s="386"/>
      <c r="BL223" s="386"/>
      <c r="BM223" s="386"/>
      <c r="BN223" s="387"/>
      <c r="BO223" s="265"/>
      <c r="BP223" s="386"/>
      <c r="BQ223" s="388"/>
      <c r="BR223" s="388"/>
      <c r="BS223" s="389"/>
      <c r="BT223" s="389"/>
      <c r="BU223" s="389"/>
      <c r="BV223" s="386"/>
      <c r="BW223" s="389"/>
      <c r="BX223" s="389"/>
      <c r="BY223" s="386"/>
      <c r="BZ223" s="386"/>
      <c r="CA223" s="386"/>
      <c r="CB223" s="386"/>
      <c r="CC223" s="386"/>
      <c r="CD223" s="386"/>
      <c r="CE223" s="386"/>
      <c r="CF223" s="390"/>
      <c r="CG223" s="390"/>
      <c r="CH223" s="391"/>
      <c r="CI223" s="386"/>
      <c r="CJ223" s="386"/>
      <c r="CK223" s="390"/>
      <c r="CL223" s="390"/>
      <c r="CM223" s="391"/>
      <c r="CN223" s="389"/>
      <c r="CO223" s="389"/>
      <c r="CP223" s="135"/>
      <c r="CQ223" s="135"/>
      <c r="CR223" s="135"/>
      <c r="CS223" s="135"/>
      <c r="CT223" s="135"/>
      <c r="CU223" s="135"/>
    </row>
    <row r="224" spans="1:99">
      <c r="A224" s="342" t="s">
        <v>470</v>
      </c>
      <c r="B224" s="343" t="s">
        <v>469</v>
      </c>
      <c r="C224" s="343" t="s">
        <v>1051</v>
      </c>
      <c r="D224" s="157">
        <v>0</v>
      </c>
      <c r="E224" s="157">
        <v>0</v>
      </c>
      <c r="F224" s="157">
        <v>0</v>
      </c>
      <c r="G224" s="157">
        <v>133709.71</v>
      </c>
      <c r="H224" s="157">
        <v>11849.45</v>
      </c>
      <c r="I224" s="157">
        <v>0</v>
      </c>
      <c r="J224" s="157">
        <v>10965.61</v>
      </c>
      <c r="K224" s="157">
        <v>3349.64</v>
      </c>
      <c r="L224" s="157">
        <v>2793.13</v>
      </c>
      <c r="M224" s="157">
        <v>38164.559999999998</v>
      </c>
      <c r="N224" s="264">
        <v>0.08</v>
      </c>
      <c r="O224" s="265">
        <v>0.1</v>
      </c>
      <c r="P224" s="157">
        <v>0</v>
      </c>
      <c r="Q224" s="396">
        <v>0</v>
      </c>
      <c r="R224" s="396">
        <v>0</v>
      </c>
      <c r="S224" s="397">
        <v>0</v>
      </c>
      <c r="T224" s="397">
        <v>0</v>
      </c>
      <c r="U224" s="397">
        <v>0</v>
      </c>
      <c r="V224" s="157">
        <v>0</v>
      </c>
      <c r="W224" s="397">
        <v>0</v>
      </c>
      <c r="X224" s="397">
        <v>0</v>
      </c>
      <c r="Y224" s="157">
        <v>0</v>
      </c>
      <c r="Z224" s="157">
        <v>0</v>
      </c>
      <c r="AA224" s="157">
        <v>0</v>
      </c>
      <c r="AB224" s="157">
        <v>0</v>
      </c>
      <c r="AC224" s="157">
        <v>0</v>
      </c>
      <c r="AD224" s="157">
        <v>0</v>
      </c>
      <c r="AE224" s="157">
        <v>0</v>
      </c>
      <c r="AF224" s="398">
        <f t="shared" si="60"/>
        <v>0</v>
      </c>
      <c r="AG224" s="398">
        <f t="shared" si="61"/>
        <v>0</v>
      </c>
      <c r="AH224" s="399">
        <f t="shared" si="62"/>
        <v>0</v>
      </c>
      <c r="AI224" s="157">
        <v>0</v>
      </c>
      <c r="AJ224" s="157">
        <v>0</v>
      </c>
      <c r="AK224" s="398">
        <f t="shared" si="63"/>
        <v>0</v>
      </c>
      <c r="AL224" s="398">
        <f t="shared" si="64"/>
        <v>0</v>
      </c>
      <c r="AM224" s="399">
        <f t="shared" si="65"/>
        <v>0</v>
      </c>
      <c r="AN224" s="397">
        <v>0</v>
      </c>
      <c r="AO224" s="397">
        <v>0</v>
      </c>
      <c r="AP224" s="46"/>
      <c r="AQ224" s="402">
        <v>0</v>
      </c>
      <c r="AR224" s="274">
        <v>11567.67</v>
      </c>
      <c r="AS224" s="413">
        <v>12580.86</v>
      </c>
      <c r="AX224" s="2"/>
      <c r="BA224" s="342"/>
      <c r="BB224" s="342"/>
      <c r="BC224" s="342"/>
      <c r="BD224" s="386"/>
      <c r="BE224" s="386"/>
      <c r="BF224" s="386"/>
      <c r="BG224" s="386"/>
      <c r="BH224" s="386"/>
      <c r="BI224" s="386"/>
      <c r="BJ224" s="386"/>
      <c r="BK224" s="386"/>
      <c r="BL224" s="386"/>
      <c r="BM224" s="386"/>
      <c r="BN224" s="387"/>
      <c r="BO224" s="265"/>
      <c r="BP224" s="386"/>
      <c r="BQ224" s="388"/>
      <c r="BR224" s="388"/>
      <c r="BS224" s="389"/>
      <c r="BT224" s="389"/>
      <c r="BU224" s="389"/>
      <c r="BV224" s="386"/>
      <c r="BW224" s="389"/>
      <c r="BX224" s="389"/>
      <c r="BY224" s="386"/>
      <c r="BZ224" s="386"/>
      <c r="CA224" s="386"/>
      <c r="CB224" s="386"/>
      <c r="CC224" s="386"/>
      <c r="CD224" s="386"/>
      <c r="CE224" s="386"/>
      <c r="CF224" s="390"/>
      <c r="CG224" s="390"/>
      <c r="CH224" s="391"/>
      <c r="CI224" s="386"/>
      <c r="CJ224" s="386"/>
      <c r="CK224" s="390"/>
      <c r="CL224" s="390"/>
      <c r="CM224" s="391"/>
      <c r="CN224" s="389"/>
      <c r="CO224" s="389"/>
      <c r="CP224" s="135"/>
      <c r="CQ224" s="135"/>
      <c r="CR224" s="135"/>
      <c r="CS224" s="135"/>
      <c r="CT224" s="135"/>
      <c r="CU224" s="135"/>
    </row>
    <row r="225" spans="1:99">
      <c r="A225" s="342" t="s">
        <v>472</v>
      </c>
      <c r="B225" s="342" t="s">
        <v>471</v>
      </c>
      <c r="C225" s="342" t="s">
        <v>1052</v>
      </c>
      <c r="D225" s="157">
        <v>0</v>
      </c>
      <c r="E225" s="157">
        <v>232281.22</v>
      </c>
      <c r="F225" s="157">
        <v>0</v>
      </c>
      <c r="G225" s="157">
        <v>31831571</v>
      </c>
      <c r="H225" s="157">
        <v>6999765.8399999999</v>
      </c>
      <c r="I225" s="157">
        <v>553334.1</v>
      </c>
      <c r="J225" s="157">
        <v>6220080.7400000002</v>
      </c>
      <c r="K225" s="157">
        <v>2860193.9</v>
      </c>
      <c r="L225" s="157">
        <v>716796.91</v>
      </c>
      <c r="M225" s="157">
        <v>11719931.75</v>
      </c>
      <c r="N225" s="264">
        <v>3.6999999999999998E-2</v>
      </c>
      <c r="O225" s="265">
        <v>0.1474</v>
      </c>
      <c r="P225" s="157">
        <v>0</v>
      </c>
      <c r="Q225" s="396">
        <v>0</v>
      </c>
      <c r="R225" s="396">
        <v>0</v>
      </c>
      <c r="S225" s="397">
        <v>0</v>
      </c>
      <c r="T225" s="397">
        <v>0</v>
      </c>
      <c r="U225" s="397">
        <v>0</v>
      </c>
      <c r="V225" s="157">
        <v>0</v>
      </c>
      <c r="W225" s="397">
        <v>0</v>
      </c>
      <c r="X225" s="397">
        <v>0</v>
      </c>
      <c r="Y225" s="157">
        <v>25890.07</v>
      </c>
      <c r="Z225" s="157">
        <v>319937.82</v>
      </c>
      <c r="AA225" s="157">
        <v>1120239.67</v>
      </c>
      <c r="AB225" s="157">
        <v>3680176.91</v>
      </c>
      <c r="AC225" s="157">
        <v>11947341.439999999</v>
      </c>
      <c r="AD225" s="157">
        <v>1227.6500000000001</v>
      </c>
      <c r="AE225" s="157">
        <v>10986046.130000001</v>
      </c>
      <c r="AF225" s="398">
        <f t="shared" si="60"/>
        <v>8948.8422025821692</v>
      </c>
      <c r="AG225" s="398">
        <f t="shared" si="61"/>
        <v>9731.8791512238822</v>
      </c>
      <c r="AH225" s="399">
        <f t="shared" si="62"/>
        <v>783.04</v>
      </c>
      <c r="AI225" s="157">
        <v>393.26</v>
      </c>
      <c r="AJ225" s="157">
        <v>3417981.78</v>
      </c>
      <c r="AK225" s="398">
        <f t="shared" si="63"/>
        <v>8691.4046178100998</v>
      </c>
      <c r="AL225" s="398">
        <f t="shared" si="64"/>
        <v>9358.1267100645891</v>
      </c>
      <c r="AM225" s="399">
        <f t="shared" si="65"/>
        <v>666.72</v>
      </c>
      <c r="AN225" s="397">
        <v>0</v>
      </c>
      <c r="AO225" s="397">
        <v>0</v>
      </c>
      <c r="AP225" s="46"/>
      <c r="AQ225" s="402">
        <v>0</v>
      </c>
      <c r="AR225" s="274">
        <v>2310880.9299999997</v>
      </c>
      <c r="AS225" s="413">
        <v>689167.43</v>
      </c>
      <c r="AX225" s="2"/>
      <c r="BA225" s="342"/>
      <c r="BB225" s="342"/>
      <c r="BC225" s="342"/>
      <c r="BD225" s="386"/>
      <c r="BE225" s="386"/>
      <c r="BF225" s="386"/>
      <c r="BG225" s="386"/>
      <c r="BH225" s="386"/>
      <c r="BI225" s="386"/>
      <c r="BJ225" s="386"/>
      <c r="BK225" s="386"/>
      <c r="BL225" s="386"/>
      <c r="BM225" s="386"/>
      <c r="BN225" s="387"/>
      <c r="BO225" s="265"/>
      <c r="BP225" s="386"/>
      <c r="BQ225" s="388"/>
      <c r="BR225" s="388"/>
      <c r="BS225" s="389"/>
      <c r="BT225" s="389"/>
      <c r="BU225" s="389"/>
      <c r="BV225" s="386"/>
      <c r="BW225" s="389"/>
      <c r="BX225" s="389"/>
      <c r="BY225" s="386"/>
      <c r="BZ225" s="386"/>
      <c r="CA225" s="386"/>
      <c r="CB225" s="386"/>
      <c r="CC225" s="386"/>
      <c r="CD225" s="386"/>
      <c r="CE225" s="386"/>
      <c r="CF225" s="390"/>
      <c r="CG225" s="390"/>
      <c r="CH225" s="391"/>
      <c r="CI225" s="386"/>
      <c r="CJ225" s="386"/>
      <c r="CK225" s="390"/>
      <c r="CL225" s="390"/>
      <c r="CM225" s="391"/>
      <c r="CN225" s="389"/>
      <c r="CO225" s="389"/>
      <c r="CP225" s="135"/>
      <c r="CQ225" s="135"/>
      <c r="CR225" s="135"/>
      <c r="CS225" s="135"/>
      <c r="CT225" s="135"/>
      <c r="CU225" s="135"/>
    </row>
    <row r="226" spans="1:99">
      <c r="A226" s="342" t="s">
        <v>474</v>
      </c>
      <c r="B226" s="342" t="s">
        <v>473</v>
      </c>
      <c r="C226" s="342" t="s">
        <v>1053</v>
      </c>
      <c r="D226" s="157">
        <v>0</v>
      </c>
      <c r="E226" s="157">
        <v>0</v>
      </c>
      <c r="F226" s="157">
        <v>0</v>
      </c>
      <c r="G226" s="157">
        <v>46708.38</v>
      </c>
      <c r="H226" s="157">
        <v>3128.33</v>
      </c>
      <c r="I226" s="157">
        <v>15310.47</v>
      </c>
      <c r="J226" s="157">
        <v>33310.629999999997</v>
      </c>
      <c r="K226" s="157">
        <v>0</v>
      </c>
      <c r="L226" s="157">
        <v>0</v>
      </c>
      <c r="M226" s="157">
        <v>59374.400000000001</v>
      </c>
      <c r="N226" s="264">
        <v>0.23930000000000001</v>
      </c>
      <c r="O226" s="265">
        <v>0.65490000000000004</v>
      </c>
      <c r="P226" s="157">
        <v>0</v>
      </c>
      <c r="Q226" s="396">
        <v>0</v>
      </c>
      <c r="R226" s="396">
        <v>0</v>
      </c>
      <c r="S226" s="397">
        <v>0</v>
      </c>
      <c r="T226" s="397">
        <v>0</v>
      </c>
      <c r="U226" s="397">
        <v>0</v>
      </c>
      <c r="V226" s="157">
        <v>0</v>
      </c>
      <c r="W226" s="397">
        <v>0</v>
      </c>
      <c r="X226" s="397">
        <v>0</v>
      </c>
      <c r="Y226" s="157">
        <v>0</v>
      </c>
      <c r="Z226" s="157">
        <v>0</v>
      </c>
      <c r="AA226" s="157">
        <v>0</v>
      </c>
      <c r="AB226" s="157">
        <v>0</v>
      </c>
      <c r="AC226" s="157">
        <v>0</v>
      </c>
      <c r="AD226" s="157">
        <v>0</v>
      </c>
      <c r="AE226" s="157">
        <v>0</v>
      </c>
      <c r="AF226" s="398">
        <f t="shared" si="60"/>
        <v>0</v>
      </c>
      <c r="AG226" s="398">
        <f t="shared" si="61"/>
        <v>0</v>
      </c>
      <c r="AH226" s="399">
        <f t="shared" si="62"/>
        <v>0</v>
      </c>
      <c r="AI226" s="157">
        <v>0</v>
      </c>
      <c r="AJ226" s="157">
        <v>0</v>
      </c>
      <c r="AK226" s="398">
        <f t="shared" si="63"/>
        <v>0</v>
      </c>
      <c r="AL226" s="398">
        <f t="shared" si="64"/>
        <v>0</v>
      </c>
      <c r="AM226" s="399">
        <f t="shared" si="65"/>
        <v>0</v>
      </c>
      <c r="AN226" s="397">
        <v>0</v>
      </c>
      <c r="AO226" s="397">
        <v>0</v>
      </c>
      <c r="AP226" s="46"/>
      <c r="AQ226" s="402">
        <v>3897.1600000000008</v>
      </c>
      <c r="AR226" s="274">
        <v>6619.01</v>
      </c>
      <c r="AS226" s="413">
        <v>11395.73</v>
      </c>
      <c r="AX226" s="2"/>
      <c r="BA226" s="342"/>
      <c r="BB226" s="342"/>
      <c r="BC226" s="342"/>
      <c r="BD226" s="386"/>
      <c r="BE226" s="386"/>
      <c r="BF226" s="386"/>
      <c r="BG226" s="386"/>
      <c r="BH226" s="386"/>
      <c r="BI226" s="386"/>
      <c r="BJ226" s="386"/>
      <c r="BK226" s="386"/>
      <c r="BL226" s="386"/>
      <c r="BM226" s="386"/>
      <c r="BN226" s="387"/>
      <c r="BO226" s="265"/>
      <c r="BP226" s="386"/>
      <c r="BQ226" s="388"/>
      <c r="BR226" s="388"/>
      <c r="BS226" s="389"/>
      <c r="BT226" s="389"/>
      <c r="BU226" s="389"/>
      <c r="BV226" s="386"/>
      <c r="BW226" s="389"/>
      <c r="BX226" s="389"/>
      <c r="BY226" s="386"/>
      <c r="BZ226" s="386"/>
      <c r="CA226" s="386"/>
      <c r="CB226" s="386"/>
      <c r="CC226" s="386"/>
      <c r="CD226" s="386"/>
      <c r="CE226" s="386"/>
      <c r="CF226" s="390"/>
      <c r="CG226" s="390"/>
      <c r="CH226" s="391"/>
      <c r="CI226" s="386"/>
      <c r="CJ226" s="386"/>
      <c r="CK226" s="390"/>
      <c r="CL226" s="390"/>
      <c r="CM226" s="391"/>
      <c r="CN226" s="389"/>
      <c r="CO226" s="389"/>
      <c r="CP226" s="135"/>
      <c r="CQ226" s="135"/>
      <c r="CR226" s="135"/>
      <c r="CS226" s="135"/>
      <c r="CT226" s="135"/>
      <c r="CU226" s="135"/>
    </row>
    <row r="227" spans="1:99">
      <c r="A227" s="342" t="s">
        <v>476</v>
      </c>
      <c r="B227" s="342" t="s">
        <v>475</v>
      </c>
      <c r="C227" s="342" t="s">
        <v>1054</v>
      </c>
      <c r="D227" s="157">
        <v>0</v>
      </c>
      <c r="E227" s="157">
        <v>0</v>
      </c>
      <c r="F227" s="157">
        <v>0</v>
      </c>
      <c r="G227" s="157">
        <v>659367.57999999996</v>
      </c>
      <c r="H227" s="157">
        <v>59837.440000000002</v>
      </c>
      <c r="I227" s="157">
        <v>0</v>
      </c>
      <c r="J227" s="157">
        <v>139722.03</v>
      </c>
      <c r="K227" s="157">
        <v>0</v>
      </c>
      <c r="L227" s="157">
        <v>20582.599999999999</v>
      </c>
      <c r="M227" s="157">
        <v>418453.71</v>
      </c>
      <c r="N227" s="264">
        <v>2.2499999999999999E-2</v>
      </c>
      <c r="O227" s="265">
        <v>0.1978</v>
      </c>
      <c r="P227" s="157">
        <v>0</v>
      </c>
      <c r="Q227" s="396">
        <v>0</v>
      </c>
      <c r="R227" s="396">
        <v>0</v>
      </c>
      <c r="S227" s="397">
        <v>0</v>
      </c>
      <c r="T227" s="397">
        <v>0</v>
      </c>
      <c r="U227" s="397">
        <v>0</v>
      </c>
      <c r="V227" s="157">
        <v>0</v>
      </c>
      <c r="W227" s="397">
        <v>0</v>
      </c>
      <c r="X227" s="397">
        <v>0</v>
      </c>
      <c r="Y227" s="157">
        <v>549.22</v>
      </c>
      <c r="Z227" s="157">
        <v>0</v>
      </c>
      <c r="AA227" s="157">
        <v>0</v>
      </c>
      <c r="AB227" s="157">
        <v>19889.740000000002</v>
      </c>
      <c r="AC227" s="157">
        <v>96265.8</v>
      </c>
      <c r="AD227" s="157">
        <v>10.050000000000001</v>
      </c>
      <c r="AE227" s="157">
        <v>89963.27</v>
      </c>
      <c r="AF227" s="398">
        <f t="shared" si="60"/>
        <v>8951.569154228855</v>
      </c>
      <c r="AG227" s="398">
        <f t="shared" si="61"/>
        <v>9578.686567164179</v>
      </c>
      <c r="AH227" s="399">
        <f t="shared" si="62"/>
        <v>627.12</v>
      </c>
      <c r="AI227" s="157">
        <v>2.13</v>
      </c>
      <c r="AJ227" s="157">
        <v>18574.21</v>
      </c>
      <c r="AK227" s="398">
        <f t="shared" si="63"/>
        <v>8720.2863849765254</v>
      </c>
      <c r="AL227" s="398">
        <f t="shared" si="64"/>
        <v>9337.9061032863865</v>
      </c>
      <c r="AM227" s="399">
        <f t="shared" si="65"/>
        <v>617.62</v>
      </c>
      <c r="AN227" s="397">
        <v>0</v>
      </c>
      <c r="AO227" s="397">
        <v>0</v>
      </c>
      <c r="AP227" s="46"/>
      <c r="AQ227" s="402">
        <v>0</v>
      </c>
      <c r="AR227" s="274">
        <v>32679.95</v>
      </c>
      <c r="AS227" s="413">
        <v>16975.599999999999</v>
      </c>
      <c r="AX227" s="2"/>
      <c r="BA227" s="342"/>
      <c r="BB227" s="342"/>
      <c r="BC227" s="342"/>
      <c r="BD227" s="386"/>
      <c r="BE227" s="386"/>
      <c r="BF227" s="386"/>
      <c r="BG227" s="386"/>
      <c r="BH227" s="386"/>
      <c r="BI227" s="386"/>
      <c r="BJ227" s="386"/>
      <c r="BK227" s="386"/>
      <c r="BL227" s="386"/>
      <c r="BM227" s="386"/>
      <c r="BN227" s="387"/>
      <c r="BO227" s="265"/>
      <c r="BP227" s="386"/>
      <c r="BQ227" s="388"/>
      <c r="BR227" s="388"/>
      <c r="BS227" s="389"/>
      <c r="BT227" s="389"/>
      <c r="BU227" s="389"/>
      <c r="BV227" s="386"/>
      <c r="BW227" s="389"/>
      <c r="BX227" s="389"/>
      <c r="BY227" s="386"/>
      <c r="BZ227" s="386"/>
      <c r="CA227" s="386"/>
      <c r="CB227" s="386"/>
      <c r="CC227" s="386"/>
      <c r="CD227" s="386"/>
      <c r="CE227" s="386"/>
      <c r="CF227" s="390"/>
      <c r="CG227" s="390"/>
      <c r="CH227" s="391"/>
      <c r="CI227" s="386"/>
      <c r="CJ227" s="386"/>
      <c r="CK227" s="390"/>
      <c r="CL227" s="390"/>
      <c r="CM227" s="391"/>
      <c r="CN227" s="389"/>
      <c r="CO227" s="389"/>
      <c r="CP227" s="135"/>
      <c r="CQ227" s="135"/>
      <c r="CR227" s="135"/>
      <c r="CS227" s="135"/>
      <c r="CT227" s="135"/>
      <c r="CU227" s="135"/>
    </row>
    <row r="228" spans="1:99">
      <c r="A228" s="342" t="s">
        <v>1055</v>
      </c>
      <c r="B228" s="342" t="s">
        <v>477</v>
      </c>
      <c r="C228" s="345" t="s">
        <v>1056</v>
      </c>
      <c r="D228" s="157">
        <v>0</v>
      </c>
      <c r="E228" s="157">
        <v>8061.59</v>
      </c>
      <c r="F228" s="157">
        <v>3727.51</v>
      </c>
      <c r="G228" s="157">
        <v>174559.12</v>
      </c>
      <c r="H228" s="157">
        <v>30230.03</v>
      </c>
      <c r="I228" s="157">
        <v>35172.71</v>
      </c>
      <c r="J228" s="157">
        <v>71897.16</v>
      </c>
      <c r="K228" s="157">
        <v>0</v>
      </c>
      <c r="L228" s="157">
        <v>0</v>
      </c>
      <c r="M228" s="157">
        <v>199141.41</v>
      </c>
      <c r="N228" s="264">
        <v>0.08</v>
      </c>
      <c r="O228" s="265">
        <v>0.1</v>
      </c>
      <c r="P228" s="157">
        <v>0</v>
      </c>
      <c r="Q228" s="396">
        <v>0</v>
      </c>
      <c r="R228" s="396">
        <v>0</v>
      </c>
      <c r="S228" s="397">
        <v>0</v>
      </c>
      <c r="T228" s="397">
        <v>0</v>
      </c>
      <c r="U228" s="397">
        <v>0</v>
      </c>
      <c r="V228" s="157">
        <v>0</v>
      </c>
      <c r="W228" s="397">
        <v>0</v>
      </c>
      <c r="X228" s="397">
        <v>0</v>
      </c>
      <c r="Y228" s="157">
        <v>0</v>
      </c>
      <c r="Z228" s="157">
        <v>0</v>
      </c>
      <c r="AA228" s="157">
        <v>0</v>
      </c>
      <c r="AB228" s="157">
        <v>32907.910000000003</v>
      </c>
      <c r="AC228" s="157">
        <v>81149.38</v>
      </c>
      <c r="AD228" s="157">
        <v>8.44</v>
      </c>
      <c r="AE228" s="157">
        <v>72379.09</v>
      </c>
      <c r="AF228" s="398">
        <f t="shared" si="60"/>
        <v>8575.721563981042</v>
      </c>
      <c r="AG228" s="398">
        <f t="shared" si="61"/>
        <v>9614.855450236968</v>
      </c>
      <c r="AH228" s="399">
        <f t="shared" si="62"/>
        <v>1039.1300000000001</v>
      </c>
      <c r="AI228" s="157">
        <v>3.67</v>
      </c>
      <c r="AJ228" s="157">
        <v>30364.94</v>
      </c>
      <c r="AK228" s="398">
        <f t="shared" si="63"/>
        <v>8273.8256130790196</v>
      </c>
      <c r="AL228" s="398">
        <f t="shared" si="64"/>
        <v>8966.7329700272494</v>
      </c>
      <c r="AM228" s="399">
        <f t="shared" si="65"/>
        <v>692.91</v>
      </c>
      <c r="AN228" s="397">
        <v>0</v>
      </c>
      <c r="AO228" s="397">
        <v>0</v>
      </c>
      <c r="AP228" s="46"/>
      <c r="AQ228" s="402">
        <v>0</v>
      </c>
      <c r="AR228" s="274">
        <v>24177.399999999998</v>
      </c>
      <c r="AS228" s="413">
        <v>13981.16</v>
      </c>
      <c r="AX228" s="2"/>
      <c r="BA228" s="342"/>
      <c r="BB228" s="342"/>
      <c r="BC228" s="342"/>
      <c r="BD228" s="386"/>
      <c r="BE228" s="386"/>
      <c r="BF228" s="386"/>
      <c r="BG228" s="386"/>
      <c r="BH228" s="386"/>
      <c r="BI228" s="386"/>
      <c r="BJ228" s="386"/>
      <c r="BK228" s="386"/>
      <c r="BL228" s="386"/>
      <c r="BM228" s="386"/>
      <c r="BN228" s="387"/>
      <c r="BO228" s="265"/>
      <c r="BP228" s="386"/>
      <c r="BQ228" s="388"/>
      <c r="BR228" s="388"/>
      <c r="BS228" s="389"/>
      <c r="BT228" s="389"/>
      <c r="BU228" s="389"/>
      <c r="BV228" s="386"/>
      <c r="BW228" s="389"/>
      <c r="BX228" s="389"/>
      <c r="BY228" s="386"/>
      <c r="BZ228" s="386"/>
      <c r="CA228" s="386"/>
      <c r="CB228" s="386"/>
      <c r="CC228" s="386"/>
      <c r="CD228" s="386"/>
      <c r="CE228" s="386"/>
      <c r="CF228" s="390"/>
      <c r="CG228" s="390"/>
      <c r="CH228" s="391"/>
      <c r="CI228" s="386"/>
      <c r="CJ228" s="386"/>
      <c r="CK228" s="390"/>
      <c r="CL228" s="390"/>
      <c r="CM228" s="391"/>
      <c r="CN228" s="389"/>
      <c r="CO228" s="389"/>
      <c r="CP228" s="135"/>
      <c r="CQ228" s="135"/>
      <c r="CR228" s="135"/>
      <c r="CS228" s="135"/>
      <c r="CT228" s="135"/>
      <c r="CU228" s="135"/>
    </row>
    <row r="229" spans="1:99">
      <c r="A229" s="342" t="s">
        <v>480</v>
      </c>
      <c r="B229" s="342" t="s">
        <v>479</v>
      </c>
      <c r="C229" s="342" t="s">
        <v>1057</v>
      </c>
      <c r="D229" s="157">
        <v>0</v>
      </c>
      <c r="E229" s="157">
        <v>126405.31</v>
      </c>
      <c r="F229" s="157">
        <v>26898.75</v>
      </c>
      <c r="G229" s="157">
        <v>3986875.4</v>
      </c>
      <c r="H229" s="157">
        <v>698360.83</v>
      </c>
      <c r="I229" s="157">
        <v>1064284.78</v>
      </c>
      <c r="J229" s="157">
        <v>1461632.94</v>
      </c>
      <c r="K229" s="157">
        <v>463468.63</v>
      </c>
      <c r="L229" s="157">
        <v>96104.24</v>
      </c>
      <c r="M229" s="157">
        <v>652870.47</v>
      </c>
      <c r="N229" s="264">
        <v>1.3599999999999999E-2</v>
      </c>
      <c r="O229" s="265">
        <v>9.5600000000000004E-2</v>
      </c>
      <c r="P229" s="157">
        <v>0</v>
      </c>
      <c r="Q229" s="396">
        <v>0</v>
      </c>
      <c r="R229" s="396">
        <v>0</v>
      </c>
      <c r="S229" s="397">
        <v>0</v>
      </c>
      <c r="T229" s="397">
        <v>0</v>
      </c>
      <c r="U229" s="397">
        <v>0</v>
      </c>
      <c r="V229" s="157">
        <v>0</v>
      </c>
      <c r="W229" s="397">
        <v>0</v>
      </c>
      <c r="X229" s="397">
        <v>0</v>
      </c>
      <c r="Y229" s="157">
        <v>1092.8</v>
      </c>
      <c r="Z229" s="157">
        <v>6384.41</v>
      </c>
      <c r="AA229" s="157">
        <v>0</v>
      </c>
      <c r="AB229" s="157">
        <v>137280.82999999999</v>
      </c>
      <c r="AC229" s="157">
        <v>396702.65</v>
      </c>
      <c r="AD229" s="157">
        <v>30.17</v>
      </c>
      <c r="AE229" s="157">
        <v>259231.59</v>
      </c>
      <c r="AF229" s="398">
        <f t="shared" si="60"/>
        <v>8592.362943321179</v>
      </c>
      <c r="AG229" s="398">
        <f t="shared" si="61"/>
        <v>13148.911170036459</v>
      </c>
      <c r="AH229" s="399">
        <f t="shared" si="62"/>
        <v>4556.55</v>
      </c>
      <c r="AI229" s="157">
        <v>15.3</v>
      </c>
      <c r="AJ229" s="157">
        <v>127570.12</v>
      </c>
      <c r="AK229" s="398">
        <f t="shared" si="63"/>
        <v>8337.9163398692799</v>
      </c>
      <c r="AL229" s="398">
        <f t="shared" si="64"/>
        <v>8972.6032679738546</v>
      </c>
      <c r="AM229" s="399">
        <f t="shared" si="65"/>
        <v>634.69000000000005</v>
      </c>
      <c r="AN229" s="397">
        <v>0</v>
      </c>
      <c r="AO229" s="397">
        <v>0</v>
      </c>
      <c r="AP229" s="46"/>
      <c r="AQ229" s="402">
        <v>38044.179999999993</v>
      </c>
      <c r="AR229" s="274">
        <v>151856.5</v>
      </c>
      <c r="AS229" s="413">
        <v>39802.58</v>
      </c>
      <c r="AX229" s="2"/>
      <c r="BA229" s="342"/>
      <c r="BB229" s="342"/>
      <c r="BC229" s="342"/>
      <c r="BD229" s="386"/>
      <c r="BE229" s="386"/>
      <c r="BF229" s="386"/>
      <c r="BG229" s="386"/>
      <c r="BH229" s="386"/>
      <c r="BI229" s="386"/>
      <c r="BJ229" s="386"/>
      <c r="BK229" s="386"/>
      <c r="BL229" s="386"/>
      <c r="BM229" s="386"/>
      <c r="BN229" s="387"/>
      <c r="BO229" s="265"/>
      <c r="BP229" s="386"/>
      <c r="BQ229" s="388"/>
      <c r="BR229" s="388"/>
      <c r="BS229" s="389"/>
      <c r="BT229" s="389"/>
      <c r="BU229" s="389"/>
      <c r="BV229" s="386"/>
      <c r="BW229" s="389"/>
      <c r="BX229" s="389"/>
      <c r="BY229" s="386"/>
      <c r="BZ229" s="386"/>
      <c r="CA229" s="386"/>
      <c r="CB229" s="386"/>
      <c r="CC229" s="386"/>
      <c r="CD229" s="386"/>
      <c r="CE229" s="386"/>
      <c r="CF229" s="390"/>
      <c r="CG229" s="390"/>
      <c r="CH229" s="391"/>
      <c r="CI229" s="386"/>
      <c r="CJ229" s="386"/>
      <c r="CK229" s="390"/>
      <c r="CL229" s="390"/>
      <c r="CM229" s="391"/>
      <c r="CN229" s="389"/>
      <c r="CO229" s="389"/>
      <c r="CP229" s="135"/>
      <c r="CQ229" s="135"/>
      <c r="CR229" s="135"/>
      <c r="CS229" s="135"/>
      <c r="CT229" s="135"/>
      <c r="CU229" s="135"/>
    </row>
    <row r="230" spans="1:99">
      <c r="A230" s="342" t="s">
        <v>482</v>
      </c>
      <c r="B230" s="342" t="s">
        <v>481</v>
      </c>
      <c r="C230" s="342" t="s">
        <v>1058</v>
      </c>
      <c r="D230" s="157">
        <v>0</v>
      </c>
      <c r="E230" s="157">
        <v>11241.22</v>
      </c>
      <c r="F230" s="157">
        <v>4883.74</v>
      </c>
      <c r="G230" s="157">
        <v>0</v>
      </c>
      <c r="H230" s="157">
        <v>0</v>
      </c>
      <c r="I230" s="157">
        <v>53897</v>
      </c>
      <c r="J230" s="157">
        <v>117414.77</v>
      </c>
      <c r="K230" s="157">
        <v>78767.33</v>
      </c>
      <c r="L230" s="157">
        <v>6000.05</v>
      </c>
      <c r="M230" s="157">
        <v>266828.71999999997</v>
      </c>
      <c r="N230" s="264">
        <v>4.5999999999999999E-2</v>
      </c>
      <c r="O230" s="265">
        <v>0.24560000000000001</v>
      </c>
      <c r="P230" s="157">
        <v>0</v>
      </c>
      <c r="Q230" s="396">
        <v>0</v>
      </c>
      <c r="R230" s="396">
        <v>0</v>
      </c>
      <c r="S230" s="397">
        <v>0</v>
      </c>
      <c r="T230" s="397">
        <v>0</v>
      </c>
      <c r="U230" s="397">
        <v>0</v>
      </c>
      <c r="V230" s="157">
        <v>0</v>
      </c>
      <c r="W230" s="397">
        <v>0</v>
      </c>
      <c r="X230" s="397">
        <v>0</v>
      </c>
      <c r="Y230" s="157">
        <v>235.7</v>
      </c>
      <c r="Z230" s="157">
        <v>0</v>
      </c>
      <c r="AA230" s="157">
        <v>0</v>
      </c>
      <c r="AB230" s="157">
        <v>0</v>
      </c>
      <c r="AC230" s="157">
        <v>77838.210000000006</v>
      </c>
      <c r="AD230" s="157">
        <v>7.47</v>
      </c>
      <c r="AE230" s="157">
        <v>64125.09</v>
      </c>
      <c r="AF230" s="398">
        <f t="shared" si="60"/>
        <v>8584.3493975903621</v>
      </c>
      <c r="AG230" s="398">
        <f t="shared" si="61"/>
        <v>10420.10843373494</v>
      </c>
      <c r="AH230" s="399">
        <f t="shared" si="62"/>
        <v>1835.76</v>
      </c>
      <c r="AI230" s="157">
        <v>0</v>
      </c>
      <c r="AJ230" s="157">
        <v>0</v>
      </c>
      <c r="AK230" s="398">
        <f t="shared" si="63"/>
        <v>0</v>
      </c>
      <c r="AL230" s="398">
        <f t="shared" si="64"/>
        <v>0</v>
      </c>
      <c r="AM230" s="399">
        <f t="shared" si="65"/>
        <v>0</v>
      </c>
      <c r="AN230" s="397">
        <v>563.65</v>
      </c>
      <c r="AO230" s="397">
        <v>0</v>
      </c>
      <c r="AP230" s="46"/>
      <c r="AQ230" s="402">
        <v>0</v>
      </c>
      <c r="AR230" s="274">
        <v>29572.48</v>
      </c>
      <c r="AS230" s="413">
        <v>15739.080000000002</v>
      </c>
      <c r="AX230" s="2"/>
      <c r="BA230" s="342"/>
      <c r="BB230" s="342"/>
      <c r="BC230" s="342"/>
      <c r="BD230" s="386"/>
      <c r="BE230" s="386"/>
      <c r="BF230" s="386"/>
      <c r="BG230" s="386"/>
      <c r="BH230" s="386"/>
      <c r="BI230" s="386"/>
      <c r="BJ230" s="386"/>
      <c r="BK230" s="386"/>
      <c r="BL230" s="386"/>
      <c r="BM230" s="386"/>
      <c r="BN230" s="387"/>
      <c r="BO230" s="265"/>
      <c r="BP230" s="386"/>
      <c r="BQ230" s="388"/>
      <c r="BR230" s="388"/>
      <c r="BS230" s="389"/>
      <c r="BT230" s="389"/>
      <c r="BU230" s="389"/>
      <c r="BV230" s="386"/>
      <c r="BW230" s="389"/>
      <c r="BX230" s="389"/>
      <c r="BY230" s="386"/>
      <c r="BZ230" s="386"/>
      <c r="CA230" s="386"/>
      <c r="CB230" s="386"/>
      <c r="CC230" s="386"/>
      <c r="CD230" s="386"/>
      <c r="CE230" s="386"/>
      <c r="CF230" s="390"/>
      <c r="CG230" s="390"/>
      <c r="CH230" s="391"/>
      <c r="CI230" s="386"/>
      <c r="CJ230" s="386"/>
      <c r="CK230" s="390"/>
      <c r="CL230" s="390"/>
      <c r="CM230" s="391"/>
      <c r="CN230" s="389"/>
      <c r="CO230" s="389"/>
      <c r="CP230" s="135"/>
      <c r="CQ230" s="135"/>
      <c r="CR230" s="135"/>
      <c r="CS230" s="135"/>
      <c r="CT230" s="135"/>
      <c r="CU230" s="135"/>
    </row>
    <row r="231" spans="1:99">
      <c r="A231" s="342" t="s">
        <v>484</v>
      </c>
      <c r="B231" s="342" t="s">
        <v>483</v>
      </c>
      <c r="C231" s="342" t="s">
        <v>1059</v>
      </c>
      <c r="D231" s="157">
        <v>0</v>
      </c>
      <c r="E231" s="157">
        <v>124358.84</v>
      </c>
      <c r="F231" s="157">
        <v>2881.99</v>
      </c>
      <c r="G231" s="157">
        <v>4088164.83</v>
      </c>
      <c r="H231" s="157">
        <v>611886.88</v>
      </c>
      <c r="I231" s="157">
        <v>954628.69</v>
      </c>
      <c r="J231" s="157">
        <v>1683221</v>
      </c>
      <c r="K231" s="157">
        <v>1977912.78</v>
      </c>
      <c r="L231" s="157">
        <v>92897.33</v>
      </c>
      <c r="M231" s="157">
        <v>1698592.46</v>
      </c>
      <c r="N231" s="264">
        <v>3.7699999999999997E-2</v>
      </c>
      <c r="O231" s="265">
        <v>0.14960000000000001</v>
      </c>
      <c r="P231" s="157">
        <v>0</v>
      </c>
      <c r="Q231" s="396">
        <v>0</v>
      </c>
      <c r="R231" s="396">
        <v>0</v>
      </c>
      <c r="S231" s="397">
        <v>0</v>
      </c>
      <c r="T231" s="397">
        <v>0</v>
      </c>
      <c r="U231" s="397">
        <v>0</v>
      </c>
      <c r="V231" s="157">
        <v>0</v>
      </c>
      <c r="W231" s="397">
        <v>0</v>
      </c>
      <c r="X231" s="397">
        <v>0</v>
      </c>
      <c r="Y231" s="157">
        <v>0</v>
      </c>
      <c r="Z231" s="157">
        <v>13493.86</v>
      </c>
      <c r="AA231" s="157">
        <v>54276.36</v>
      </c>
      <c r="AB231" s="157">
        <v>417558.3</v>
      </c>
      <c r="AC231" s="157">
        <v>2164878.52</v>
      </c>
      <c r="AD231" s="157">
        <v>238.4</v>
      </c>
      <c r="AE231" s="157">
        <v>2048016.56</v>
      </c>
      <c r="AF231" s="398">
        <f t="shared" si="60"/>
        <v>8590.6734899328858</v>
      </c>
      <c r="AG231" s="398">
        <f t="shared" si="61"/>
        <v>9080.8662751677857</v>
      </c>
      <c r="AH231" s="399">
        <f t="shared" si="62"/>
        <v>490.19</v>
      </c>
      <c r="AI231" s="157">
        <v>46.51</v>
      </c>
      <c r="AJ231" s="157">
        <v>387689.6</v>
      </c>
      <c r="AK231" s="398">
        <f t="shared" si="63"/>
        <v>8335.6181466351318</v>
      </c>
      <c r="AL231" s="398">
        <f t="shared" si="64"/>
        <v>8977.817673618576</v>
      </c>
      <c r="AM231" s="399">
        <f t="shared" si="65"/>
        <v>642.20000000000005</v>
      </c>
      <c r="AN231" s="397">
        <v>5440.56</v>
      </c>
      <c r="AO231" s="397">
        <v>0</v>
      </c>
      <c r="AP231" s="46"/>
      <c r="AQ231" s="402">
        <v>8920.9699999999721</v>
      </c>
      <c r="AR231" s="274">
        <v>358400.6</v>
      </c>
      <c r="AS231" s="413">
        <v>107617.70000000001</v>
      </c>
      <c r="AX231" s="2"/>
      <c r="BA231" s="342"/>
      <c r="BB231" s="342"/>
      <c r="BC231" s="342"/>
      <c r="BD231" s="386"/>
      <c r="BE231" s="386"/>
      <c r="BF231" s="386"/>
      <c r="BG231" s="386"/>
      <c r="BH231" s="386"/>
      <c r="BI231" s="386"/>
      <c r="BJ231" s="386"/>
      <c r="BK231" s="386"/>
      <c r="BL231" s="386"/>
      <c r="BM231" s="386"/>
      <c r="BN231" s="387"/>
      <c r="BO231" s="265"/>
      <c r="BP231" s="386"/>
      <c r="BQ231" s="388"/>
      <c r="BR231" s="388"/>
      <c r="BS231" s="389"/>
      <c r="BT231" s="389"/>
      <c r="BU231" s="389"/>
      <c r="BV231" s="386"/>
      <c r="BW231" s="389"/>
      <c r="BX231" s="389"/>
      <c r="BY231" s="386"/>
      <c r="BZ231" s="386"/>
      <c r="CA231" s="386"/>
      <c r="CB231" s="386"/>
      <c r="CC231" s="386"/>
      <c r="CD231" s="386"/>
      <c r="CE231" s="386"/>
      <c r="CF231" s="390"/>
      <c r="CG231" s="390"/>
      <c r="CH231" s="391"/>
      <c r="CI231" s="386"/>
      <c r="CJ231" s="386"/>
      <c r="CK231" s="390"/>
      <c r="CL231" s="390"/>
      <c r="CM231" s="391"/>
      <c r="CN231" s="389"/>
      <c r="CO231" s="389"/>
      <c r="CP231" s="135"/>
      <c r="CQ231" s="135"/>
      <c r="CR231" s="135"/>
      <c r="CS231" s="135"/>
      <c r="CT231" s="135"/>
      <c r="CU231" s="135"/>
    </row>
    <row r="232" spans="1:99">
      <c r="A232" s="342" t="s">
        <v>486</v>
      </c>
      <c r="B232" s="342" t="s">
        <v>485</v>
      </c>
      <c r="C232" s="342" t="s">
        <v>1060</v>
      </c>
      <c r="D232" s="157">
        <v>0</v>
      </c>
      <c r="E232" s="157">
        <v>2488.33</v>
      </c>
      <c r="F232" s="157">
        <v>0</v>
      </c>
      <c r="G232" s="157">
        <v>1261556.33</v>
      </c>
      <c r="H232" s="157">
        <v>214929.92000000001</v>
      </c>
      <c r="I232" s="157">
        <v>0</v>
      </c>
      <c r="J232" s="157">
        <v>237208.87</v>
      </c>
      <c r="K232" s="157">
        <v>0</v>
      </c>
      <c r="L232" s="157">
        <v>26586.44</v>
      </c>
      <c r="M232" s="157">
        <v>590153.48</v>
      </c>
      <c r="N232" s="264">
        <v>4.5199999999999997E-2</v>
      </c>
      <c r="O232" s="266">
        <v>0.2132</v>
      </c>
      <c r="P232" s="157">
        <v>0</v>
      </c>
      <c r="Q232" s="396">
        <v>0</v>
      </c>
      <c r="R232" s="396">
        <v>0</v>
      </c>
      <c r="S232" s="397">
        <v>0</v>
      </c>
      <c r="T232" s="397">
        <v>0</v>
      </c>
      <c r="U232" s="397">
        <v>0</v>
      </c>
      <c r="V232" s="157">
        <v>0</v>
      </c>
      <c r="W232" s="397">
        <v>0</v>
      </c>
      <c r="X232" s="397">
        <v>0</v>
      </c>
      <c r="Y232" s="157">
        <v>1053.33</v>
      </c>
      <c r="Z232" s="157">
        <v>0</v>
      </c>
      <c r="AA232" s="157">
        <v>0</v>
      </c>
      <c r="AB232" s="157">
        <v>121369.56</v>
      </c>
      <c r="AC232" s="157">
        <v>600661.59</v>
      </c>
      <c r="AD232" s="157">
        <v>64.39</v>
      </c>
      <c r="AE232" s="157">
        <v>553204.89</v>
      </c>
      <c r="AF232" s="398">
        <f t="shared" si="60"/>
        <v>8591.4721230004652</v>
      </c>
      <c r="AG232" s="398">
        <f t="shared" si="61"/>
        <v>9328.491846560024</v>
      </c>
      <c r="AH232" s="399">
        <f t="shared" si="62"/>
        <v>737.02</v>
      </c>
      <c r="AI232" s="157">
        <v>13.54</v>
      </c>
      <c r="AJ232" s="157">
        <v>112837.62</v>
      </c>
      <c r="AK232" s="398">
        <f t="shared" si="63"/>
        <v>8333.649926144757</v>
      </c>
      <c r="AL232" s="398">
        <f t="shared" si="64"/>
        <v>8963.7784342688337</v>
      </c>
      <c r="AM232" s="399">
        <f t="shared" si="65"/>
        <v>630.13</v>
      </c>
      <c r="AN232" s="397">
        <v>0</v>
      </c>
      <c r="AO232" s="397">
        <v>1368.17</v>
      </c>
      <c r="AP232" s="46"/>
      <c r="AQ232" s="402">
        <v>0</v>
      </c>
      <c r="AR232" s="274">
        <v>90243.96</v>
      </c>
      <c r="AS232" s="413">
        <v>37410.880000000005</v>
      </c>
      <c r="AX232" s="2"/>
      <c r="BA232" s="342"/>
      <c r="BB232" s="342"/>
      <c r="BC232" s="342"/>
      <c r="BD232" s="386"/>
      <c r="BE232" s="386"/>
      <c r="BF232" s="386"/>
      <c r="BG232" s="386"/>
      <c r="BH232" s="386"/>
      <c r="BI232" s="386"/>
      <c r="BJ232" s="386"/>
      <c r="BK232" s="386"/>
      <c r="BL232" s="386"/>
      <c r="BM232" s="386"/>
      <c r="BN232" s="387"/>
      <c r="BO232" s="265"/>
      <c r="BP232" s="386"/>
      <c r="BQ232" s="388"/>
      <c r="BR232" s="388"/>
      <c r="BS232" s="389"/>
      <c r="BT232" s="389"/>
      <c r="BU232" s="389"/>
      <c r="BV232" s="386"/>
      <c r="BW232" s="389"/>
      <c r="BX232" s="389"/>
      <c r="BY232" s="386"/>
      <c r="BZ232" s="386"/>
      <c r="CA232" s="386"/>
      <c r="CB232" s="386"/>
      <c r="CC232" s="386"/>
      <c r="CD232" s="386"/>
      <c r="CE232" s="386"/>
      <c r="CF232" s="390"/>
      <c r="CG232" s="390"/>
      <c r="CH232" s="391"/>
      <c r="CI232" s="386"/>
      <c r="CJ232" s="386"/>
      <c r="CK232" s="390"/>
      <c r="CL232" s="390"/>
      <c r="CM232" s="391"/>
      <c r="CN232" s="389"/>
      <c r="CO232" s="389"/>
      <c r="CP232" s="135"/>
      <c r="CQ232" s="135"/>
      <c r="CR232" s="135"/>
      <c r="CS232" s="135"/>
      <c r="CT232" s="135"/>
      <c r="CU232" s="135"/>
    </row>
    <row r="233" spans="1:99">
      <c r="A233" s="342" t="s">
        <v>1061</v>
      </c>
      <c r="B233" s="342" t="s">
        <v>487</v>
      </c>
      <c r="C233" s="345" t="s">
        <v>1062</v>
      </c>
      <c r="D233" s="157">
        <v>0</v>
      </c>
      <c r="E233" s="157">
        <v>0</v>
      </c>
      <c r="F233" s="157">
        <v>0</v>
      </c>
      <c r="G233" s="157">
        <v>214210.05</v>
      </c>
      <c r="H233" s="157">
        <v>22174.93</v>
      </c>
      <c r="I233" s="157">
        <v>115256.76</v>
      </c>
      <c r="J233" s="157">
        <v>191455.6</v>
      </c>
      <c r="K233" s="157">
        <v>229471.44</v>
      </c>
      <c r="L233" s="157">
        <v>0</v>
      </c>
      <c r="M233" s="157">
        <v>252222.75</v>
      </c>
      <c r="N233" s="264">
        <v>0</v>
      </c>
      <c r="O233" s="265">
        <v>0.10920000000000001</v>
      </c>
      <c r="P233" s="157">
        <v>0</v>
      </c>
      <c r="Q233" s="396">
        <v>0</v>
      </c>
      <c r="R233" s="396">
        <v>0</v>
      </c>
      <c r="S233" s="397">
        <v>0</v>
      </c>
      <c r="T233" s="397">
        <v>0</v>
      </c>
      <c r="U233" s="397">
        <v>0</v>
      </c>
      <c r="V233" s="157">
        <v>0</v>
      </c>
      <c r="W233" s="397">
        <v>0</v>
      </c>
      <c r="X233" s="397">
        <v>0</v>
      </c>
      <c r="Y233" s="157">
        <v>374.42</v>
      </c>
      <c r="Z233" s="157">
        <v>0</v>
      </c>
      <c r="AA233" s="157">
        <v>0</v>
      </c>
      <c r="AB233" s="157">
        <v>0</v>
      </c>
      <c r="AC233" s="157">
        <v>0</v>
      </c>
      <c r="AD233" s="157">
        <v>0</v>
      </c>
      <c r="AE233" s="157">
        <v>0</v>
      </c>
      <c r="AF233" s="398">
        <f t="shared" si="60"/>
        <v>0</v>
      </c>
      <c r="AG233" s="398">
        <f t="shared" si="61"/>
        <v>0</v>
      </c>
      <c r="AH233" s="399">
        <f t="shared" si="62"/>
        <v>0</v>
      </c>
      <c r="AI233" s="157">
        <v>0</v>
      </c>
      <c r="AJ233" s="157">
        <v>0</v>
      </c>
      <c r="AK233" s="398">
        <f t="shared" si="63"/>
        <v>0</v>
      </c>
      <c r="AL233" s="398">
        <f t="shared" si="64"/>
        <v>0</v>
      </c>
      <c r="AM233" s="399">
        <f t="shared" si="65"/>
        <v>0</v>
      </c>
      <c r="AN233" s="397">
        <v>0</v>
      </c>
      <c r="AO233" s="397">
        <v>0</v>
      </c>
      <c r="AP233" s="46"/>
      <c r="AQ233" s="402">
        <v>37013.630000000005</v>
      </c>
      <c r="AR233" s="274">
        <v>35693.909999999996</v>
      </c>
      <c r="AS233" s="413">
        <v>20183.150000000001</v>
      </c>
      <c r="AX233" s="2"/>
      <c r="BA233" s="342"/>
      <c r="BB233" s="342"/>
      <c r="BC233" s="342"/>
      <c r="BD233" s="386"/>
      <c r="BE233" s="386"/>
      <c r="BF233" s="386"/>
      <c r="BG233" s="386"/>
      <c r="BH233" s="386"/>
      <c r="BI233" s="386"/>
      <c r="BJ233" s="386"/>
      <c r="BK233" s="386"/>
      <c r="BL233" s="386"/>
      <c r="BM233" s="386"/>
      <c r="BN233" s="387"/>
      <c r="BO233" s="265"/>
      <c r="BP233" s="386"/>
      <c r="BQ233" s="388"/>
      <c r="BR233" s="388"/>
      <c r="BS233" s="389"/>
      <c r="BT233" s="389"/>
      <c r="BU233" s="389"/>
      <c r="BV233" s="386"/>
      <c r="BW233" s="389"/>
      <c r="BX233" s="389"/>
      <c r="BY233" s="386"/>
      <c r="BZ233" s="386"/>
      <c r="CA233" s="386"/>
      <c r="CB233" s="386"/>
      <c r="CC233" s="386"/>
      <c r="CD233" s="386"/>
      <c r="CE233" s="386"/>
      <c r="CF233" s="390"/>
      <c r="CG233" s="390"/>
      <c r="CH233" s="391"/>
      <c r="CI233" s="386"/>
      <c r="CJ233" s="386"/>
      <c r="CK233" s="390"/>
      <c r="CL233" s="390"/>
      <c r="CM233" s="391"/>
      <c r="CN233" s="389"/>
      <c r="CO233" s="389"/>
      <c r="CP233" s="135"/>
      <c r="CQ233" s="135"/>
      <c r="CR233" s="135"/>
      <c r="CS233" s="135"/>
      <c r="CT233" s="135"/>
      <c r="CU233" s="135"/>
    </row>
    <row r="234" spans="1:99">
      <c r="A234" s="342" t="s">
        <v>490</v>
      </c>
      <c r="B234" s="342" t="s">
        <v>489</v>
      </c>
      <c r="C234" s="345" t="s">
        <v>1063</v>
      </c>
      <c r="D234" s="157">
        <v>0</v>
      </c>
      <c r="E234" s="157">
        <v>0</v>
      </c>
      <c r="F234" s="157">
        <v>0</v>
      </c>
      <c r="G234" s="157">
        <v>189056.34</v>
      </c>
      <c r="H234" s="157">
        <v>84828.6</v>
      </c>
      <c r="I234" s="157">
        <v>54992.57</v>
      </c>
      <c r="J234" s="157">
        <v>92133.51</v>
      </c>
      <c r="K234" s="157">
        <v>34796.89</v>
      </c>
      <c r="L234" s="157">
        <v>0</v>
      </c>
      <c r="M234" s="157">
        <v>57304.18</v>
      </c>
      <c r="N234" s="264">
        <v>0.08</v>
      </c>
      <c r="O234" s="265">
        <v>0.1</v>
      </c>
      <c r="P234" s="157">
        <v>0</v>
      </c>
      <c r="Q234" s="396">
        <v>0</v>
      </c>
      <c r="R234" s="396">
        <v>0</v>
      </c>
      <c r="S234" s="397">
        <v>0</v>
      </c>
      <c r="T234" s="397">
        <v>0</v>
      </c>
      <c r="U234" s="397">
        <v>0</v>
      </c>
      <c r="V234" s="157">
        <v>0</v>
      </c>
      <c r="W234" s="397">
        <v>0</v>
      </c>
      <c r="X234" s="397">
        <v>0</v>
      </c>
      <c r="Y234" s="157">
        <v>0</v>
      </c>
      <c r="Z234" s="157">
        <v>0</v>
      </c>
      <c r="AA234" s="157">
        <v>0</v>
      </c>
      <c r="AB234" s="157">
        <v>0</v>
      </c>
      <c r="AC234" s="157">
        <v>1434.66</v>
      </c>
      <c r="AD234" s="157">
        <v>0</v>
      </c>
      <c r="AE234" s="157">
        <v>0</v>
      </c>
      <c r="AF234" s="398">
        <f t="shared" si="60"/>
        <v>0</v>
      </c>
      <c r="AG234" s="398">
        <f t="shared" si="61"/>
        <v>0</v>
      </c>
      <c r="AH234" s="399">
        <f t="shared" si="62"/>
        <v>0</v>
      </c>
      <c r="AI234" s="157">
        <v>0</v>
      </c>
      <c r="AJ234" s="157">
        <v>0</v>
      </c>
      <c r="AK234" s="398">
        <f t="shared" si="63"/>
        <v>0</v>
      </c>
      <c r="AL234" s="398">
        <f t="shared" si="64"/>
        <v>0</v>
      </c>
      <c r="AM234" s="399">
        <f t="shared" si="65"/>
        <v>0</v>
      </c>
      <c r="AN234" s="397">
        <v>0</v>
      </c>
      <c r="AO234" s="397">
        <v>0</v>
      </c>
      <c r="AP234" s="46"/>
      <c r="AQ234" s="402">
        <v>43485.340000000011</v>
      </c>
      <c r="AR234" s="274">
        <v>29295.59</v>
      </c>
      <c r="AS234" s="413"/>
      <c r="AX234" s="2"/>
      <c r="BA234" s="342"/>
      <c r="BB234" s="342"/>
      <c r="BC234" s="342"/>
      <c r="BD234" s="386"/>
      <c r="BE234" s="386"/>
      <c r="BF234" s="386"/>
      <c r="BG234" s="386"/>
      <c r="BH234" s="386"/>
      <c r="BI234" s="386"/>
      <c r="BJ234" s="386"/>
      <c r="BK234" s="386"/>
      <c r="BL234" s="386"/>
      <c r="BM234" s="386"/>
      <c r="BN234" s="387"/>
      <c r="BO234" s="265"/>
      <c r="BP234" s="386"/>
      <c r="BQ234" s="388"/>
      <c r="BR234" s="388"/>
      <c r="BS234" s="389"/>
      <c r="BT234" s="389"/>
      <c r="BU234" s="389"/>
      <c r="BV234" s="386"/>
      <c r="BW234" s="389"/>
      <c r="BX234" s="389"/>
      <c r="BY234" s="386"/>
      <c r="BZ234" s="386"/>
      <c r="CA234" s="386"/>
      <c r="CB234" s="386"/>
      <c r="CC234" s="386"/>
      <c r="CD234" s="386"/>
      <c r="CE234" s="386"/>
      <c r="CF234" s="390"/>
      <c r="CG234" s="390"/>
      <c r="CH234" s="391"/>
      <c r="CI234" s="386"/>
      <c r="CJ234" s="386"/>
      <c r="CK234" s="390"/>
      <c r="CL234" s="390"/>
      <c r="CM234" s="391"/>
      <c r="CN234" s="389"/>
      <c r="CO234" s="389"/>
      <c r="CP234" s="135"/>
      <c r="CQ234" s="135"/>
      <c r="CR234" s="135"/>
      <c r="CS234" s="135"/>
      <c r="CT234" s="135"/>
      <c r="CU234" s="135"/>
    </row>
    <row r="235" spans="1:99">
      <c r="A235" s="342" t="s">
        <v>492</v>
      </c>
      <c r="B235" s="342" t="s">
        <v>491</v>
      </c>
      <c r="C235" s="342" t="s">
        <v>1064</v>
      </c>
      <c r="D235" s="157">
        <v>0</v>
      </c>
      <c r="E235" s="157">
        <v>0</v>
      </c>
      <c r="F235" s="157">
        <v>0</v>
      </c>
      <c r="G235" s="157">
        <v>0</v>
      </c>
      <c r="H235" s="157">
        <v>0</v>
      </c>
      <c r="I235" s="157">
        <v>156518.54999999999</v>
      </c>
      <c r="J235" s="157">
        <v>239898.56</v>
      </c>
      <c r="K235" s="157">
        <v>95820.06</v>
      </c>
      <c r="L235" s="157">
        <v>14379.43</v>
      </c>
      <c r="M235" s="157">
        <v>501934.89</v>
      </c>
      <c r="N235" s="264">
        <v>2.3800000000000002E-2</v>
      </c>
      <c r="O235" s="265">
        <v>0.1898</v>
      </c>
      <c r="P235" s="157">
        <v>0</v>
      </c>
      <c r="Q235" s="396">
        <v>0</v>
      </c>
      <c r="R235" s="396">
        <v>0</v>
      </c>
      <c r="S235" s="397">
        <v>0</v>
      </c>
      <c r="T235" s="397">
        <v>0</v>
      </c>
      <c r="U235" s="397">
        <v>0</v>
      </c>
      <c r="V235" s="157">
        <v>0</v>
      </c>
      <c r="W235" s="397">
        <v>0</v>
      </c>
      <c r="X235" s="397">
        <v>0</v>
      </c>
      <c r="Y235" s="157">
        <v>0</v>
      </c>
      <c r="Z235" s="157">
        <v>0</v>
      </c>
      <c r="AA235" s="157">
        <v>0</v>
      </c>
      <c r="AB235" s="157">
        <v>0</v>
      </c>
      <c r="AC235" s="157">
        <v>348324.02</v>
      </c>
      <c r="AD235" s="157">
        <v>38.19</v>
      </c>
      <c r="AE235" s="157">
        <v>328232.37</v>
      </c>
      <c r="AF235" s="398">
        <f t="shared" si="60"/>
        <v>8594.7203456402203</v>
      </c>
      <c r="AG235" s="398">
        <f t="shared" si="61"/>
        <v>9120.8174914899191</v>
      </c>
      <c r="AH235" s="399">
        <f t="shared" si="62"/>
        <v>526.1</v>
      </c>
      <c r="AI235" s="157">
        <v>0</v>
      </c>
      <c r="AJ235" s="157">
        <v>0</v>
      </c>
      <c r="AK235" s="398">
        <f t="shared" si="63"/>
        <v>0</v>
      </c>
      <c r="AL235" s="398">
        <f t="shared" si="64"/>
        <v>0</v>
      </c>
      <c r="AM235" s="399">
        <f t="shared" si="65"/>
        <v>0</v>
      </c>
      <c r="AN235" s="397">
        <v>0</v>
      </c>
      <c r="AO235" s="397">
        <v>0</v>
      </c>
      <c r="AP235" s="46"/>
      <c r="AQ235" s="402">
        <v>31977.079999999994</v>
      </c>
      <c r="AR235" s="274">
        <v>50024.97</v>
      </c>
      <c r="AS235" s="413">
        <v>25835.760000000002</v>
      </c>
      <c r="AX235" s="2"/>
      <c r="BA235" s="342"/>
      <c r="BB235" s="342"/>
      <c r="BC235" s="342"/>
      <c r="BD235" s="386"/>
      <c r="BE235" s="386"/>
      <c r="BF235" s="386"/>
      <c r="BG235" s="386"/>
      <c r="BH235" s="386"/>
      <c r="BI235" s="386"/>
      <c r="BJ235" s="386"/>
      <c r="BK235" s="386"/>
      <c r="BL235" s="386"/>
      <c r="BM235" s="386"/>
      <c r="BN235" s="387"/>
      <c r="BO235" s="265"/>
      <c r="BP235" s="386"/>
      <c r="BQ235" s="388"/>
      <c r="BR235" s="388"/>
      <c r="BS235" s="389"/>
      <c r="BT235" s="389"/>
      <c r="BU235" s="389"/>
      <c r="BV235" s="386"/>
      <c r="BW235" s="389"/>
      <c r="BX235" s="389"/>
      <c r="BY235" s="386"/>
      <c r="BZ235" s="386"/>
      <c r="CA235" s="386"/>
      <c r="CB235" s="386"/>
      <c r="CC235" s="386"/>
      <c r="CD235" s="386"/>
      <c r="CE235" s="386"/>
      <c r="CF235" s="390"/>
      <c r="CG235" s="390"/>
      <c r="CH235" s="391"/>
      <c r="CI235" s="386"/>
      <c r="CJ235" s="386"/>
      <c r="CK235" s="390"/>
      <c r="CL235" s="390"/>
      <c r="CM235" s="391"/>
      <c r="CN235" s="389"/>
      <c r="CO235" s="389"/>
      <c r="CP235" s="135"/>
      <c r="CQ235" s="135"/>
      <c r="CR235" s="135"/>
      <c r="CS235" s="135"/>
      <c r="CT235" s="135"/>
      <c r="CU235" s="135"/>
    </row>
    <row r="236" spans="1:99">
      <c r="A236" s="342" t="s">
        <v>494</v>
      </c>
      <c r="B236" s="342" t="s">
        <v>493</v>
      </c>
      <c r="C236" s="342" t="s">
        <v>1065</v>
      </c>
      <c r="D236" s="157">
        <v>0</v>
      </c>
      <c r="E236" s="157">
        <v>0</v>
      </c>
      <c r="F236" s="157">
        <v>0</v>
      </c>
      <c r="G236" s="157">
        <v>798504.63</v>
      </c>
      <c r="H236" s="157">
        <v>142681.82</v>
      </c>
      <c r="I236" s="157">
        <v>0</v>
      </c>
      <c r="J236" s="157">
        <v>221277.71</v>
      </c>
      <c r="K236" s="157">
        <v>13297.07</v>
      </c>
      <c r="L236" s="157">
        <v>21931.23</v>
      </c>
      <c r="M236" s="157">
        <v>932804.9</v>
      </c>
      <c r="N236" s="264">
        <v>3.1399999999999997E-2</v>
      </c>
      <c r="O236" s="265">
        <v>0.29930000000000001</v>
      </c>
      <c r="P236" s="157">
        <v>0</v>
      </c>
      <c r="Q236" s="396">
        <v>0</v>
      </c>
      <c r="R236" s="396">
        <v>0</v>
      </c>
      <c r="S236" s="397">
        <v>0</v>
      </c>
      <c r="T236" s="397">
        <v>0</v>
      </c>
      <c r="U236" s="397">
        <v>0</v>
      </c>
      <c r="V236" s="157">
        <v>0</v>
      </c>
      <c r="W236" s="397">
        <v>0</v>
      </c>
      <c r="X236" s="397">
        <v>0</v>
      </c>
      <c r="Y236" s="157">
        <v>0</v>
      </c>
      <c r="Z236" s="157">
        <v>0</v>
      </c>
      <c r="AA236" s="157">
        <v>0</v>
      </c>
      <c r="AB236" s="157">
        <v>103449.91</v>
      </c>
      <c r="AC236" s="157">
        <v>412100.93</v>
      </c>
      <c r="AD236" s="157">
        <v>45.6</v>
      </c>
      <c r="AE236" s="157">
        <v>391802.04</v>
      </c>
      <c r="AF236" s="398">
        <f t="shared" si="60"/>
        <v>8592.15</v>
      </c>
      <c r="AG236" s="398">
        <f t="shared" si="61"/>
        <v>9037.3010964912282</v>
      </c>
      <c r="AH236" s="399">
        <f t="shared" si="62"/>
        <v>445.15</v>
      </c>
      <c r="AI236" s="157">
        <v>11.52</v>
      </c>
      <c r="AJ236" s="157">
        <v>96114.65</v>
      </c>
      <c r="AK236" s="398">
        <f t="shared" si="63"/>
        <v>8343.2855902777774</v>
      </c>
      <c r="AL236" s="398">
        <f t="shared" si="64"/>
        <v>8980.0269097222226</v>
      </c>
      <c r="AM236" s="399">
        <f t="shared" si="65"/>
        <v>636.74</v>
      </c>
      <c r="AN236" s="397">
        <v>153.47999999999999</v>
      </c>
      <c r="AO236" s="397">
        <v>0</v>
      </c>
      <c r="AP236" s="46"/>
      <c r="AQ236" s="402">
        <v>0</v>
      </c>
      <c r="AR236" s="274">
        <v>70788.12000000001</v>
      </c>
      <c r="AS236" s="413">
        <v>32938.82</v>
      </c>
      <c r="AX236" s="2"/>
      <c r="BA236" s="342"/>
      <c r="BB236" s="342"/>
      <c r="BC236" s="342"/>
      <c r="BD236" s="386"/>
      <c r="BE236" s="386"/>
      <c r="BF236" s="386"/>
      <c r="BG236" s="386"/>
      <c r="BH236" s="386"/>
      <c r="BI236" s="386"/>
      <c r="BJ236" s="386"/>
      <c r="BK236" s="386"/>
      <c r="BL236" s="386"/>
      <c r="BM236" s="386"/>
      <c r="BN236" s="387"/>
      <c r="BO236" s="265"/>
      <c r="BP236" s="386"/>
      <c r="BQ236" s="388"/>
      <c r="BR236" s="388"/>
      <c r="BS236" s="389"/>
      <c r="BT236" s="389"/>
      <c r="BU236" s="389"/>
      <c r="BV236" s="386"/>
      <c r="BW236" s="389"/>
      <c r="BX236" s="389"/>
      <c r="BY236" s="386"/>
      <c r="BZ236" s="386"/>
      <c r="CA236" s="386"/>
      <c r="CB236" s="386"/>
      <c r="CC236" s="386"/>
      <c r="CD236" s="386"/>
      <c r="CE236" s="386"/>
      <c r="CF236" s="390"/>
      <c r="CG236" s="390"/>
      <c r="CH236" s="391"/>
      <c r="CI236" s="386"/>
      <c r="CJ236" s="386"/>
      <c r="CK236" s="390"/>
      <c r="CL236" s="390"/>
      <c r="CM236" s="391"/>
      <c r="CN236" s="389"/>
      <c r="CO236" s="389"/>
      <c r="CP236" s="135"/>
      <c r="CQ236" s="135"/>
      <c r="CR236" s="135"/>
      <c r="CS236" s="135"/>
      <c r="CT236" s="135"/>
      <c r="CU236" s="135"/>
    </row>
    <row r="237" spans="1:99">
      <c r="A237" s="342" t="s">
        <v>496</v>
      </c>
      <c r="B237" s="342" t="s">
        <v>495</v>
      </c>
      <c r="C237" s="342" t="s">
        <v>1066</v>
      </c>
      <c r="D237" s="157">
        <v>0</v>
      </c>
      <c r="E237" s="157">
        <v>583467.93000000005</v>
      </c>
      <c r="F237" s="157">
        <v>246949.96</v>
      </c>
      <c r="G237" s="157">
        <v>26456002.059999999</v>
      </c>
      <c r="H237" s="157">
        <v>5529048.2400000002</v>
      </c>
      <c r="I237" s="157">
        <v>2471430.5</v>
      </c>
      <c r="J237" s="157">
        <v>5949021.2000000002</v>
      </c>
      <c r="K237" s="157">
        <v>6227234.0300000003</v>
      </c>
      <c r="L237" s="157">
        <v>502361.25</v>
      </c>
      <c r="M237" s="157">
        <v>8746814.2799999993</v>
      </c>
      <c r="N237" s="264">
        <v>3.1E-2</v>
      </c>
      <c r="O237" s="265">
        <v>0.1205</v>
      </c>
      <c r="P237" s="157">
        <v>0</v>
      </c>
      <c r="Q237" s="396">
        <v>0</v>
      </c>
      <c r="R237" s="396">
        <v>0</v>
      </c>
      <c r="S237" s="397">
        <v>0</v>
      </c>
      <c r="T237" s="397">
        <v>0</v>
      </c>
      <c r="U237" s="397">
        <v>0</v>
      </c>
      <c r="V237" s="157">
        <v>0</v>
      </c>
      <c r="W237" s="397">
        <v>0</v>
      </c>
      <c r="X237" s="397">
        <v>0</v>
      </c>
      <c r="Y237" s="157">
        <v>11203.2</v>
      </c>
      <c r="Z237" s="157">
        <v>140479.75</v>
      </c>
      <c r="AA237" s="157">
        <v>936498.51</v>
      </c>
      <c r="AB237" s="157">
        <v>1960416.47</v>
      </c>
      <c r="AC237" s="157">
        <v>13510126.939999999</v>
      </c>
      <c r="AD237" s="157">
        <v>1286.9100000000001</v>
      </c>
      <c r="AE237" s="157">
        <v>12439623.029999999</v>
      </c>
      <c r="AF237" s="398">
        <f t="shared" si="60"/>
        <v>9666.2727230342443</v>
      </c>
      <c r="AG237" s="398">
        <f t="shared" si="61"/>
        <v>10498.113263553783</v>
      </c>
      <c r="AH237" s="399">
        <f t="shared" si="62"/>
        <v>831.84</v>
      </c>
      <c r="AI237" s="157">
        <v>193.69</v>
      </c>
      <c r="AJ237" s="157">
        <v>1821159.84</v>
      </c>
      <c r="AK237" s="398">
        <f t="shared" si="63"/>
        <v>9402.446383396149</v>
      </c>
      <c r="AL237" s="398">
        <f t="shared" si="64"/>
        <v>10121.412927874439</v>
      </c>
      <c r="AM237" s="399">
        <f t="shared" si="65"/>
        <v>718.97</v>
      </c>
      <c r="AN237" s="397">
        <v>0</v>
      </c>
      <c r="AO237" s="397">
        <v>0</v>
      </c>
      <c r="AP237" s="46"/>
      <c r="AQ237" s="402">
        <v>0</v>
      </c>
      <c r="AR237" s="274">
        <v>1803769.42</v>
      </c>
      <c r="AS237" s="413">
        <v>470664.89</v>
      </c>
      <c r="AX237" s="2"/>
      <c r="BA237" s="342"/>
      <c r="BB237" s="342"/>
      <c r="BC237" s="342"/>
      <c r="BD237" s="386"/>
      <c r="BE237" s="386"/>
      <c r="BF237" s="386"/>
      <c r="BG237" s="386"/>
      <c r="BH237" s="386"/>
      <c r="BI237" s="386"/>
      <c r="BJ237" s="386"/>
      <c r="BK237" s="386"/>
      <c r="BL237" s="386"/>
      <c r="BM237" s="386"/>
      <c r="BN237" s="387"/>
      <c r="BO237" s="265"/>
      <c r="BP237" s="386"/>
      <c r="BQ237" s="388"/>
      <c r="BR237" s="388"/>
      <c r="BS237" s="389"/>
      <c r="BT237" s="389"/>
      <c r="BU237" s="389"/>
      <c r="BV237" s="386"/>
      <c r="BW237" s="389"/>
      <c r="BX237" s="389"/>
      <c r="BY237" s="386"/>
      <c r="BZ237" s="386"/>
      <c r="CA237" s="386"/>
      <c r="CB237" s="386"/>
      <c r="CC237" s="386"/>
      <c r="CD237" s="386"/>
      <c r="CE237" s="386"/>
      <c r="CF237" s="390"/>
      <c r="CG237" s="390"/>
      <c r="CH237" s="391"/>
      <c r="CI237" s="386"/>
      <c r="CJ237" s="386"/>
      <c r="CK237" s="390"/>
      <c r="CL237" s="390"/>
      <c r="CM237" s="391"/>
      <c r="CN237" s="389"/>
      <c r="CO237" s="389"/>
      <c r="CP237" s="135"/>
      <c r="CQ237" s="135"/>
      <c r="CR237" s="135"/>
      <c r="CS237" s="135"/>
      <c r="CT237" s="135"/>
      <c r="CU237" s="135"/>
    </row>
    <row r="238" spans="1:99">
      <c r="A238" s="342" t="s">
        <v>498</v>
      </c>
      <c r="B238" s="342" t="s">
        <v>497</v>
      </c>
      <c r="C238" s="342" t="s">
        <v>1067</v>
      </c>
      <c r="D238" s="157">
        <v>0</v>
      </c>
      <c r="E238" s="157">
        <v>13659.56</v>
      </c>
      <c r="F238" s="157">
        <v>0</v>
      </c>
      <c r="G238" s="157">
        <v>478005.49</v>
      </c>
      <c r="H238" s="157">
        <v>82824.2</v>
      </c>
      <c r="I238" s="157">
        <v>95504.19</v>
      </c>
      <c r="J238" s="157">
        <v>176661.34</v>
      </c>
      <c r="K238" s="157">
        <v>0</v>
      </c>
      <c r="L238" s="157">
        <v>11777.42</v>
      </c>
      <c r="M238" s="157">
        <v>373796.55</v>
      </c>
      <c r="N238" s="264">
        <v>7.9399999999999998E-2</v>
      </c>
      <c r="O238" s="265">
        <v>0.2389</v>
      </c>
      <c r="P238" s="157">
        <v>0</v>
      </c>
      <c r="Q238" s="396">
        <v>0</v>
      </c>
      <c r="R238" s="396">
        <v>0</v>
      </c>
      <c r="S238" s="397">
        <v>0</v>
      </c>
      <c r="T238" s="397">
        <v>0</v>
      </c>
      <c r="U238" s="397">
        <v>0</v>
      </c>
      <c r="V238" s="157">
        <v>0</v>
      </c>
      <c r="W238" s="397">
        <v>0</v>
      </c>
      <c r="X238" s="397">
        <v>0</v>
      </c>
      <c r="Y238" s="157">
        <v>0</v>
      </c>
      <c r="Z238" s="157">
        <v>0</v>
      </c>
      <c r="AA238" s="157">
        <v>1155.0899999999999</v>
      </c>
      <c r="AB238" s="157">
        <v>0</v>
      </c>
      <c r="AC238" s="157">
        <v>116200.28</v>
      </c>
      <c r="AD238" s="157">
        <v>11.63</v>
      </c>
      <c r="AE238" s="157">
        <v>101994.07</v>
      </c>
      <c r="AF238" s="398">
        <f t="shared" si="60"/>
        <v>8769.9114359415307</v>
      </c>
      <c r="AG238" s="398">
        <f t="shared" si="61"/>
        <v>9991.4256233877895</v>
      </c>
      <c r="AH238" s="399">
        <f t="shared" si="62"/>
        <v>1221.51</v>
      </c>
      <c r="AI238" s="157">
        <v>0</v>
      </c>
      <c r="AJ238" s="157">
        <v>0</v>
      </c>
      <c r="AK238" s="398">
        <f t="shared" si="63"/>
        <v>0</v>
      </c>
      <c r="AL238" s="398">
        <f t="shared" si="64"/>
        <v>0</v>
      </c>
      <c r="AM238" s="399">
        <f t="shared" si="65"/>
        <v>0</v>
      </c>
      <c r="AN238" s="397">
        <v>6068.42</v>
      </c>
      <c r="AO238" s="397">
        <v>0</v>
      </c>
      <c r="AP238" s="46"/>
      <c r="AQ238" s="402">
        <v>76358.149999999994</v>
      </c>
      <c r="AR238" s="274">
        <v>41511.72</v>
      </c>
      <c r="AS238" s="413">
        <v>19678.89</v>
      </c>
      <c r="AX238" s="2"/>
      <c r="BA238" s="342"/>
      <c r="BB238" s="342"/>
      <c r="BC238" s="342"/>
      <c r="BD238" s="386"/>
      <c r="BE238" s="386"/>
      <c r="BF238" s="386"/>
      <c r="BG238" s="386"/>
      <c r="BH238" s="386"/>
      <c r="BI238" s="386"/>
      <c r="BJ238" s="386"/>
      <c r="BK238" s="386"/>
      <c r="BL238" s="386"/>
      <c r="BM238" s="386"/>
      <c r="BN238" s="387"/>
      <c r="BO238" s="265"/>
      <c r="BP238" s="386"/>
      <c r="BQ238" s="388"/>
      <c r="BR238" s="388"/>
      <c r="BS238" s="389"/>
      <c r="BT238" s="389"/>
      <c r="BU238" s="389"/>
      <c r="BV238" s="386"/>
      <c r="BW238" s="389"/>
      <c r="BX238" s="389"/>
      <c r="BY238" s="386"/>
      <c r="BZ238" s="386"/>
      <c r="CA238" s="386"/>
      <c r="CB238" s="386"/>
      <c r="CC238" s="386"/>
      <c r="CD238" s="386"/>
      <c r="CE238" s="386"/>
      <c r="CF238" s="390"/>
      <c r="CG238" s="390"/>
      <c r="CH238" s="391"/>
      <c r="CI238" s="386"/>
      <c r="CJ238" s="386"/>
      <c r="CK238" s="390"/>
      <c r="CL238" s="390"/>
      <c r="CM238" s="391"/>
      <c r="CN238" s="389"/>
      <c r="CO238" s="389"/>
      <c r="CP238" s="135"/>
      <c r="CQ238" s="135"/>
      <c r="CR238" s="135"/>
      <c r="CS238" s="135"/>
      <c r="CT238" s="135"/>
      <c r="CU238" s="135"/>
    </row>
    <row r="239" spans="1:99">
      <c r="A239" s="342" t="s">
        <v>500</v>
      </c>
      <c r="B239" s="342" t="s">
        <v>499</v>
      </c>
      <c r="C239" s="342" t="s">
        <v>1068</v>
      </c>
      <c r="D239" s="157">
        <v>0</v>
      </c>
      <c r="E239" s="157">
        <v>299061.02</v>
      </c>
      <c r="F239" s="157">
        <v>50009.34</v>
      </c>
      <c r="G239" s="157">
        <v>19136475.309999999</v>
      </c>
      <c r="H239" s="157">
        <v>4407336.97</v>
      </c>
      <c r="I239" s="157">
        <v>777844.44</v>
      </c>
      <c r="J239" s="157">
        <v>3449866.37</v>
      </c>
      <c r="K239" s="157">
        <v>1465496.73</v>
      </c>
      <c r="L239" s="157">
        <v>416952.65</v>
      </c>
      <c r="M239" s="157">
        <v>5185579.95</v>
      </c>
      <c r="N239" s="264">
        <v>3.5000000000000003E-2</v>
      </c>
      <c r="O239" s="265">
        <v>0.14069999999999999</v>
      </c>
      <c r="P239" s="157">
        <v>0</v>
      </c>
      <c r="Q239" s="396">
        <v>0</v>
      </c>
      <c r="R239" s="396">
        <v>0</v>
      </c>
      <c r="S239" s="397">
        <v>145288.08000000002</v>
      </c>
      <c r="T239" s="397">
        <v>14031.131999999998</v>
      </c>
      <c r="U239" s="397">
        <v>5678.05</v>
      </c>
      <c r="V239" s="157">
        <v>0</v>
      </c>
      <c r="W239" s="397">
        <v>0</v>
      </c>
      <c r="X239" s="397">
        <v>0</v>
      </c>
      <c r="Y239" s="157">
        <v>2017.57</v>
      </c>
      <c r="Z239" s="157">
        <v>21687.7</v>
      </c>
      <c r="AA239" s="157">
        <v>454749.93</v>
      </c>
      <c r="AB239" s="157">
        <v>444937.72</v>
      </c>
      <c r="AC239" s="157">
        <v>6476624.1600000001</v>
      </c>
      <c r="AD239" s="157">
        <v>687.84</v>
      </c>
      <c r="AE239" s="157">
        <v>6032004.79</v>
      </c>
      <c r="AF239" s="398">
        <f t="shared" si="60"/>
        <v>8769.4882385438468</v>
      </c>
      <c r="AG239" s="398">
        <f t="shared" si="61"/>
        <v>9415.8876482902997</v>
      </c>
      <c r="AH239" s="399">
        <f t="shared" si="62"/>
        <v>646.4</v>
      </c>
      <c r="AI239" s="157">
        <v>48.52</v>
      </c>
      <c r="AJ239" s="157">
        <v>413212.97</v>
      </c>
      <c r="AK239" s="398">
        <f t="shared" si="63"/>
        <v>8516.3431574608403</v>
      </c>
      <c r="AL239" s="398">
        <f t="shared" si="64"/>
        <v>9170.1920857378391</v>
      </c>
      <c r="AM239" s="399">
        <f t="shared" si="65"/>
        <v>653.85</v>
      </c>
      <c r="AN239" s="397">
        <v>0</v>
      </c>
      <c r="AO239" s="397">
        <v>0</v>
      </c>
      <c r="AP239" s="46"/>
      <c r="AQ239" s="402">
        <v>18155.239999999991</v>
      </c>
      <c r="AR239" s="274">
        <v>1299037.71</v>
      </c>
      <c r="AS239" s="413">
        <v>428441.85</v>
      </c>
      <c r="AX239" s="2"/>
      <c r="BA239" s="342"/>
      <c r="BB239" s="342"/>
      <c r="BC239" s="342"/>
      <c r="BD239" s="386"/>
      <c r="BE239" s="386"/>
      <c r="BF239" s="386"/>
      <c r="BG239" s="386"/>
      <c r="BH239" s="386"/>
      <c r="BI239" s="386"/>
      <c r="BJ239" s="386"/>
      <c r="BK239" s="386"/>
      <c r="BL239" s="386"/>
      <c r="BM239" s="386"/>
      <c r="BN239" s="387"/>
      <c r="BO239" s="265"/>
      <c r="BP239" s="386"/>
      <c r="BQ239" s="388"/>
      <c r="BR239" s="388"/>
      <c r="BS239" s="389"/>
      <c r="BT239" s="389"/>
      <c r="BU239" s="389"/>
      <c r="BV239" s="386"/>
      <c r="BW239" s="389"/>
      <c r="BX239" s="389"/>
      <c r="BY239" s="386"/>
      <c r="BZ239" s="386"/>
      <c r="CA239" s="386"/>
      <c r="CB239" s="386"/>
      <c r="CC239" s="386"/>
      <c r="CD239" s="386"/>
      <c r="CE239" s="386"/>
      <c r="CF239" s="390"/>
      <c r="CG239" s="390"/>
      <c r="CH239" s="391"/>
      <c r="CI239" s="386"/>
      <c r="CJ239" s="386"/>
      <c r="CK239" s="390"/>
      <c r="CL239" s="390"/>
      <c r="CM239" s="391"/>
      <c r="CN239" s="389"/>
      <c r="CO239" s="389"/>
      <c r="CP239" s="135"/>
      <c r="CQ239" s="135"/>
      <c r="CR239" s="135"/>
      <c r="CS239" s="135"/>
      <c r="CT239" s="135"/>
      <c r="CU239" s="135"/>
    </row>
    <row r="240" spans="1:99">
      <c r="A240" s="342" t="s">
        <v>502</v>
      </c>
      <c r="B240" s="342" t="s">
        <v>501</v>
      </c>
      <c r="C240" s="342" t="s">
        <v>1069</v>
      </c>
      <c r="D240" s="157">
        <v>0</v>
      </c>
      <c r="E240" s="157">
        <v>0</v>
      </c>
      <c r="F240" s="157">
        <v>0</v>
      </c>
      <c r="G240" s="157">
        <v>5273592.1900000004</v>
      </c>
      <c r="H240" s="157">
        <v>806774.69</v>
      </c>
      <c r="I240" s="157">
        <v>0</v>
      </c>
      <c r="J240" s="157">
        <v>619655.78</v>
      </c>
      <c r="K240" s="157">
        <v>240958.54</v>
      </c>
      <c r="L240" s="157">
        <v>121535.31</v>
      </c>
      <c r="M240" s="157">
        <v>0</v>
      </c>
      <c r="N240" s="264">
        <v>4.4499999999999998E-2</v>
      </c>
      <c r="O240" s="265">
        <v>0.1953</v>
      </c>
      <c r="P240" s="157">
        <v>0</v>
      </c>
      <c r="Q240" s="396">
        <v>0</v>
      </c>
      <c r="R240" s="396">
        <v>0</v>
      </c>
      <c r="S240" s="397">
        <v>0</v>
      </c>
      <c r="T240" s="397">
        <v>0</v>
      </c>
      <c r="U240" s="397">
        <v>0</v>
      </c>
      <c r="V240" s="157">
        <v>0</v>
      </c>
      <c r="W240" s="397">
        <v>0</v>
      </c>
      <c r="X240" s="397">
        <v>0</v>
      </c>
      <c r="Y240" s="157">
        <v>4364.4399999999996</v>
      </c>
      <c r="Z240" s="157">
        <v>0</v>
      </c>
      <c r="AA240" s="157">
        <v>0</v>
      </c>
      <c r="AB240" s="157">
        <v>580883.93000000005</v>
      </c>
      <c r="AC240" s="157">
        <v>1859175.02</v>
      </c>
      <c r="AD240" s="157">
        <v>197.95</v>
      </c>
      <c r="AE240" s="157">
        <v>1771381.99</v>
      </c>
      <c r="AF240" s="398">
        <f t="shared" si="60"/>
        <v>8948.6334427885831</v>
      </c>
      <c r="AG240" s="398">
        <f t="shared" si="61"/>
        <v>9392.1445819651435</v>
      </c>
      <c r="AH240" s="399">
        <f t="shared" si="62"/>
        <v>443.51</v>
      </c>
      <c r="AI240" s="157">
        <v>62.08</v>
      </c>
      <c r="AJ240" s="157">
        <v>539392.19999999995</v>
      </c>
      <c r="AK240" s="398">
        <f t="shared" si="63"/>
        <v>8688.663015463917</v>
      </c>
      <c r="AL240" s="398">
        <f t="shared" si="64"/>
        <v>9357.0220682989693</v>
      </c>
      <c r="AM240" s="399">
        <f t="shared" si="65"/>
        <v>668.36</v>
      </c>
      <c r="AN240" s="397">
        <v>0</v>
      </c>
      <c r="AO240" s="397">
        <v>11593.02</v>
      </c>
      <c r="AP240" s="46"/>
      <c r="AQ240" s="402">
        <v>11671.920000000042</v>
      </c>
      <c r="AR240" s="274">
        <v>385007.83</v>
      </c>
      <c r="AS240" s="413">
        <v>122575.16</v>
      </c>
      <c r="AX240" s="2"/>
      <c r="BA240" s="342"/>
      <c r="BB240" s="342"/>
      <c r="BC240" s="342"/>
      <c r="BD240" s="386"/>
      <c r="BE240" s="386"/>
      <c r="BF240" s="386"/>
      <c r="BG240" s="386"/>
      <c r="BH240" s="386"/>
      <c r="BI240" s="386"/>
      <c r="BJ240" s="386"/>
      <c r="BK240" s="386"/>
      <c r="BL240" s="386"/>
      <c r="BM240" s="386"/>
      <c r="BN240" s="387"/>
      <c r="BO240" s="265"/>
      <c r="BP240" s="386"/>
      <c r="BQ240" s="388"/>
      <c r="BR240" s="388"/>
      <c r="BS240" s="389"/>
      <c r="BT240" s="389"/>
      <c r="BU240" s="389"/>
      <c r="BV240" s="386"/>
      <c r="BW240" s="389"/>
      <c r="BX240" s="389"/>
      <c r="BY240" s="386"/>
      <c r="BZ240" s="386"/>
      <c r="CA240" s="386"/>
      <c r="CB240" s="386"/>
      <c r="CC240" s="386"/>
      <c r="CD240" s="386"/>
      <c r="CE240" s="386"/>
      <c r="CF240" s="390"/>
      <c r="CG240" s="390"/>
      <c r="CH240" s="391"/>
      <c r="CI240" s="386"/>
      <c r="CJ240" s="386"/>
      <c r="CK240" s="390"/>
      <c r="CL240" s="390"/>
      <c r="CM240" s="391"/>
      <c r="CN240" s="389"/>
      <c r="CO240" s="389"/>
      <c r="CP240" s="135"/>
      <c r="CQ240" s="135"/>
      <c r="CR240" s="135"/>
      <c r="CS240" s="135"/>
      <c r="CT240" s="135"/>
      <c r="CU240" s="135"/>
    </row>
    <row r="241" spans="1:99">
      <c r="A241" s="342" t="s">
        <v>504</v>
      </c>
      <c r="B241" s="342" t="s">
        <v>503</v>
      </c>
      <c r="C241" s="342" t="s">
        <v>1070</v>
      </c>
      <c r="D241" s="157">
        <v>0</v>
      </c>
      <c r="E241" s="157">
        <v>10267.450000000001</v>
      </c>
      <c r="F241" s="157">
        <v>3137.58</v>
      </c>
      <c r="G241" s="157">
        <v>323490.59999999998</v>
      </c>
      <c r="H241" s="157">
        <v>36322.47</v>
      </c>
      <c r="I241" s="157">
        <v>50749.98</v>
      </c>
      <c r="J241" s="157">
        <v>108994.69</v>
      </c>
      <c r="K241" s="157">
        <v>0</v>
      </c>
      <c r="L241" s="157">
        <v>10813.81</v>
      </c>
      <c r="M241" s="157">
        <v>0</v>
      </c>
      <c r="N241" s="264">
        <v>3.78E-2</v>
      </c>
      <c r="O241" s="265">
        <v>0.24279999999999999</v>
      </c>
      <c r="P241" s="157">
        <v>0</v>
      </c>
      <c r="Q241" s="396">
        <v>0</v>
      </c>
      <c r="R241" s="396">
        <v>0</v>
      </c>
      <c r="S241" s="397">
        <v>0</v>
      </c>
      <c r="T241" s="397">
        <v>0</v>
      </c>
      <c r="U241" s="397">
        <v>0</v>
      </c>
      <c r="V241" s="157">
        <v>0</v>
      </c>
      <c r="W241" s="397">
        <v>0</v>
      </c>
      <c r="X241" s="397">
        <v>0</v>
      </c>
      <c r="Y241" s="157">
        <v>0</v>
      </c>
      <c r="Z241" s="157">
        <v>0</v>
      </c>
      <c r="AA241" s="157">
        <v>0</v>
      </c>
      <c r="AB241" s="157">
        <v>108451.14</v>
      </c>
      <c r="AC241" s="157">
        <v>281874.84000000003</v>
      </c>
      <c r="AD241" s="157">
        <v>30.71</v>
      </c>
      <c r="AE241" s="157">
        <v>269049.88</v>
      </c>
      <c r="AF241" s="398">
        <f t="shared" si="60"/>
        <v>8760.9859980462388</v>
      </c>
      <c r="AG241" s="398">
        <f t="shared" si="61"/>
        <v>9178.6011071312278</v>
      </c>
      <c r="AH241" s="399">
        <f t="shared" si="62"/>
        <v>417.62</v>
      </c>
      <c r="AI241" s="157">
        <v>11.82</v>
      </c>
      <c r="AJ241" s="157">
        <v>100392.84</v>
      </c>
      <c r="AK241" s="398">
        <f t="shared" si="63"/>
        <v>8493.4720812182732</v>
      </c>
      <c r="AL241" s="398">
        <f t="shared" si="64"/>
        <v>9175.2233502538074</v>
      </c>
      <c r="AM241" s="399">
        <f t="shared" si="65"/>
        <v>681.75</v>
      </c>
      <c r="AN241" s="397">
        <v>862.01</v>
      </c>
      <c r="AO241" s="397">
        <v>0</v>
      </c>
      <c r="AP241" s="46"/>
      <c r="AQ241" s="402">
        <v>12590.739999999998</v>
      </c>
      <c r="AR241" s="274">
        <v>42631.82</v>
      </c>
      <c r="AS241" s="413">
        <v>21831.190000000002</v>
      </c>
      <c r="AX241" s="2"/>
      <c r="BA241" s="342"/>
      <c r="BB241" s="342"/>
      <c r="BC241" s="342"/>
      <c r="BD241" s="386"/>
      <c r="BE241" s="386"/>
      <c r="BF241" s="386"/>
      <c r="BG241" s="386"/>
      <c r="BH241" s="386"/>
      <c r="BI241" s="386"/>
      <c r="BJ241" s="386"/>
      <c r="BK241" s="386"/>
      <c r="BL241" s="386"/>
      <c r="BM241" s="386"/>
      <c r="BN241" s="387"/>
      <c r="BO241" s="265"/>
      <c r="BP241" s="386"/>
      <c r="BQ241" s="388"/>
      <c r="BR241" s="388"/>
      <c r="BS241" s="389"/>
      <c r="BT241" s="389"/>
      <c r="BU241" s="389"/>
      <c r="BV241" s="386"/>
      <c r="BW241" s="389"/>
      <c r="BX241" s="389"/>
      <c r="BY241" s="386"/>
      <c r="BZ241" s="386"/>
      <c r="CA241" s="386"/>
      <c r="CB241" s="386"/>
      <c r="CC241" s="386"/>
      <c r="CD241" s="386"/>
      <c r="CE241" s="386"/>
      <c r="CF241" s="390"/>
      <c r="CG241" s="390"/>
      <c r="CH241" s="391"/>
      <c r="CI241" s="386"/>
      <c r="CJ241" s="386"/>
      <c r="CK241" s="390"/>
      <c r="CL241" s="390"/>
      <c r="CM241" s="391"/>
      <c r="CN241" s="389"/>
      <c r="CO241" s="389"/>
      <c r="CP241" s="135"/>
      <c r="CQ241" s="135"/>
      <c r="CR241" s="135"/>
      <c r="CS241" s="135"/>
      <c r="CT241" s="135"/>
      <c r="CU241" s="135"/>
    </row>
    <row r="242" spans="1:99">
      <c r="A242" s="342" t="s">
        <v>506</v>
      </c>
      <c r="B242" s="342" t="s">
        <v>505</v>
      </c>
      <c r="C242" s="342" t="s">
        <v>1071</v>
      </c>
      <c r="D242" s="157">
        <v>0</v>
      </c>
      <c r="E242" s="157">
        <v>25091.03</v>
      </c>
      <c r="F242" s="157">
        <v>9509.5400000000009</v>
      </c>
      <c r="G242" s="157">
        <v>2061631.44</v>
      </c>
      <c r="H242" s="157">
        <v>407784.23</v>
      </c>
      <c r="I242" s="157">
        <v>116069.95</v>
      </c>
      <c r="J242" s="157">
        <v>463245.26</v>
      </c>
      <c r="K242" s="157">
        <v>21112.87</v>
      </c>
      <c r="L242" s="157">
        <v>44896.93</v>
      </c>
      <c r="M242" s="157">
        <v>1595372.3</v>
      </c>
      <c r="N242" s="264">
        <v>3.8699999999999998E-2</v>
      </c>
      <c r="O242" s="265">
        <v>0.21060000000000001</v>
      </c>
      <c r="P242" s="157">
        <v>0</v>
      </c>
      <c r="Q242" s="396">
        <v>0</v>
      </c>
      <c r="R242" s="396">
        <v>0</v>
      </c>
      <c r="S242" s="397">
        <v>0</v>
      </c>
      <c r="T242" s="397">
        <v>0</v>
      </c>
      <c r="U242" s="397">
        <v>0</v>
      </c>
      <c r="V242" s="157">
        <v>0</v>
      </c>
      <c r="W242" s="397">
        <v>0</v>
      </c>
      <c r="X242" s="397">
        <v>0</v>
      </c>
      <c r="Y242" s="157">
        <v>1822.47</v>
      </c>
      <c r="Z242" s="157">
        <v>5642.13</v>
      </c>
      <c r="AA242" s="157">
        <v>34527.81</v>
      </c>
      <c r="AB242" s="157">
        <v>343788.17</v>
      </c>
      <c r="AC242" s="157">
        <v>1078154.83</v>
      </c>
      <c r="AD242" s="157">
        <v>113.47</v>
      </c>
      <c r="AE242" s="157">
        <v>974945.16</v>
      </c>
      <c r="AF242" s="398">
        <f t="shared" si="60"/>
        <v>8592.0962368908076</v>
      </c>
      <c r="AG242" s="398">
        <f t="shared" si="61"/>
        <v>9501.6729532034915</v>
      </c>
      <c r="AH242" s="399">
        <f t="shared" si="62"/>
        <v>909.58</v>
      </c>
      <c r="AI242" s="157">
        <v>38.29</v>
      </c>
      <c r="AJ242" s="157">
        <v>319293.90000000002</v>
      </c>
      <c r="AK242" s="398">
        <f t="shared" si="63"/>
        <v>8338.8325933664146</v>
      </c>
      <c r="AL242" s="398">
        <f t="shared" si="64"/>
        <v>8978.5366936536957</v>
      </c>
      <c r="AM242" s="399">
        <f t="shared" si="65"/>
        <v>639.70000000000005</v>
      </c>
      <c r="AN242" s="397">
        <v>0</v>
      </c>
      <c r="AO242" s="397">
        <v>0</v>
      </c>
      <c r="AP242" s="46"/>
      <c r="AQ242" s="402">
        <v>0</v>
      </c>
      <c r="AR242" s="274">
        <v>140431.66999999998</v>
      </c>
      <c r="AS242" s="413">
        <v>57220.270000000004</v>
      </c>
      <c r="AX242" s="2"/>
      <c r="BA242" s="342"/>
      <c r="BB242" s="342"/>
      <c r="BC242" s="342"/>
      <c r="BD242" s="386"/>
      <c r="BE242" s="386"/>
      <c r="BF242" s="386"/>
      <c r="BG242" s="386"/>
      <c r="BH242" s="386"/>
      <c r="BI242" s="386"/>
      <c r="BJ242" s="386"/>
      <c r="BK242" s="386"/>
      <c r="BL242" s="386"/>
      <c r="BM242" s="386"/>
      <c r="BN242" s="387"/>
      <c r="BO242" s="265"/>
      <c r="BP242" s="386"/>
      <c r="BQ242" s="388"/>
      <c r="BR242" s="388"/>
      <c r="BS242" s="389"/>
      <c r="BT242" s="389"/>
      <c r="BU242" s="389"/>
      <c r="BV242" s="386"/>
      <c r="BW242" s="389"/>
      <c r="BX242" s="389"/>
      <c r="BY242" s="386"/>
      <c r="BZ242" s="386"/>
      <c r="CA242" s="386"/>
      <c r="CB242" s="386"/>
      <c r="CC242" s="386"/>
      <c r="CD242" s="386"/>
      <c r="CE242" s="386"/>
      <c r="CF242" s="390"/>
      <c r="CG242" s="390"/>
      <c r="CH242" s="391"/>
      <c r="CI242" s="386"/>
      <c r="CJ242" s="386"/>
      <c r="CK242" s="390"/>
      <c r="CL242" s="390"/>
      <c r="CM242" s="391"/>
      <c r="CN242" s="389"/>
      <c r="CO242" s="389"/>
      <c r="CP242" s="135"/>
      <c r="CQ242" s="135"/>
      <c r="CR242" s="135"/>
      <c r="CS242" s="135"/>
      <c r="CT242" s="135"/>
      <c r="CU242" s="135"/>
    </row>
    <row r="243" spans="1:99">
      <c r="A243" s="342" t="s">
        <v>508</v>
      </c>
      <c r="B243" s="342" t="s">
        <v>507</v>
      </c>
      <c r="C243" s="342" t="s">
        <v>1072</v>
      </c>
      <c r="D243" s="157">
        <v>0</v>
      </c>
      <c r="E243" s="157">
        <v>0</v>
      </c>
      <c r="F243" s="157">
        <v>0</v>
      </c>
      <c r="G243" s="157">
        <v>3453620.09</v>
      </c>
      <c r="H243" s="157">
        <v>542020.06000000006</v>
      </c>
      <c r="I243" s="157">
        <v>0</v>
      </c>
      <c r="J243" s="157">
        <v>290178.62</v>
      </c>
      <c r="K243" s="157">
        <v>380767.42</v>
      </c>
      <c r="L243" s="157">
        <v>105552.17</v>
      </c>
      <c r="M243" s="157">
        <v>2550084.0099999998</v>
      </c>
      <c r="N243" s="264">
        <v>3.5499999999999997E-2</v>
      </c>
      <c r="O243" s="265">
        <v>0.1593</v>
      </c>
      <c r="P243" s="157">
        <v>0</v>
      </c>
      <c r="Q243" s="396">
        <v>0</v>
      </c>
      <c r="R243" s="396">
        <v>0</v>
      </c>
      <c r="S243" s="397">
        <v>0</v>
      </c>
      <c r="T243" s="397">
        <v>0</v>
      </c>
      <c r="U243" s="397">
        <v>0</v>
      </c>
      <c r="V243" s="157">
        <v>0</v>
      </c>
      <c r="W243" s="397">
        <v>0</v>
      </c>
      <c r="X243" s="397">
        <v>0</v>
      </c>
      <c r="Y243" s="157">
        <v>3512.98</v>
      </c>
      <c r="Z243" s="157">
        <v>0</v>
      </c>
      <c r="AA243" s="157">
        <v>0</v>
      </c>
      <c r="AB243" s="157">
        <v>224928.94</v>
      </c>
      <c r="AC243" s="157">
        <v>1834871.74</v>
      </c>
      <c r="AD243" s="157">
        <v>173.4</v>
      </c>
      <c r="AE243" s="157">
        <v>1676162.93</v>
      </c>
      <c r="AF243" s="398">
        <f t="shared" si="60"/>
        <v>9666.4528835063429</v>
      </c>
      <c r="AG243" s="398">
        <f t="shared" si="61"/>
        <v>10581.72860438293</v>
      </c>
      <c r="AH243" s="399">
        <f t="shared" si="62"/>
        <v>915.28</v>
      </c>
      <c r="AI243" s="157">
        <v>22.23</v>
      </c>
      <c r="AJ243" s="157">
        <v>208948.62</v>
      </c>
      <c r="AK243" s="398">
        <f t="shared" si="63"/>
        <v>9399.3981106612682</v>
      </c>
      <c r="AL243" s="398">
        <f t="shared" si="64"/>
        <v>10118.260908681961</v>
      </c>
      <c r="AM243" s="399">
        <f t="shared" si="65"/>
        <v>718.86</v>
      </c>
      <c r="AN243" s="397">
        <v>0</v>
      </c>
      <c r="AO243" s="397">
        <v>0</v>
      </c>
      <c r="AP243" s="46"/>
      <c r="AQ243" s="402">
        <v>23484.26999999996</v>
      </c>
      <c r="AR243" s="274">
        <v>322245.41000000003</v>
      </c>
      <c r="AS243" s="413">
        <v>105889.98000000001</v>
      </c>
      <c r="AX243" s="2"/>
      <c r="BA243" s="342"/>
      <c r="BB243" s="342"/>
      <c r="BC243" s="342"/>
      <c r="BD243" s="386"/>
      <c r="BE243" s="386"/>
      <c r="BF243" s="386"/>
      <c r="BG243" s="386"/>
      <c r="BH243" s="386"/>
      <c r="BI243" s="386"/>
      <c r="BJ243" s="386"/>
      <c r="BK243" s="386"/>
      <c r="BL243" s="386"/>
      <c r="BM243" s="386"/>
      <c r="BN243" s="387"/>
      <c r="BO243" s="265"/>
      <c r="BP243" s="386"/>
      <c r="BQ243" s="388"/>
      <c r="BR243" s="388"/>
      <c r="BS243" s="389"/>
      <c r="BT243" s="389"/>
      <c r="BU243" s="389"/>
      <c r="BV243" s="386"/>
      <c r="BW243" s="389"/>
      <c r="BX243" s="389"/>
      <c r="BY243" s="386"/>
      <c r="BZ243" s="386"/>
      <c r="CA243" s="386"/>
      <c r="CB243" s="386"/>
      <c r="CC243" s="386"/>
      <c r="CD243" s="386"/>
      <c r="CE243" s="386"/>
      <c r="CF243" s="390"/>
      <c r="CG243" s="390"/>
      <c r="CH243" s="391"/>
      <c r="CI243" s="386"/>
      <c r="CJ243" s="386"/>
      <c r="CK243" s="390"/>
      <c r="CL243" s="390"/>
      <c r="CM243" s="391"/>
      <c r="CN243" s="389"/>
      <c r="CO243" s="389"/>
      <c r="CP243" s="135"/>
      <c r="CQ243" s="135"/>
      <c r="CR243" s="135"/>
      <c r="CS243" s="135"/>
      <c r="CT243" s="135"/>
      <c r="CU243" s="135"/>
    </row>
    <row r="244" spans="1:99">
      <c r="A244" s="342" t="s">
        <v>510</v>
      </c>
      <c r="B244" s="342" t="s">
        <v>509</v>
      </c>
      <c r="C244" s="342" t="s">
        <v>1073</v>
      </c>
      <c r="D244" s="157">
        <v>0</v>
      </c>
      <c r="E244" s="157">
        <v>64900.44</v>
      </c>
      <c r="F244" s="157">
        <v>36208.44</v>
      </c>
      <c r="G244" s="157">
        <v>3383773.75</v>
      </c>
      <c r="H244" s="157">
        <v>515426.36</v>
      </c>
      <c r="I244" s="157">
        <v>302278.40000000002</v>
      </c>
      <c r="J244" s="157">
        <v>658971.05000000005</v>
      </c>
      <c r="K244" s="157">
        <v>351915.42</v>
      </c>
      <c r="L244" s="157">
        <v>62793.63</v>
      </c>
      <c r="M244" s="157">
        <v>1574698.86</v>
      </c>
      <c r="N244" s="264">
        <v>2.1299999999999999E-2</v>
      </c>
      <c r="O244" s="265">
        <v>0.14610000000000001</v>
      </c>
      <c r="P244" s="157">
        <v>0</v>
      </c>
      <c r="Q244" s="396">
        <v>0</v>
      </c>
      <c r="R244" s="396">
        <v>0</v>
      </c>
      <c r="S244" s="397">
        <v>0</v>
      </c>
      <c r="T244" s="397">
        <v>0</v>
      </c>
      <c r="U244" s="397">
        <v>0</v>
      </c>
      <c r="V244" s="157">
        <v>0</v>
      </c>
      <c r="W244" s="397">
        <v>0</v>
      </c>
      <c r="X244" s="397">
        <v>0</v>
      </c>
      <c r="Y244" s="157">
        <v>2444.9899999999998</v>
      </c>
      <c r="Z244" s="157">
        <v>0</v>
      </c>
      <c r="AA244" s="157">
        <v>73380.289999999994</v>
      </c>
      <c r="AB244" s="157">
        <v>0</v>
      </c>
      <c r="AC244" s="157">
        <v>908059.73</v>
      </c>
      <c r="AD244" s="157">
        <v>94.48</v>
      </c>
      <c r="AE244" s="157">
        <v>811559.29</v>
      </c>
      <c r="AF244" s="398">
        <f t="shared" si="60"/>
        <v>8589.7469305673167</v>
      </c>
      <c r="AG244" s="398">
        <f t="shared" si="61"/>
        <v>9611.131773920406</v>
      </c>
      <c r="AH244" s="399">
        <f t="shared" si="62"/>
        <v>1021.38</v>
      </c>
      <c r="AI244" s="157">
        <v>0</v>
      </c>
      <c r="AJ244" s="157">
        <v>0</v>
      </c>
      <c r="AK244" s="398">
        <f t="shared" si="63"/>
        <v>0</v>
      </c>
      <c r="AL244" s="398">
        <f t="shared" si="64"/>
        <v>0</v>
      </c>
      <c r="AM244" s="399">
        <f t="shared" si="65"/>
        <v>0</v>
      </c>
      <c r="AN244" s="397">
        <v>3543.75</v>
      </c>
      <c r="AO244" s="397">
        <v>3171.07</v>
      </c>
      <c r="AP244" s="46"/>
      <c r="AQ244" s="402">
        <v>51700.950000000012</v>
      </c>
      <c r="AR244" s="274">
        <v>215097.58000000002</v>
      </c>
      <c r="AS244" s="413">
        <v>74988.58</v>
      </c>
      <c r="AX244" s="2"/>
      <c r="BA244" s="342"/>
      <c r="BB244" s="342"/>
      <c r="BC244" s="342"/>
      <c r="BD244" s="386"/>
      <c r="BE244" s="386"/>
      <c r="BF244" s="386"/>
      <c r="BG244" s="386"/>
      <c r="BH244" s="386"/>
      <c r="BI244" s="386"/>
      <c r="BJ244" s="386"/>
      <c r="BK244" s="386"/>
      <c r="BL244" s="386"/>
      <c r="BM244" s="386"/>
      <c r="BN244" s="387"/>
      <c r="BO244" s="265"/>
      <c r="BP244" s="386"/>
      <c r="BQ244" s="388"/>
      <c r="BR244" s="388"/>
      <c r="BS244" s="389"/>
      <c r="BT244" s="389"/>
      <c r="BU244" s="389"/>
      <c r="BV244" s="386"/>
      <c r="BW244" s="389"/>
      <c r="BX244" s="389"/>
      <c r="BY244" s="386"/>
      <c r="BZ244" s="386"/>
      <c r="CA244" s="386"/>
      <c r="CB244" s="386"/>
      <c r="CC244" s="386"/>
      <c r="CD244" s="386"/>
      <c r="CE244" s="386"/>
      <c r="CF244" s="390"/>
      <c r="CG244" s="390"/>
      <c r="CH244" s="391"/>
      <c r="CI244" s="386"/>
      <c r="CJ244" s="386"/>
      <c r="CK244" s="390"/>
      <c r="CL244" s="390"/>
      <c r="CM244" s="391"/>
      <c r="CN244" s="389"/>
      <c r="CO244" s="389"/>
      <c r="CP244" s="135"/>
      <c r="CQ244" s="135"/>
      <c r="CR244" s="135"/>
      <c r="CS244" s="135"/>
      <c r="CT244" s="135"/>
      <c r="CU244" s="135"/>
    </row>
    <row r="245" spans="1:99">
      <c r="A245" s="342" t="s">
        <v>512</v>
      </c>
      <c r="B245" s="342" t="s">
        <v>511</v>
      </c>
      <c r="C245" s="342" t="s">
        <v>1074</v>
      </c>
      <c r="D245" s="157">
        <v>0</v>
      </c>
      <c r="E245" s="157">
        <v>0</v>
      </c>
      <c r="F245" s="157">
        <v>0</v>
      </c>
      <c r="G245" s="157">
        <v>0</v>
      </c>
      <c r="H245" s="157">
        <v>0</v>
      </c>
      <c r="I245" s="157">
        <v>0</v>
      </c>
      <c r="J245" s="157">
        <v>0</v>
      </c>
      <c r="K245" s="157">
        <v>24868.54</v>
      </c>
      <c r="L245" s="157">
        <v>0</v>
      </c>
      <c r="M245" s="157">
        <v>105994.92</v>
      </c>
      <c r="N245" s="264">
        <v>3.3500000000000002E-2</v>
      </c>
      <c r="O245" s="265">
        <v>0.47960000000000003</v>
      </c>
      <c r="P245" s="157">
        <v>0</v>
      </c>
      <c r="Q245" s="396">
        <v>0</v>
      </c>
      <c r="R245" s="396">
        <v>0</v>
      </c>
      <c r="S245" s="397">
        <v>0</v>
      </c>
      <c r="T245" s="397">
        <v>0</v>
      </c>
      <c r="U245" s="397">
        <v>0</v>
      </c>
      <c r="V245" s="157">
        <v>0</v>
      </c>
      <c r="W245" s="397">
        <v>0</v>
      </c>
      <c r="X245" s="397">
        <v>0</v>
      </c>
      <c r="Y245" s="157">
        <v>28.19</v>
      </c>
      <c r="Z245" s="157">
        <v>0</v>
      </c>
      <c r="AA245" s="157">
        <v>0</v>
      </c>
      <c r="AB245" s="157">
        <v>0</v>
      </c>
      <c r="AC245" s="157">
        <v>0</v>
      </c>
      <c r="AD245" s="157">
        <v>0</v>
      </c>
      <c r="AE245" s="157">
        <v>0</v>
      </c>
      <c r="AF245" s="398">
        <f t="shared" si="60"/>
        <v>0</v>
      </c>
      <c r="AG245" s="398">
        <f t="shared" si="61"/>
        <v>0</v>
      </c>
      <c r="AH245" s="399">
        <f t="shared" si="62"/>
        <v>0</v>
      </c>
      <c r="AI245" s="157">
        <v>0</v>
      </c>
      <c r="AJ245" s="157">
        <v>0</v>
      </c>
      <c r="AK245" s="398">
        <f t="shared" si="63"/>
        <v>0</v>
      </c>
      <c r="AL245" s="398">
        <f t="shared" si="64"/>
        <v>0</v>
      </c>
      <c r="AM245" s="399">
        <f t="shared" si="65"/>
        <v>0</v>
      </c>
      <c r="AN245" s="397">
        <v>0</v>
      </c>
      <c r="AO245" s="397">
        <v>0</v>
      </c>
      <c r="AP245" s="46"/>
      <c r="AQ245" s="402">
        <v>4942.7999999999993</v>
      </c>
      <c r="AR245" s="274">
        <v>4456.18</v>
      </c>
      <c r="AS245" s="413"/>
      <c r="AX245" s="2"/>
      <c r="BA245" s="342"/>
      <c r="BB245" s="342"/>
      <c r="BC245" s="342"/>
      <c r="BD245" s="386"/>
      <c r="BE245" s="386"/>
      <c r="BF245" s="386"/>
      <c r="BG245" s="386"/>
      <c r="BH245" s="386"/>
      <c r="BI245" s="386"/>
      <c r="BJ245" s="386"/>
      <c r="BK245" s="386"/>
      <c r="BL245" s="386"/>
      <c r="BM245" s="386"/>
      <c r="BN245" s="387"/>
      <c r="BO245" s="265"/>
      <c r="BP245" s="386"/>
      <c r="BQ245" s="388"/>
      <c r="BR245" s="388"/>
      <c r="BS245" s="389"/>
      <c r="BT245" s="389"/>
      <c r="BU245" s="389"/>
      <c r="BV245" s="386"/>
      <c r="BW245" s="389"/>
      <c r="BX245" s="389"/>
      <c r="BY245" s="386"/>
      <c r="BZ245" s="386"/>
      <c r="CA245" s="386"/>
      <c r="CB245" s="386"/>
      <c r="CC245" s="386"/>
      <c r="CD245" s="386"/>
      <c r="CE245" s="386"/>
      <c r="CF245" s="390"/>
      <c r="CG245" s="390"/>
      <c r="CH245" s="391"/>
      <c r="CI245" s="386"/>
      <c r="CJ245" s="386"/>
      <c r="CK245" s="390"/>
      <c r="CL245" s="390"/>
      <c r="CM245" s="391"/>
      <c r="CN245" s="389"/>
      <c r="CO245" s="389"/>
      <c r="CP245" s="135"/>
      <c r="CQ245" s="135"/>
      <c r="CR245" s="135"/>
      <c r="CS245" s="135"/>
      <c r="CT245" s="135"/>
      <c r="CU245" s="135"/>
    </row>
    <row r="246" spans="1:99">
      <c r="A246" s="342" t="s">
        <v>514</v>
      </c>
      <c r="B246" s="342" t="s">
        <v>513</v>
      </c>
      <c r="C246" s="342" t="s">
        <v>1075</v>
      </c>
      <c r="D246" s="157">
        <v>0</v>
      </c>
      <c r="E246" s="157">
        <v>0</v>
      </c>
      <c r="F246" s="157">
        <v>3068.19</v>
      </c>
      <c r="G246" s="157">
        <v>203452.25</v>
      </c>
      <c r="H246" s="157">
        <v>37132.339999999997</v>
      </c>
      <c r="I246" s="157">
        <v>47859.16</v>
      </c>
      <c r="J246" s="157">
        <v>66488.899999999994</v>
      </c>
      <c r="K246" s="157">
        <v>0</v>
      </c>
      <c r="L246" s="157">
        <v>4603.91</v>
      </c>
      <c r="M246" s="157">
        <v>223887.77</v>
      </c>
      <c r="N246" s="264">
        <v>4.36E-2</v>
      </c>
      <c r="O246" s="265">
        <v>0.23749999999999999</v>
      </c>
      <c r="P246" s="157">
        <v>0</v>
      </c>
      <c r="Q246" s="396">
        <v>0</v>
      </c>
      <c r="R246" s="396">
        <v>0</v>
      </c>
      <c r="S246" s="397">
        <v>0</v>
      </c>
      <c r="T246" s="397">
        <v>0</v>
      </c>
      <c r="U246" s="397">
        <v>0</v>
      </c>
      <c r="V246" s="157">
        <v>0</v>
      </c>
      <c r="W246" s="397">
        <v>0</v>
      </c>
      <c r="X246" s="397">
        <v>0</v>
      </c>
      <c r="Y246" s="157">
        <v>0</v>
      </c>
      <c r="Z246" s="157">
        <v>0</v>
      </c>
      <c r="AA246" s="157">
        <v>0</v>
      </c>
      <c r="AB246" s="157">
        <v>18402.95</v>
      </c>
      <c r="AC246" s="157">
        <v>50740.959999999999</v>
      </c>
      <c r="AD246" s="157">
        <v>5.52</v>
      </c>
      <c r="AE246" s="157">
        <v>48262.66</v>
      </c>
      <c r="AF246" s="398">
        <f t="shared" si="60"/>
        <v>8743.2355072463779</v>
      </c>
      <c r="AG246" s="398">
        <f t="shared" si="61"/>
        <v>9192.2028985507259</v>
      </c>
      <c r="AH246" s="399">
        <f t="shared" si="62"/>
        <v>448.97</v>
      </c>
      <c r="AI246" s="157">
        <v>2.02</v>
      </c>
      <c r="AJ246" s="157">
        <v>17173.78</v>
      </c>
      <c r="AK246" s="398">
        <f t="shared" si="63"/>
        <v>8501.8712871287116</v>
      </c>
      <c r="AL246" s="398">
        <f t="shared" si="64"/>
        <v>9110.3712871287134</v>
      </c>
      <c r="AM246" s="399">
        <f t="shared" si="65"/>
        <v>608.5</v>
      </c>
      <c r="AN246" s="397">
        <v>0</v>
      </c>
      <c r="AO246" s="397">
        <v>0</v>
      </c>
      <c r="AP246" s="46"/>
      <c r="AQ246" s="402">
        <v>4267.5599999999977</v>
      </c>
      <c r="AR246" s="274">
        <v>27100.699999999997</v>
      </c>
      <c r="AS246" s="413">
        <v>15231.95</v>
      </c>
      <c r="AX246" s="2"/>
      <c r="BA246" s="342"/>
      <c r="BB246" s="342"/>
      <c r="BC246" s="342"/>
      <c r="BD246" s="386"/>
      <c r="BE246" s="386"/>
      <c r="BF246" s="386"/>
      <c r="BG246" s="386"/>
      <c r="BH246" s="386"/>
      <c r="BI246" s="386"/>
      <c r="BJ246" s="386"/>
      <c r="BK246" s="386"/>
      <c r="BL246" s="386"/>
      <c r="BM246" s="386"/>
      <c r="BN246" s="387"/>
      <c r="BO246" s="265"/>
      <c r="BP246" s="386"/>
      <c r="BQ246" s="388"/>
      <c r="BR246" s="388"/>
      <c r="BS246" s="389"/>
      <c r="BT246" s="389"/>
      <c r="BU246" s="389"/>
      <c r="BV246" s="386"/>
      <c r="BW246" s="389"/>
      <c r="BX246" s="389"/>
      <c r="BY246" s="386"/>
      <c r="BZ246" s="386"/>
      <c r="CA246" s="386"/>
      <c r="CB246" s="386"/>
      <c r="CC246" s="386"/>
      <c r="CD246" s="386"/>
      <c r="CE246" s="386"/>
      <c r="CF246" s="390"/>
      <c r="CG246" s="390"/>
      <c r="CH246" s="391"/>
      <c r="CI246" s="386"/>
      <c r="CJ246" s="386"/>
      <c r="CK246" s="390"/>
      <c r="CL246" s="390"/>
      <c r="CM246" s="391"/>
      <c r="CN246" s="389"/>
      <c r="CO246" s="389"/>
      <c r="CP246" s="135"/>
      <c r="CQ246" s="135"/>
      <c r="CR246" s="135"/>
      <c r="CS246" s="135"/>
      <c r="CT246" s="135"/>
      <c r="CU246" s="135"/>
    </row>
    <row r="247" spans="1:99">
      <c r="A247" s="342" t="s">
        <v>516</v>
      </c>
      <c r="B247" s="342" t="s">
        <v>515</v>
      </c>
      <c r="C247" s="342" t="s">
        <v>1076</v>
      </c>
      <c r="D247" s="157">
        <v>216546.71</v>
      </c>
      <c r="E247" s="157">
        <v>57933.51</v>
      </c>
      <c r="F247" s="157">
        <v>44461.46</v>
      </c>
      <c r="G247" s="157">
        <v>2158873.85</v>
      </c>
      <c r="H247" s="157">
        <v>394112.13</v>
      </c>
      <c r="I247" s="157">
        <v>531004.44999999995</v>
      </c>
      <c r="J247" s="157">
        <v>891007.46</v>
      </c>
      <c r="K247" s="157">
        <v>1288495.57</v>
      </c>
      <c r="L247" s="157">
        <v>51621.11</v>
      </c>
      <c r="M247" s="157">
        <v>1419592.54</v>
      </c>
      <c r="N247" s="264">
        <v>3.0599999999999999E-2</v>
      </c>
      <c r="O247" s="265">
        <v>0.1623</v>
      </c>
      <c r="P247" s="157">
        <v>0</v>
      </c>
      <c r="Q247" s="396">
        <v>0</v>
      </c>
      <c r="R247" s="396">
        <v>0</v>
      </c>
      <c r="S247" s="397">
        <v>0</v>
      </c>
      <c r="T247" s="397">
        <v>0</v>
      </c>
      <c r="U247" s="397">
        <v>0</v>
      </c>
      <c r="V247" s="157">
        <v>0</v>
      </c>
      <c r="W247" s="397">
        <v>0</v>
      </c>
      <c r="X247" s="397">
        <v>0</v>
      </c>
      <c r="Y247" s="157">
        <v>1999.52</v>
      </c>
      <c r="Z247" s="157">
        <v>22782.38</v>
      </c>
      <c r="AA247" s="157">
        <v>58418.25</v>
      </c>
      <c r="AB247" s="157">
        <v>139493.75</v>
      </c>
      <c r="AC247" s="157">
        <v>901483.96</v>
      </c>
      <c r="AD247" s="157">
        <v>98</v>
      </c>
      <c r="AE247" s="157">
        <v>841956.02</v>
      </c>
      <c r="AF247" s="398">
        <f t="shared" si="60"/>
        <v>8591.387959183674</v>
      </c>
      <c r="AG247" s="398">
        <f t="shared" si="61"/>
        <v>9198.815918367347</v>
      </c>
      <c r="AH247" s="399">
        <f t="shared" si="62"/>
        <v>607.42999999999995</v>
      </c>
      <c r="AI247" s="157">
        <v>15.54</v>
      </c>
      <c r="AJ247" s="157">
        <v>129676.48</v>
      </c>
      <c r="AK247" s="398">
        <f t="shared" si="63"/>
        <v>8344.6898326898336</v>
      </c>
      <c r="AL247" s="398">
        <f t="shared" si="64"/>
        <v>8976.4317889317899</v>
      </c>
      <c r="AM247" s="399">
        <f t="shared" si="65"/>
        <v>631.74</v>
      </c>
      <c r="AN247" s="397">
        <v>10027.16</v>
      </c>
      <c r="AO247" s="397">
        <v>0</v>
      </c>
      <c r="AP247" s="46"/>
      <c r="AQ247" s="402">
        <v>0</v>
      </c>
      <c r="AR247" s="274">
        <v>199938.52000000002</v>
      </c>
      <c r="AS247" s="413">
        <v>61844.91</v>
      </c>
      <c r="AX247" s="2"/>
      <c r="BA247" s="342"/>
      <c r="BB247" s="342"/>
      <c r="BC247" s="342"/>
      <c r="BD247" s="386"/>
      <c r="BE247" s="386"/>
      <c r="BF247" s="386"/>
      <c r="BG247" s="386"/>
      <c r="BH247" s="386"/>
      <c r="BI247" s="386"/>
      <c r="BJ247" s="386"/>
      <c r="BK247" s="386"/>
      <c r="BL247" s="386"/>
      <c r="BM247" s="386"/>
      <c r="BN247" s="387"/>
      <c r="BO247" s="265"/>
      <c r="BP247" s="386"/>
      <c r="BQ247" s="388"/>
      <c r="BR247" s="388"/>
      <c r="BS247" s="389"/>
      <c r="BT247" s="389"/>
      <c r="BU247" s="389"/>
      <c r="BV247" s="386"/>
      <c r="BW247" s="389"/>
      <c r="BX247" s="389"/>
      <c r="BY247" s="386"/>
      <c r="BZ247" s="386"/>
      <c r="CA247" s="386"/>
      <c r="CB247" s="386"/>
      <c r="CC247" s="386"/>
      <c r="CD247" s="386"/>
      <c r="CE247" s="386"/>
      <c r="CF247" s="390"/>
      <c r="CG247" s="390"/>
      <c r="CH247" s="391"/>
      <c r="CI247" s="386"/>
      <c r="CJ247" s="386"/>
      <c r="CK247" s="390"/>
      <c r="CL247" s="390"/>
      <c r="CM247" s="391"/>
      <c r="CN247" s="389"/>
      <c r="CO247" s="389"/>
      <c r="CP247" s="135"/>
      <c r="CQ247" s="135"/>
      <c r="CR247" s="135"/>
      <c r="CS247" s="135"/>
      <c r="CT247" s="135"/>
      <c r="CU247" s="135"/>
    </row>
    <row r="248" spans="1:99">
      <c r="A248" s="342" t="s">
        <v>518</v>
      </c>
      <c r="B248" s="342" t="s">
        <v>517</v>
      </c>
      <c r="C248" s="342" t="s">
        <v>1077</v>
      </c>
      <c r="D248" s="157">
        <v>0</v>
      </c>
      <c r="E248" s="157">
        <v>639.02</v>
      </c>
      <c r="F248" s="157">
        <v>0</v>
      </c>
      <c r="G248" s="157">
        <v>1274436.68</v>
      </c>
      <c r="H248" s="157">
        <v>170166.31</v>
      </c>
      <c r="I248" s="157">
        <v>0</v>
      </c>
      <c r="J248" s="157">
        <v>201381</v>
      </c>
      <c r="K248" s="157">
        <v>105810.4</v>
      </c>
      <c r="L248" s="157">
        <v>25615.759999999998</v>
      </c>
      <c r="M248" s="157">
        <v>364617.26</v>
      </c>
      <c r="N248" s="264">
        <v>3.9899999999999998E-2</v>
      </c>
      <c r="O248" s="265">
        <v>0.19950000000000001</v>
      </c>
      <c r="P248" s="157">
        <v>0</v>
      </c>
      <c r="Q248" s="396">
        <v>0</v>
      </c>
      <c r="R248" s="396">
        <v>0</v>
      </c>
      <c r="S248" s="397">
        <v>0</v>
      </c>
      <c r="T248" s="397">
        <v>0</v>
      </c>
      <c r="U248" s="397">
        <v>0</v>
      </c>
      <c r="V248" s="157">
        <v>0</v>
      </c>
      <c r="W248" s="397">
        <v>0</v>
      </c>
      <c r="X248" s="397">
        <v>0</v>
      </c>
      <c r="Y248" s="157">
        <v>0</v>
      </c>
      <c r="Z248" s="157">
        <v>0</v>
      </c>
      <c r="AA248" s="157">
        <v>0</v>
      </c>
      <c r="AB248" s="157">
        <v>0</v>
      </c>
      <c r="AC248" s="157">
        <v>261385.87</v>
      </c>
      <c r="AD248" s="157">
        <v>26.6</v>
      </c>
      <c r="AE248" s="157">
        <v>247454.58</v>
      </c>
      <c r="AF248" s="398">
        <f t="shared" si="60"/>
        <v>9302.8037593984955</v>
      </c>
      <c r="AG248" s="398">
        <f t="shared" si="61"/>
        <v>9826.536466165413</v>
      </c>
      <c r="AH248" s="399">
        <f t="shared" si="62"/>
        <v>523.73</v>
      </c>
      <c r="AI248" s="157">
        <v>0</v>
      </c>
      <c r="AJ248" s="157">
        <v>0</v>
      </c>
      <c r="AK248" s="398">
        <f t="shared" si="63"/>
        <v>0</v>
      </c>
      <c r="AL248" s="398">
        <f t="shared" si="64"/>
        <v>0</v>
      </c>
      <c r="AM248" s="399">
        <f t="shared" si="65"/>
        <v>0</v>
      </c>
      <c r="AN248" s="397">
        <v>595.85</v>
      </c>
      <c r="AO248" s="397">
        <v>0</v>
      </c>
      <c r="AP248" s="46"/>
      <c r="AQ248" s="402">
        <v>86354.900000000009</v>
      </c>
      <c r="AR248" s="274">
        <v>82690.38</v>
      </c>
      <c r="AS248" s="413">
        <v>34065.11</v>
      </c>
      <c r="AX248" s="2"/>
      <c r="BA248" s="342"/>
      <c r="BB248" s="342"/>
      <c r="BC248" s="342"/>
      <c r="BD248" s="386"/>
      <c r="BE248" s="386"/>
      <c r="BF248" s="386"/>
      <c r="BG248" s="386"/>
      <c r="BH248" s="386"/>
      <c r="BI248" s="386"/>
      <c r="BJ248" s="386"/>
      <c r="BK248" s="386"/>
      <c r="BL248" s="386"/>
      <c r="BM248" s="386"/>
      <c r="BN248" s="387"/>
      <c r="BO248" s="265"/>
      <c r="BP248" s="386"/>
      <c r="BQ248" s="388"/>
      <c r="BR248" s="388"/>
      <c r="BS248" s="389"/>
      <c r="BT248" s="389"/>
      <c r="BU248" s="389"/>
      <c r="BV248" s="386"/>
      <c r="BW248" s="389"/>
      <c r="BX248" s="389"/>
      <c r="BY248" s="386"/>
      <c r="BZ248" s="386"/>
      <c r="CA248" s="386"/>
      <c r="CB248" s="386"/>
      <c r="CC248" s="386"/>
      <c r="CD248" s="386"/>
      <c r="CE248" s="386"/>
      <c r="CF248" s="390"/>
      <c r="CG248" s="390"/>
      <c r="CH248" s="391"/>
      <c r="CI248" s="386"/>
      <c r="CJ248" s="386"/>
      <c r="CK248" s="390"/>
      <c r="CL248" s="390"/>
      <c r="CM248" s="391"/>
      <c r="CN248" s="389"/>
      <c r="CO248" s="389"/>
      <c r="CP248" s="135"/>
      <c r="CQ248" s="135"/>
      <c r="CR248" s="135"/>
      <c r="CS248" s="135"/>
      <c r="CT248" s="135"/>
      <c r="CU248" s="135"/>
    </row>
    <row r="249" spans="1:99">
      <c r="A249" s="342" t="s">
        <v>520</v>
      </c>
      <c r="B249" s="342" t="s">
        <v>519</v>
      </c>
      <c r="C249" s="342" t="s">
        <v>1078</v>
      </c>
      <c r="D249" s="157">
        <v>0</v>
      </c>
      <c r="E249" s="157">
        <v>0</v>
      </c>
      <c r="F249" s="157">
        <v>0</v>
      </c>
      <c r="G249" s="157">
        <v>88633.97</v>
      </c>
      <c r="H249" s="157">
        <v>5032.33</v>
      </c>
      <c r="I249" s="157">
        <v>16344.96</v>
      </c>
      <c r="J249" s="157">
        <v>22448.47</v>
      </c>
      <c r="K249" s="157">
        <v>0</v>
      </c>
      <c r="L249" s="157">
        <v>0</v>
      </c>
      <c r="M249" s="157">
        <v>0</v>
      </c>
      <c r="N249" s="264">
        <v>0.1457</v>
      </c>
      <c r="O249" s="265">
        <v>0.35920000000000002</v>
      </c>
      <c r="P249" s="157">
        <v>0</v>
      </c>
      <c r="Q249" s="396">
        <v>0</v>
      </c>
      <c r="R249" s="396">
        <v>0</v>
      </c>
      <c r="S249" s="397">
        <v>0</v>
      </c>
      <c r="T249" s="397">
        <v>0</v>
      </c>
      <c r="U249" s="397">
        <v>0</v>
      </c>
      <c r="V249" s="157">
        <v>0</v>
      </c>
      <c r="W249" s="397">
        <v>0</v>
      </c>
      <c r="X249" s="397">
        <v>0</v>
      </c>
      <c r="Y249" s="157">
        <v>59.77</v>
      </c>
      <c r="Z249" s="157">
        <v>0</v>
      </c>
      <c r="AA249" s="157">
        <v>0</v>
      </c>
      <c r="AB249" s="157">
        <v>0</v>
      </c>
      <c r="AC249" s="157">
        <v>0</v>
      </c>
      <c r="AD249" s="157">
        <v>0</v>
      </c>
      <c r="AE249" s="157">
        <v>0</v>
      </c>
      <c r="AF249" s="398">
        <f t="shared" si="60"/>
        <v>0</v>
      </c>
      <c r="AG249" s="398">
        <f t="shared" si="61"/>
        <v>0</v>
      </c>
      <c r="AH249" s="399">
        <f t="shared" si="62"/>
        <v>0</v>
      </c>
      <c r="AI249" s="157">
        <v>0</v>
      </c>
      <c r="AJ249" s="157">
        <v>0</v>
      </c>
      <c r="AK249" s="398">
        <f t="shared" si="63"/>
        <v>0</v>
      </c>
      <c r="AL249" s="398">
        <f t="shared" si="64"/>
        <v>0</v>
      </c>
      <c r="AM249" s="399">
        <f t="shared" si="65"/>
        <v>0</v>
      </c>
      <c r="AN249" s="397">
        <v>283.88</v>
      </c>
      <c r="AO249" s="397">
        <v>0</v>
      </c>
      <c r="AP249" s="46"/>
      <c r="AQ249" s="402">
        <v>10110.429999999998</v>
      </c>
      <c r="AR249" s="274">
        <v>6810.9</v>
      </c>
      <c r="AS249" s="413">
        <v>11617.54</v>
      </c>
      <c r="AX249" s="2"/>
      <c r="BA249" s="342"/>
      <c r="BB249" s="342"/>
      <c r="BC249" s="342"/>
      <c r="BD249" s="386"/>
      <c r="BE249" s="386"/>
      <c r="BF249" s="386"/>
      <c r="BG249" s="386"/>
      <c r="BH249" s="386"/>
      <c r="BI249" s="386"/>
      <c r="BJ249" s="386"/>
      <c r="BK249" s="386"/>
      <c r="BL249" s="386"/>
      <c r="BM249" s="386"/>
      <c r="BN249" s="387"/>
      <c r="BO249" s="265"/>
      <c r="BP249" s="386"/>
      <c r="BQ249" s="388"/>
      <c r="BR249" s="388"/>
      <c r="BS249" s="389"/>
      <c r="BT249" s="389"/>
      <c r="BU249" s="389"/>
      <c r="BV249" s="386"/>
      <c r="BW249" s="389"/>
      <c r="BX249" s="389"/>
      <c r="BY249" s="386"/>
      <c r="BZ249" s="386"/>
      <c r="CA249" s="386"/>
      <c r="CB249" s="386"/>
      <c r="CC249" s="386"/>
      <c r="CD249" s="386"/>
      <c r="CE249" s="386"/>
      <c r="CF249" s="390"/>
      <c r="CG249" s="390"/>
      <c r="CH249" s="391"/>
      <c r="CI249" s="386"/>
      <c r="CJ249" s="386"/>
      <c r="CK249" s="390"/>
      <c r="CL249" s="390"/>
      <c r="CM249" s="391"/>
      <c r="CN249" s="389"/>
      <c r="CO249" s="389"/>
      <c r="CP249" s="135"/>
      <c r="CQ249" s="135"/>
      <c r="CR249" s="135"/>
      <c r="CS249" s="135"/>
      <c r="CT249" s="135"/>
      <c r="CU249" s="135"/>
    </row>
    <row r="250" spans="1:99">
      <c r="A250" s="342" t="s">
        <v>522</v>
      </c>
      <c r="B250" s="342" t="s">
        <v>521</v>
      </c>
      <c r="C250" s="342" t="s">
        <v>1079</v>
      </c>
      <c r="D250" s="157">
        <v>0</v>
      </c>
      <c r="E250" s="157">
        <v>684863.78</v>
      </c>
      <c r="F250" s="157">
        <v>459661.57</v>
      </c>
      <c r="G250" s="157">
        <v>91839908.150000006</v>
      </c>
      <c r="H250" s="157">
        <v>15840570.73</v>
      </c>
      <c r="I250" s="157">
        <v>4674487.67</v>
      </c>
      <c r="J250" s="157">
        <v>15658024.1</v>
      </c>
      <c r="K250" s="157">
        <v>12482211.49</v>
      </c>
      <c r="L250" s="157">
        <v>1735919.93</v>
      </c>
      <c r="M250" s="157">
        <v>31358098.030000001</v>
      </c>
      <c r="N250" s="264">
        <v>4.6600000000000003E-2</v>
      </c>
      <c r="O250" s="265">
        <v>0.12620000000000001</v>
      </c>
      <c r="P250" s="157">
        <v>0</v>
      </c>
      <c r="Q250" s="396">
        <v>0</v>
      </c>
      <c r="R250" s="396">
        <v>0</v>
      </c>
      <c r="S250" s="397">
        <v>871696.65</v>
      </c>
      <c r="T250" s="397">
        <v>74289.713000000003</v>
      </c>
      <c r="U250" s="397">
        <v>28487.07</v>
      </c>
      <c r="V250" s="157">
        <v>0</v>
      </c>
      <c r="W250" s="397">
        <v>0</v>
      </c>
      <c r="X250" s="397">
        <v>0</v>
      </c>
      <c r="Y250" s="157">
        <v>0</v>
      </c>
      <c r="Z250" s="157">
        <v>185092.29</v>
      </c>
      <c r="AA250" s="157">
        <v>1256156.73</v>
      </c>
      <c r="AB250" s="157">
        <v>1933806.85</v>
      </c>
      <c r="AC250" s="157">
        <v>18355943.370000001</v>
      </c>
      <c r="AD250" s="157">
        <v>1783.67</v>
      </c>
      <c r="AE250" s="157">
        <v>17241353.23</v>
      </c>
      <c r="AF250" s="398">
        <f t="shared" si="60"/>
        <v>9666.2237016936997</v>
      </c>
      <c r="AG250" s="398">
        <f t="shared" si="61"/>
        <v>10291.109549412167</v>
      </c>
      <c r="AH250" s="399">
        <f t="shared" si="62"/>
        <v>624.89</v>
      </c>
      <c r="AI250" s="157">
        <v>191.07</v>
      </c>
      <c r="AJ250" s="157">
        <v>1796414.78</v>
      </c>
      <c r="AK250" s="398">
        <f t="shared" si="63"/>
        <v>9401.8672737740108</v>
      </c>
      <c r="AL250" s="398">
        <f t="shared" si="64"/>
        <v>10120.933950908046</v>
      </c>
      <c r="AM250" s="399">
        <f t="shared" si="65"/>
        <v>719.07</v>
      </c>
      <c r="AN250" s="397">
        <v>0</v>
      </c>
      <c r="AO250" s="397">
        <v>0</v>
      </c>
      <c r="AP250" s="46"/>
      <c r="AQ250" s="402">
        <v>0</v>
      </c>
      <c r="AR250" s="274">
        <v>6022197.8699999992</v>
      </c>
      <c r="AS250" s="413">
        <v>1586828.9900000002</v>
      </c>
      <c r="AX250" s="2"/>
      <c r="BA250" s="342"/>
      <c r="BB250" s="342"/>
      <c r="BC250" s="342"/>
      <c r="BD250" s="386"/>
      <c r="BE250" s="386"/>
      <c r="BF250" s="386"/>
      <c r="BG250" s="386"/>
      <c r="BH250" s="386"/>
      <c r="BI250" s="386"/>
      <c r="BJ250" s="386"/>
      <c r="BK250" s="386"/>
      <c r="BL250" s="386"/>
      <c r="BM250" s="386"/>
      <c r="BN250" s="387"/>
      <c r="BO250" s="265"/>
      <c r="BP250" s="386"/>
      <c r="BQ250" s="388"/>
      <c r="BR250" s="388"/>
      <c r="BS250" s="389"/>
      <c r="BT250" s="389"/>
      <c r="BU250" s="389"/>
      <c r="BV250" s="386"/>
      <c r="BW250" s="389"/>
      <c r="BX250" s="389"/>
      <c r="BY250" s="386"/>
      <c r="BZ250" s="386"/>
      <c r="CA250" s="386"/>
      <c r="CB250" s="386"/>
      <c r="CC250" s="386"/>
      <c r="CD250" s="386"/>
      <c r="CE250" s="386"/>
      <c r="CF250" s="390"/>
      <c r="CG250" s="390"/>
      <c r="CH250" s="391"/>
      <c r="CI250" s="386"/>
      <c r="CJ250" s="386"/>
      <c r="CK250" s="390"/>
      <c r="CL250" s="390"/>
      <c r="CM250" s="391"/>
      <c r="CN250" s="389"/>
      <c r="CO250" s="389"/>
      <c r="CP250" s="135"/>
      <c r="CQ250" s="135"/>
      <c r="CR250" s="135"/>
      <c r="CS250" s="135"/>
      <c r="CT250" s="135"/>
      <c r="CU250" s="135"/>
    </row>
    <row r="251" spans="1:99">
      <c r="A251" s="342" t="s">
        <v>524</v>
      </c>
      <c r="B251" s="342" t="s">
        <v>523</v>
      </c>
      <c r="C251" s="342" t="s">
        <v>1080</v>
      </c>
      <c r="D251" s="157">
        <v>0</v>
      </c>
      <c r="E251" s="157">
        <v>146286.85999999999</v>
      </c>
      <c r="F251" s="157">
        <v>68175.97</v>
      </c>
      <c r="G251" s="157">
        <v>7743715.9000000004</v>
      </c>
      <c r="H251" s="157">
        <v>1515865.22</v>
      </c>
      <c r="I251" s="157">
        <v>718842.14</v>
      </c>
      <c r="J251" s="157">
        <v>1620768.32</v>
      </c>
      <c r="K251" s="157">
        <v>684457.56</v>
      </c>
      <c r="L251" s="157">
        <v>143859.91</v>
      </c>
      <c r="M251" s="157">
        <v>3437257.4</v>
      </c>
      <c r="N251" s="264">
        <v>4.0099999999999997E-2</v>
      </c>
      <c r="O251" s="265">
        <v>0.1308</v>
      </c>
      <c r="P251" s="157">
        <v>0</v>
      </c>
      <c r="Q251" s="396">
        <v>0</v>
      </c>
      <c r="R251" s="396">
        <v>0</v>
      </c>
      <c r="S251" s="397">
        <v>0</v>
      </c>
      <c r="T251" s="397">
        <v>0</v>
      </c>
      <c r="U251" s="397">
        <v>0</v>
      </c>
      <c r="V251" s="157">
        <v>0</v>
      </c>
      <c r="W251" s="397">
        <v>0</v>
      </c>
      <c r="X251" s="397">
        <v>0</v>
      </c>
      <c r="Y251" s="157">
        <v>1026.26</v>
      </c>
      <c r="Z251" s="157">
        <v>0</v>
      </c>
      <c r="AA251" s="157">
        <v>263978.86</v>
      </c>
      <c r="AB251" s="157">
        <v>208077.95</v>
      </c>
      <c r="AC251" s="157">
        <v>2844601.77</v>
      </c>
      <c r="AD251" s="157">
        <v>286.42</v>
      </c>
      <c r="AE251" s="157">
        <v>2665877.4300000002</v>
      </c>
      <c r="AF251" s="398">
        <f t="shared" si="60"/>
        <v>9307.5812792402758</v>
      </c>
      <c r="AG251" s="398">
        <f t="shared" si="61"/>
        <v>9931.5752042455133</v>
      </c>
      <c r="AH251" s="399">
        <f t="shared" si="62"/>
        <v>623.99</v>
      </c>
      <c r="AI251" s="157">
        <v>21.35</v>
      </c>
      <c r="AJ251" s="157">
        <v>193246.91</v>
      </c>
      <c r="AK251" s="398">
        <f t="shared" si="63"/>
        <v>9051.3775175644023</v>
      </c>
      <c r="AL251" s="398">
        <f t="shared" si="64"/>
        <v>9746.0398126463697</v>
      </c>
      <c r="AM251" s="399">
        <f t="shared" si="65"/>
        <v>694.66</v>
      </c>
      <c r="AN251" s="397">
        <v>0</v>
      </c>
      <c r="AO251" s="397">
        <v>0</v>
      </c>
      <c r="AP251" s="46"/>
      <c r="AQ251" s="402">
        <v>0</v>
      </c>
      <c r="AR251" s="274">
        <v>510111.6</v>
      </c>
      <c r="AS251" s="413">
        <v>142933.47</v>
      </c>
      <c r="AX251" s="2"/>
      <c r="BA251" s="342"/>
      <c r="BB251" s="342"/>
      <c r="BC251" s="342"/>
      <c r="BD251" s="386"/>
      <c r="BE251" s="386"/>
      <c r="BF251" s="386"/>
      <c r="BG251" s="386"/>
      <c r="BH251" s="386"/>
      <c r="BI251" s="386"/>
      <c r="BJ251" s="386"/>
      <c r="BK251" s="386"/>
      <c r="BL251" s="386"/>
      <c r="BM251" s="386"/>
      <c r="BN251" s="387"/>
      <c r="BO251" s="265"/>
      <c r="BP251" s="386"/>
      <c r="BQ251" s="388"/>
      <c r="BR251" s="388"/>
      <c r="BS251" s="389"/>
      <c r="BT251" s="389"/>
      <c r="BU251" s="389"/>
      <c r="BV251" s="386"/>
      <c r="BW251" s="389"/>
      <c r="BX251" s="389"/>
      <c r="BY251" s="386"/>
      <c r="BZ251" s="386"/>
      <c r="CA251" s="386"/>
      <c r="CB251" s="386"/>
      <c r="CC251" s="386"/>
      <c r="CD251" s="386"/>
      <c r="CE251" s="386"/>
      <c r="CF251" s="390"/>
      <c r="CG251" s="390"/>
      <c r="CH251" s="391"/>
      <c r="CI251" s="386"/>
      <c r="CJ251" s="386"/>
      <c r="CK251" s="390"/>
      <c r="CL251" s="390"/>
      <c r="CM251" s="391"/>
      <c r="CN251" s="389"/>
      <c r="CO251" s="389"/>
      <c r="CP251" s="135"/>
      <c r="CQ251" s="135"/>
      <c r="CR251" s="135"/>
      <c r="CS251" s="135"/>
      <c r="CT251" s="135"/>
      <c r="CU251" s="135"/>
    </row>
    <row r="252" spans="1:99">
      <c r="A252" s="342" t="s">
        <v>526</v>
      </c>
      <c r="B252" s="342" t="s">
        <v>525</v>
      </c>
      <c r="C252" s="342" t="s">
        <v>1081</v>
      </c>
      <c r="D252" s="157">
        <v>0</v>
      </c>
      <c r="E252" s="157">
        <v>76950.899999999994</v>
      </c>
      <c r="F252" s="157">
        <v>0</v>
      </c>
      <c r="G252" s="157">
        <v>4651566.66</v>
      </c>
      <c r="H252" s="157">
        <v>627325.57999999996</v>
      </c>
      <c r="I252" s="157">
        <v>755592.53</v>
      </c>
      <c r="J252" s="157">
        <v>1332631.8700000001</v>
      </c>
      <c r="K252" s="157">
        <v>617247.64</v>
      </c>
      <c r="L252" s="157">
        <v>109863</v>
      </c>
      <c r="M252" s="157">
        <v>1827055.97</v>
      </c>
      <c r="N252" s="264">
        <v>4.2799999999999998E-2</v>
      </c>
      <c r="O252" s="265">
        <v>0.15179999999999999</v>
      </c>
      <c r="P252" s="157">
        <v>0</v>
      </c>
      <c r="Q252" s="396">
        <v>0</v>
      </c>
      <c r="R252" s="396">
        <v>0</v>
      </c>
      <c r="S252" s="397">
        <v>0</v>
      </c>
      <c r="T252" s="397">
        <v>0</v>
      </c>
      <c r="U252" s="397">
        <v>0</v>
      </c>
      <c r="V252" s="157">
        <v>219256.62</v>
      </c>
      <c r="W252" s="397">
        <v>0</v>
      </c>
      <c r="X252" s="397">
        <v>8702.2999999999993</v>
      </c>
      <c r="Y252" s="157">
        <v>0</v>
      </c>
      <c r="Z252" s="157">
        <v>2489.4299999999998</v>
      </c>
      <c r="AA252" s="157">
        <v>349.93</v>
      </c>
      <c r="AB252" s="157">
        <v>1615667.23</v>
      </c>
      <c r="AC252" s="157">
        <v>3712804.95</v>
      </c>
      <c r="AD252" s="157">
        <v>409.74</v>
      </c>
      <c r="AE252" s="157">
        <v>3519661.34</v>
      </c>
      <c r="AF252" s="398">
        <f t="shared" si="60"/>
        <v>8589.9871625909109</v>
      </c>
      <c r="AG252" s="398">
        <f t="shared" si="61"/>
        <v>9061.3680626738915</v>
      </c>
      <c r="AH252" s="399">
        <f t="shared" si="62"/>
        <v>471.38</v>
      </c>
      <c r="AI252" s="157">
        <v>179.98</v>
      </c>
      <c r="AJ252" s="157">
        <v>1500321.32</v>
      </c>
      <c r="AK252" s="398">
        <f t="shared" si="63"/>
        <v>8336.0446716301813</v>
      </c>
      <c r="AL252" s="398">
        <f t="shared" si="64"/>
        <v>8976.9264918324261</v>
      </c>
      <c r="AM252" s="399">
        <f t="shared" si="65"/>
        <v>640.88</v>
      </c>
      <c r="AN252" s="397">
        <v>20000</v>
      </c>
      <c r="AO252" s="397">
        <v>0</v>
      </c>
      <c r="AP252" s="46"/>
      <c r="AQ252" s="402">
        <v>0</v>
      </c>
      <c r="AR252" s="274">
        <v>384242.38</v>
      </c>
      <c r="AS252" s="413">
        <v>129196.40000000001</v>
      </c>
      <c r="AX252" s="2"/>
      <c r="BA252" s="342"/>
      <c r="BB252" s="342"/>
      <c r="BC252" s="342"/>
      <c r="BD252" s="386"/>
      <c r="BE252" s="386"/>
      <c r="BF252" s="386"/>
      <c r="BG252" s="386"/>
      <c r="BH252" s="386"/>
      <c r="BI252" s="386"/>
      <c r="BJ252" s="386"/>
      <c r="BK252" s="386"/>
      <c r="BL252" s="386"/>
      <c r="BM252" s="386"/>
      <c r="BN252" s="387"/>
      <c r="BO252" s="265"/>
      <c r="BP252" s="386"/>
      <c r="BQ252" s="388"/>
      <c r="BR252" s="388"/>
      <c r="BS252" s="389"/>
      <c r="BT252" s="389"/>
      <c r="BU252" s="389"/>
      <c r="BV252" s="386"/>
      <c r="BW252" s="389"/>
      <c r="BX252" s="389"/>
      <c r="BY252" s="386"/>
      <c r="BZ252" s="386"/>
      <c r="CA252" s="386"/>
      <c r="CB252" s="386"/>
      <c r="CC252" s="386"/>
      <c r="CD252" s="386"/>
      <c r="CE252" s="386"/>
      <c r="CF252" s="390"/>
      <c r="CG252" s="390"/>
      <c r="CH252" s="391"/>
      <c r="CI252" s="386"/>
      <c r="CJ252" s="386"/>
      <c r="CK252" s="390"/>
      <c r="CL252" s="390"/>
      <c r="CM252" s="391"/>
      <c r="CN252" s="389"/>
      <c r="CO252" s="389"/>
      <c r="CP252" s="135"/>
      <c r="CQ252" s="135"/>
      <c r="CR252" s="135"/>
      <c r="CS252" s="135"/>
      <c r="CT252" s="135"/>
      <c r="CU252" s="135"/>
    </row>
    <row r="253" spans="1:99">
      <c r="A253" s="342" t="s">
        <v>528</v>
      </c>
      <c r="B253" s="342" t="s">
        <v>527</v>
      </c>
      <c r="C253" s="342" t="s">
        <v>1082</v>
      </c>
      <c r="D253" s="157">
        <v>0</v>
      </c>
      <c r="E253" s="157">
        <v>0</v>
      </c>
      <c r="F253" s="157">
        <v>0</v>
      </c>
      <c r="G253" s="157">
        <v>341073.13</v>
      </c>
      <c r="H253" s="157">
        <v>82840.22</v>
      </c>
      <c r="I253" s="157">
        <v>53069.4</v>
      </c>
      <c r="J253" s="157">
        <v>90931.8</v>
      </c>
      <c r="K253" s="157">
        <v>0</v>
      </c>
      <c r="L253" s="157">
        <v>0</v>
      </c>
      <c r="M253" s="157">
        <v>376899.84000000003</v>
      </c>
      <c r="N253" s="264">
        <v>4.0899999999999999E-2</v>
      </c>
      <c r="O253" s="265">
        <v>0.24199999999999999</v>
      </c>
      <c r="P253" s="157">
        <v>0</v>
      </c>
      <c r="Q253" s="396">
        <v>0</v>
      </c>
      <c r="R253" s="396">
        <v>0</v>
      </c>
      <c r="S253" s="397">
        <v>0</v>
      </c>
      <c r="T253" s="397">
        <v>0</v>
      </c>
      <c r="U253" s="397">
        <v>0</v>
      </c>
      <c r="V253" s="157">
        <v>0</v>
      </c>
      <c r="W253" s="397">
        <v>0</v>
      </c>
      <c r="X253" s="397">
        <v>0</v>
      </c>
      <c r="Y253" s="157">
        <v>297.73</v>
      </c>
      <c r="Z253" s="157">
        <v>0</v>
      </c>
      <c r="AA253" s="157">
        <v>0</v>
      </c>
      <c r="AB253" s="157">
        <v>57314.46</v>
      </c>
      <c r="AC253" s="157">
        <v>153123.12</v>
      </c>
      <c r="AD253" s="157">
        <v>17.03</v>
      </c>
      <c r="AE253" s="157">
        <v>146161.46</v>
      </c>
      <c r="AF253" s="398">
        <f t="shared" si="60"/>
        <v>8582.587199060481</v>
      </c>
      <c r="AG253" s="398">
        <f t="shared" si="61"/>
        <v>8991.3752201996467</v>
      </c>
      <c r="AH253" s="399">
        <f t="shared" si="62"/>
        <v>408.79</v>
      </c>
      <c r="AI253" s="157">
        <v>6.39</v>
      </c>
      <c r="AJ253" s="157">
        <v>53376.18</v>
      </c>
      <c r="AK253" s="398">
        <f t="shared" si="63"/>
        <v>8353.0798122065735</v>
      </c>
      <c r="AL253" s="398">
        <f t="shared" si="64"/>
        <v>8969.3990610328638</v>
      </c>
      <c r="AM253" s="399">
        <f t="shared" si="65"/>
        <v>616.32000000000005</v>
      </c>
      <c r="AN253" s="397">
        <v>120</v>
      </c>
      <c r="AO253" s="397">
        <v>0</v>
      </c>
      <c r="AP253" s="46"/>
      <c r="AQ253" s="402">
        <v>43547.729999999996</v>
      </c>
      <c r="AR253" s="274">
        <v>35744.409999999996</v>
      </c>
      <c r="AS253" s="413">
        <v>17716.29</v>
      </c>
      <c r="AX253" s="2"/>
      <c r="BA253" s="342"/>
      <c r="BB253" s="342"/>
      <c r="BC253" s="342"/>
      <c r="BD253" s="386"/>
      <c r="BE253" s="386"/>
      <c r="BF253" s="386"/>
      <c r="BG253" s="386"/>
      <c r="BH253" s="386"/>
      <c r="BI253" s="386"/>
      <c r="BJ253" s="386"/>
      <c r="BK253" s="386"/>
      <c r="BL253" s="386"/>
      <c r="BM253" s="386"/>
      <c r="BN253" s="387"/>
      <c r="BO253" s="265"/>
      <c r="BP253" s="386"/>
      <c r="BQ253" s="388"/>
      <c r="BR253" s="388"/>
      <c r="BS253" s="389"/>
      <c r="BT253" s="389"/>
      <c r="BU253" s="389"/>
      <c r="BV253" s="386"/>
      <c r="BW253" s="389"/>
      <c r="BX253" s="389"/>
      <c r="BY253" s="386"/>
      <c r="BZ253" s="386"/>
      <c r="CA253" s="386"/>
      <c r="CB253" s="386"/>
      <c r="CC253" s="386"/>
      <c r="CD253" s="386"/>
      <c r="CE253" s="386"/>
      <c r="CF253" s="390"/>
      <c r="CG253" s="390"/>
      <c r="CH253" s="391"/>
      <c r="CI253" s="386"/>
      <c r="CJ253" s="386"/>
      <c r="CK253" s="390"/>
      <c r="CL253" s="390"/>
      <c r="CM253" s="391"/>
      <c r="CN253" s="389"/>
      <c r="CO253" s="389"/>
      <c r="CP253" s="135"/>
      <c r="CQ253" s="135"/>
      <c r="CR253" s="135"/>
      <c r="CS253" s="135"/>
      <c r="CT253" s="135"/>
      <c r="CU253" s="135"/>
    </row>
    <row r="254" spans="1:99">
      <c r="A254" s="342" t="s">
        <v>530</v>
      </c>
      <c r="B254" s="342" t="s">
        <v>529</v>
      </c>
      <c r="C254" s="342" t="s">
        <v>1083</v>
      </c>
      <c r="D254" s="157">
        <v>0</v>
      </c>
      <c r="E254" s="157">
        <v>0</v>
      </c>
      <c r="F254" s="157">
        <v>0</v>
      </c>
      <c r="G254" s="157">
        <v>3713063.35</v>
      </c>
      <c r="H254" s="157">
        <v>510144.58</v>
      </c>
      <c r="I254" s="157">
        <v>0</v>
      </c>
      <c r="J254" s="157">
        <v>779198.08</v>
      </c>
      <c r="K254" s="157">
        <v>84308.78</v>
      </c>
      <c r="L254" s="157">
        <v>80479.02</v>
      </c>
      <c r="M254" s="157">
        <v>1514062.45</v>
      </c>
      <c r="N254" s="264">
        <v>5.2299999999999999E-2</v>
      </c>
      <c r="O254" s="265">
        <v>0.17430000000000001</v>
      </c>
      <c r="P254" s="157">
        <v>0</v>
      </c>
      <c r="Q254" s="396">
        <v>0</v>
      </c>
      <c r="R254" s="396">
        <v>0</v>
      </c>
      <c r="S254" s="397">
        <v>0</v>
      </c>
      <c r="T254" s="397">
        <v>0</v>
      </c>
      <c r="U254" s="397">
        <v>0</v>
      </c>
      <c r="V254" s="157">
        <v>0</v>
      </c>
      <c r="W254" s="397">
        <v>0</v>
      </c>
      <c r="X254" s="397">
        <v>0</v>
      </c>
      <c r="Y254" s="157">
        <v>2894.97</v>
      </c>
      <c r="Z254" s="157">
        <v>0</v>
      </c>
      <c r="AA254" s="157">
        <v>117040.95</v>
      </c>
      <c r="AB254" s="157">
        <v>401299.15</v>
      </c>
      <c r="AC254" s="157">
        <v>2147742.5499999998</v>
      </c>
      <c r="AD254" s="157">
        <v>224.87</v>
      </c>
      <c r="AE254" s="157">
        <v>2012392.36</v>
      </c>
      <c r="AF254" s="398">
        <f t="shared" si="60"/>
        <v>8949.1366567350033</v>
      </c>
      <c r="AG254" s="398">
        <f t="shared" si="61"/>
        <v>9551.04082358696</v>
      </c>
      <c r="AH254" s="399">
        <f t="shared" si="62"/>
        <v>601.9</v>
      </c>
      <c r="AI254" s="157">
        <v>42.87</v>
      </c>
      <c r="AJ254" s="157">
        <v>372568.81</v>
      </c>
      <c r="AK254" s="398">
        <f t="shared" si="63"/>
        <v>8690.6650338231866</v>
      </c>
      <c r="AL254" s="398">
        <f t="shared" si="64"/>
        <v>9360.838581758806</v>
      </c>
      <c r="AM254" s="399">
        <f t="shared" si="65"/>
        <v>670.17</v>
      </c>
      <c r="AN254" s="397">
        <v>0</v>
      </c>
      <c r="AO254" s="397">
        <v>0</v>
      </c>
      <c r="AP254" s="46"/>
      <c r="AQ254" s="402">
        <v>0</v>
      </c>
      <c r="AR254" s="274">
        <v>245266.73</v>
      </c>
      <c r="AS254" s="413">
        <v>87391.66</v>
      </c>
      <c r="AX254" s="2"/>
      <c r="BA254" s="342"/>
      <c r="BB254" s="342"/>
      <c r="BC254" s="342"/>
      <c r="BD254" s="386"/>
      <c r="BE254" s="386"/>
      <c r="BF254" s="386"/>
      <c r="BG254" s="386"/>
      <c r="BH254" s="386"/>
      <c r="BI254" s="386"/>
      <c r="BJ254" s="386"/>
      <c r="BK254" s="386"/>
      <c r="BL254" s="386"/>
      <c r="BM254" s="386"/>
      <c r="BN254" s="387"/>
      <c r="BO254" s="265"/>
      <c r="BP254" s="386"/>
      <c r="BQ254" s="388"/>
      <c r="BR254" s="388"/>
      <c r="BS254" s="389"/>
      <c r="BT254" s="389"/>
      <c r="BU254" s="389"/>
      <c r="BV254" s="386"/>
      <c r="BW254" s="389"/>
      <c r="BX254" s="389"/>
      <c r="BY254" s="386"/>
      <c r="BZ254" s="386"/>
      <c r="CA254" s="386"/>
      <c r="CB254" s="386"/>
      <c r="CC254" s="386"/>
      <c r="CD254" s="386"/>
      <c r="CE254" s="386"/>
      <c r="CF254" s="390"/>
      <c r="CG254" s="390"/>
      <c r="CH254" s="391"/>
      <c r="CI254" s="386"/>
      <c r="CJ254" s="386"/>
      <c r="CK254" s="390"/>
      <c r="CL254" s="390"/>
      <c r="CM254" s="391"/>
      <c r="CN254" s="389"/>
      <c r="CO254" s="389"/>
      <c r="CP254" s="135"/>
      <c r="CQ254" s="135"/>
      <c r="CR254" s="135"/>
      <c r="CS254" s="135"/>
      <c r="CT254" s="135"/>
      <c r="CU254" s="135"/>
    </row>
    <row r="255" spans="1:99">
      <c r="A255" s="342" t="s">
        <v>532</v>
      </c>
      <c r="B255" s="342" t="s">
        <v>531</v>
      </c>
      <c r="C255" s="342" t="s">
        <v>1084</v>
      </c>
      <c r="D255" s="157">
        <v>0</v>
      </c>
      <c r="E255" s="157">
        <v>0</v>
      </c>
      <c r="F255" s="157">
        <v>0</v>
      </c>
      <c r="G255" s="157">
        <v>0</v>
      </c>
      <c r="H255" s="157">
        <v>0</v>
      </c>
      <c r="I255" s="157">
        <v>0</v>
      </c>
      <c r="J255" s="157">
        <v>0</v>
      </c>
      <c r="K255" s="157">
        <v>0</v>
      </c>
      <c r="L255" s="157">
        <v>343.07</v>
      </c>
      <c r="M255" s="157">
        <v>0</v>
      </c>
      <c r="N255" s="264">
        <v>0.36670000000000003</v>
      </c>
      <c r="O255" s="265">
        <v>0.57230000000000003</v>
      </c>
      <c r="P255" s="157">
        <v>0</v>
      </c>
      <c r="Q255" s="396">
        <v>0</v>
      </c>
      <c r="R255" s="396">
        <v>0</v>
      </c>
      <c r="S255" s="397">
        <v>0</v>
      </c>
      <c r="T255" s="397">
        <v>0</v>
      </c>
      <c r="U255" s="397">
        <v>0</v>
      </c>
      <c r="V255" s="157">
        <v>0</v>
      </c>
      <c r="W255" s="397">
        <v>0</v>
      </c>
      <c r="X255" s="397">
        <v>0</v>
      </c>
      <c r="Y255" s="157">
        <v>0</v>
      </c>
      <c r="Z255" s="157">
        <v>0</v>
      </c>
      <c r="AA255" s="157">
        <v>0</v>
      </c>
      <c r="AB255" s="157">
        <v>0</v>
      </c>
      <c r="AC255" s="157">
        <v>0</v>
      </c>
      <c r="AD255" s="157">
        <v>0</v>
      </c>
      <c r="AE255" s="157">
        <v>0</v>
      </c>
      <c r="AF255" s="398">
        <f t="shared" si="60"/>
        <v>0</v>
      </c>
      <c r="AG255" s="398">
        <f t="shared" si="61"/>
        <v>0</v>
      </c>
      <c r="AH255" s="399">
        <f t="shared" si="62"/>
        <v>0</v>
      </c>
      <c r="AI255" s="157">
        <v>0</v>
      </c>
      <c r="AJ255" s="157">
        <v>0</v>
      </c>
      <c r="AK255" s="398">
        <f t="shared" si="63"/>
        <v>0</v>
      </c>
      <c r="AL255" s="398">
        <f t="shared" si="64"/>
        <v>0</v>
      </c>
      <c r="AM255" s="399">
        <f t="shared" si="65"/>
        <v>0</v>
      </c>
      <c r="AN255" s="397">
        <v>0</v>
      </c>
      <c r="AO255" s="397">
        <v>0</v>
      </c>
      <c r="AP255" s="46"/>
      <c r="AQ255" s="402">
        <v>8727.4</v>
      </c>
      <c r="AR255" s="274">
        <v>3408.11</v>
      </c>
      <c r="AS255" s="413"/>
      <c r="AX255" s="2"/>
      <c r="BA255" s="342"/>
      <c r="BB255" s="342"/>
      <c r="BC255" s="342"/>
      <c r="BD255" s="386"/>
      <c r="BE255" s="386"/>
      <c r="BF255" s="386"/>
      <c r="BG255" s="386"/>
      <c r="BH255" s="386"/>
      <c r="BI255" s="386"/>
      <c r="BJ255" s="386"/>
      <c r="BK255" s="386"/>
      <c r="BL255" s="386"/>
      <c r="BM255" s="386"/>
      <c r="BN255" s="387"/>
      <c r="BO255" s="265"/>
      <c r="BP255" s="386"/>
      <c r="BQ255" s="388"/>
      <c r="BR255" s="388"/>
      <c r="BS255" s="389"/>
      <c r="BT255" s="389"/>
      <c r="BU255" s="389"/>
      <c r="BV255" s="386"/>
      <c r="BW255" s="389"/>
      <c r="BX255" s="389"/>
      <c r="BY255" s="386"/>
      <c r="BZ255" s="386"/>
      <c r="CA255" s="386"/>
      <c r="CB255" s="386"/>
      <c r="CC255" s="386"/>
      <c r="CD255" s="386"/>
      <c r="CE255" s="386"/>
      <c r="CF255" s="390"/>
      <c r="CG255" s="390"/>
      <c r="CH255" s="391"/>
      <c r="CI255" s="386"/>
      <c r="CJ255" s="386"/>
      <c r="CK255" s="390"/>
      <c r="CL255" s="390"/>
      <c r="CM255" s="391"/>
      <c r="CN255" s="389"/>
      <c r="CO255" s="389"/>
      <c r="CP255" s="135"/>
      <c r="CQ255" s="135"/>
      <c r="CR255" s="135"/>
      <c r="CS255" s="135"/>
      <c r="CT255" s="135"/>
      <c r="CU255" s="135"/>
    </row>
    <row r="256" spans="1:99">
      <c r="A256" s="342" t="s">
        <v>534</v>
      </c>
      <c r="B256" s="342" t="s">
        <v>533</v>
      </c>
      <c r="C256" s="342" t="s">
        <v>1085</v>
      </c>
      <c r="D256" s="157">
        <v>0</v>
      </c>
      <c r="E256" s="157">
        <v>178089.76</v>
      </c>
      <c r="F256" s="157">
        <v>114714.45</v>
      </c>
      <c r="G256" s="157">
        <v>6594768.4199999999</v>
      </c>
      <c r="H256" s="157">
        <v>970111.73</v>
      </c>
      <c r="I256" s="157">
        <v>1287424.5900000001</v>
      </c>
      <c r="J256" s="157">
        <v>1878636.44</v>
      </c>
      <c r="K256" s="157">
        <v>1496071.87</v>
      </c>
      <c r="L256" s="157">
        <v>129207.97</v>
      </c>
      <c r="M256" s="157">
        <v>3120690.17</v>
      </c>
      <c r="N256" s="264">
        <v>1.9E-2</v>
      </c>
      <c r="O256" s="265">
        <v>0.13830000000000001</v>
      </c>
      <c r="P256" s="157">
        <v>0</v>
      </c>
      <c r="Q256" s="396">
        <v>0</v>
      </c>
      <c r="R256" s="396">
        <v>0</v>
      </c>
      <c r="S256" s="397">
        <v>139875.51</v>
      </c>
      <c r="T256" s="397">
        <v>13231.406000000001</v>
      </c>
      <c r="U256" s="397">
        <v>5473.49</v>
      </c>
      <c r="V256" s="157">
        <v>0</v>
      </c>
      <c r="W256" s="397">
        <v>0</v>
      </c>
      <c r="X256" s="397">
        <v>0</v>
      </c>
      <c r="Y256" s="157">
        <v>0</v>
      </c>
      <c r="Z256" s="157">
        <v>96584.99</v>
      </c>
      <c r="AA256" s="157">
        <v>421854.92</v>
      </c>
      <c r="AB256" s="157">
        <v>1192973.67</v>
      </c>
      <c r="AC256" s="157">
        <v>6070511.9500000002</v>
      </c>
      <c r="AD256" s="157">
        <v>668.71</v>
      </c>
      <c r="AE256" s="157">
        <v>5744372.7999999998</v>
      </c>
      <c r="AF256" s="398">
        <f t="shared" si="60"/>
        <v>8590.2301446067795</v>
      </c>
      <c r="AG256" s="398">
        <f t="shared" si="61"/>
        <v>9077.9440265585981</v>
      </c>
      <c r="AH256" s="399">
        <f t="shared" si="62"/>
        <v>487.71</v>
      </c>
      <c r="AI256" s="157">
        <v>132.88999999999999</v>
      </c>
      <c r="AJ256" s="157">
        <v>1107675.26</v>
      </c>
      <c r="AK256" s="398">
        <f t="shared" si="63"/>
        <v>8335.2792535179487</v>
      </c>
      <c r="AL256" s="398">
        <f t="shared" si="64"/>
        <v>8977.151553916774</v>
      </c>
      <c r="AM256" s="399">
        <f t="shared" si="65"/>
        <v>641.87</v>
      </c>
      <c r="AN256" s="397">
        <v>4014.56</v>
      </c>
      <c r="AO256" s="397">
        <v>0</v>
      </c>
      <c r="AP256" s="46"/>
      <c r="AQ256" s="402">
        <v>389619.21</v>
      </c>
      <c r="AR256" s="274">
        <v>469512.87999999995</v>
      </c>
      <c r="AS256" s="413">
        <v>72885.78</v>
      </c>
      <c r="AX256" s="2"/>
      <c r="BA256" s="342"/>
      <c r="BB256" s="342"/>
      <c r="BC256" s="342"/>
      <c r="BD256" s="386"/>
      <c r="BE256" s="386"/>
      <c r="BF256" s="386"/>
      <c r="BG256" s="386"/>
      <c r="BH256" s="386"/>
      <c r="BI256" s="386"/>
      <c r="BJ256" s="386"/>
      <c r="BK256" s="386"/>
      <c r="BL256" s="386"/>
      <c r="BM256" s="386"/>
      <c r="BN256" s="387"/>
      <c r="BO256" s="265"/>
      <c r="BP256" s="386"/>
      <c r="BQ256" s="388"/>
      <c r="BR256" s="388"/>
      <c r="BS256" s="389"/>
      <c r="BT256" s="389"/>
      <c r="BU256" s="389"/>
      <c r="BV256" s="386"/>
      <c r="BW256" s="389"/>
      <c r="BX256" s="389"/>
      <c r="BY256" s="386"/>
      <c r="BZ256" s="386"/>
      <c r="CA256" s="386"/>
      <c r="CB256" s="386"/>
      <c r="CC256" s="386"/>
      <c r="CD256" s="386"/>
      <c r="CE256" s="386"/>
      <c r="CF256" s="390"/>
      <c r="CG256" s="390"/>
      <c r="CH256" s="391"/>
      <c r="CI256" s="386"/>
      <c r="CJ256" s="386"/>
      <c r="CK256" s="390"/>
      <c r="CL256" s="390"/>
      <c r="CM256" s="391"/>
      <c r="CN256" s="389"/>
      <c r="CO256" s="389"/>
      <c r="CP256" s="135"/>
      <c r="CQ256" s="135"/>
      <c r="CR256" s="135"/>
      <c r="CS256" s="135"/>
      <c r="CT256" s="135"/>
      <c r="CU256" s="135"/>
    </row>
    <row r="257" spans="1:99">
      <c r="A257" s="342" t="s">
        <v>536</v>
      </c>
      <c r="B257" s="342" t="s">
        <v>535</v>
      </c>
      <c r="C257" s="342" t="s">
        <v>1086</v>
      </c>
      <c r="D257" s="157">
        <v>0</v>
      </c>
      <c r="E257" s="157">
        <v>158216.07</v>
      </c>
      <c r="F257" s="157">
        <v>0</v>
      </c>
      <c r="G257" s="157">
        <v>14500613.42</v>
      </c>
      <c r="H257" s="157">
        <v>2208026.64</v>
      </c>
      <c r="I257" s="157">
        <v>0</v>
      </c>
      <c r="J257" s="157">
        <v>1785640.87</v>
      </c>
      <c r="K257" s="157">
        <v>1805206.63</v>
      </c>
      <c r="L257" s="157">
        <v>315338.62</v>
      </c>
      <c r="M257" s="157">
        <v>4488470.18</v>
      </c>
      <c r="N257" s="264">
        <v>3.3399999999999999E-2</v>
      </c>
      <c r="O257" s="265">
        <v>0.1125</v>
      </c>
      <c r="P257" s="157">
        <v>0</v>
      </c>
      <c r="Q257" s="396">
        <v>0</v>
      </c>
      <c r="R257" s="396">
        <v>0</v>
      </c>
      <c r="S257" s="397">
        <v>0</v>
      </c>
      <c r="T257" s="397">
        <v>0</v>
      </c>
      <c r="U257" s="397">
        <v>0</v>
      </c>
      <c r="V257" s="157">
        <v>242572.11000000002</v>
      </c>
      <c r="W257" s="397">
        <v>0</v>
      </c>
      <c r="X257" s="397">
        <v>10157.200000000001</v>
      </c>
      <c r="Y257" s="157">
        <v>10628.04</v>
      </c>
      <c r="Z257" s="157">
        <v>29369.88</v>
      </c>
      <c r="AA257" s="157">
        <v>307298.95</v>
      </c>
      <c r="AB257" s="157">
        <v>240475.6</v>
      </c>
      <c r="AC257" s="157">
        <v>4208509.34</v>
      </c>
      <c r="AD257" s="157">
        <v>404.86</v>
      </c>
      <c r="AE257" s="157">
        <v>3913396.56</v>
      </c>
      <c r="AF257" s="398">
        <f t="shared" si="60"/>
        <v>9666.0489057945961</v>
      </c>
      <c r="AG257" s="398">
        <f t="shared" si="61"/>
        <v>10394.974410907473</v>
      </c>
      <c r="AH257" s="399">
        <f t="shared" si="62"/>
        <v>728.93</v>
      </c>
      <c r="AI257" s="157">
        <v>23.77</v>
      </c>
      <c r="AJ257" s="157">
        <v>223386.65</v>
      </c>
      <c r="AK257" s="398">
        <f t="shared" si="63"/>
        <v>9397.8397139251156</v>
      </c>
      <c r="AL257" s="398">
        <f t="shared" si="64"/>
        <v>10116.769036600757</v>
      </c>
      <c r="AM257" s="399">
        <f t="shared" si="65"/>
        <v>718.93</v>
      </c>
      <c r="AN257" s="397">
        <v>0</v>
      </c>
      <c r="AO257" s="397">
        <v>0</v>
      </c>
      <c r="AP257" s="46"/>
      <c r="AQ257" s="402">
        <v>438096.12000000034</v>
      </c>
      <c r="AR257" s="274">
        <v>1023839.79</v>
      </c>
      <c r="AS257" s="413">
        <v>294649.11</v>
      </c>
      <c r="AX257" s="2"/>
      <c r="BA257" s="342"/>
      <c r="BB257" s="342"/>
      <c r="BC257" s="342"/>
      <c r="BD257" s="386"/>
      <c r="BE257" s="386"/>
      <c r="BF257" s="386"/>
      <c r="BG257" s="386"/>
      <c r="BH257" s="386"/>
      <c r="BI257" s="386"/>
      <c r="BJ257" s="386"/>
      <c r="BK257" s="386"/>
      <c r="BL257" s="386"/>
      <c r="BM257" s="386"/>
      <c r="BN257" s="387"/>
      <c r="BO257" s="265"/>
      <c r="BP257" s="386"/>
      <c r="BQ257" s="388"/>
      <c r="BR257" s="388"/>
      <c r="BS257" s="389"/>
      <c r="BT257" s="389"/>
      <c r="BU257" s="389"/>
      <c r="BV257" s="386"/>
      <c r="BW257" s="389"/>
      <c r="BX257" s="389"/>
      <c r="BY257" s="386"/>
      <c r="BZ257" s="386"/>
      <c r="CA257" s="386"/>
      <c r="CB257" s="386"/>
      <c r="CC257" s="386"/>
      <c r="CD257" s="386"/>
      <c r="CE257" s="386"/>
      <c r="CF257" s="390"/>
      <c r="CG257" s="390"/>
      <c r="CH257" s="391"/>
      <c r="CI257" s="386"/>
      <c r="CJ257" s="386"/>
      <c r="CK257" s="390"/>
      <c r="CL257" s="390"/>
      <c r="CM257" s="391"/>
      <c r="CN257" s="389"/>
      <c r="CO257" s="389"/>
      <c r="CP257" s="135"/>
      <c r="CQ257" s="135"/>
      <c r="CR257" s="135"/>
      <c r="CS257" s="135"/>
      <c r="CT257" s="135"/>
      <c r="CU257" s="135"/>
    </row>
    <row r="258" spans="1:99">
      <c r="A258" s="342" t="s">
        <v>538</v>
      </c>
      <c r="B258" s="344" t="s">
        <v>537</v>
      </c>
      <c r="C258" s="342" t="s">
        <v>1087</v>
      </c>
      <c r="D258" s="157">
        <v>0</v>
      </c>
      <c r="E258" s="157">
        <v>0</v>
      </c>
      <c r="F258" s="157">
        <v>0</v>
      </c>
      <c r="G258" s="157">
        <v>0</v>
      </c>
      <c r="H258" s="157">
        <v>0</v>
      </c>
      <c r="I258" s="157">
        <v>0</v>
      </c>
      <c r="J258" s="157">
        <v>15620.82</v>
      </c>
      <c r="K258" s="157">
        <v>0</v>
      </c>
      <c r="L258" s="157">
        <v>2172.4299999999998</v>
      </c>
      <c r="M258" s="157">
        <v>89322.54</v>
      </c>
      <c r="N258" s="264">
        <v>9.6000000000000002E-2</v>
      </c>
      <c r="O258" s="265">
        <v>0.24890000000000001</v>
      </c>
      <c r="P258" s="157">
        <v>0</v>
      </c>
      <c r="Q258" s="396">
        <v>0</v>
      </c>
      <c r="R258" s="396">
        <v>0</v>
      </c>
      <c r="S258" s="397">
        <v>0</v>
      </c>
      <c r="T258" s="397">
        <v>0</v>
      </c>
      <c r="U258" s="397">
        <v>0</v>
      </c>
      <c r="V258" s="157">
        <v>0</v>
      </c>
      <c r="W258" s="397">
        <v>0</v>
      </c>
      <c r="X258" s="397">
        <v>0</v>
      </c>
      <c r="Y258" s="157">
        <v>0</v>
      </c>
      <c r="Z258" s="157">
        <v>0</v>
      </c>
      <c r="AA258" s="157">
        <v>0</v>
      </c>
      <c r="AB258" s="157">
        <v>0</v>
      </c>
      <c r="AC258" s="157">
        <v>0</v>
      </c>
      <c r="AD258" s="157">
        <v>0</v>
      </c>
      <c r="AE258" s="157">
        <v>0</v>
      </c>
      <c r="AF258" s="398">
        <f t="shared" si="60"/>
        <v>0</v>
      </c>
      <c r="AG258" s="398">
        <f t="shared" si="61"/>
        <v>0</v>
      </c>
      <c r="AH258" s="399">
        <f t="shared" si="62"/>
        <v>0</v>
      </c>
      <c r="AI258" s="157">
        <v>0</v>
      </c>
      <c r="AJ258" s="157">
        <v>0</v>
      </c>
      <c r="AK258" s="398">
        <f t="shared" si="63"/>
        <v>0</v>
      </c>
      <c r="AL258" s="398">
        <f t="shared" si="64"/>
        <v>0</v>
      </c>
      <c r="AM258" s="399">
        <f t="shared" si="65"/>
        <v>0</v>
      </c>
      <c r="AN258" s="397">
        <v>0</v>
      </c>
      <c r="AO258" s="397">
        <v>24870.95</v>
      </c>
      <c r="AP258" s="46"/>
      <c r="AQ258" s="402">
        <v>0</v>
      </c>
      <c r="AR258" s="274">
        <v>8612.81</v>
      </c>
      <c r="AS258" s="413">
        <v>12035.7</v>
      </c>
      <c r="AX258" s="2"/>
      <c r="BA258" s="342"/>
      <c r="BB258" s="344"/>
      <c r="BC258" s="342"/>
      <c r="BD258" s="386"/>
      <c r="BE258" s="386"/>
      <c r="BF258" s="386"/>
      <c r="BG258" s="386"/>
      <c r="BH258" s="386"/>
      <c r="BI258" s="386"/>
      <c r="BJ258" s="386"/>
      <c r="BK258" s="386"/>
      <c r="BL258" s="386"/>
      <c r="BM258" s="386"/>
      <c r="BN258" s="387"/>
      <c r="BO258" s="265"/>
      <c r="BP258" s="386"/>
      <c r="BQ258" s="388"/>
      <c r="BR258" s="388"/>
      <c r="BS258" s="389"/>
      <c r="BT258" s="389"/>
      <c r="BU258" s="389"/>
      <c r="BV258" s="386"/>
      <c r="BW258" s="389"/>
      <c r="BX258" s="389"/>
      <c r="BY258" s="386"/>
      <c r="BZ258" s="386"/>
      <c r="CA258" s="386"/>
      <c r="CB258" s="386"/>
      <c r="CC258" s="386"/>
      <c r="CD258" s="386"/>
      <c r="CE258" s="386"/>
      <c r="CF258" s="390"/>
      <c r="CG258" s="390"/>
      <c r="CH258" s="391"/>
      <c r="CI258" s="386"/>
      <c r="CJ258" s="386"/>
      <c r="CK258" s="390"/>
      <c r="CL258" s="390"/>
      <c r="CM258" s="391"/>
      <c r="CN258" s="389"/>
      <c r="CO258" s="389"/>
      <c r="CP258" s="135"/>
      <c r="CQ258" s="135"/>
      <c r="CR258" s="135"/>
      <c r="CS258" s="135"/>
      <c r="CT258" s="135"/>
      <c r="CU258" s="135"/>
    </row>
    <row r="259" spans="1:99">
      <c r="A259" s="342" t="s">
        <v>540</v>
      </c>
      <c r="B259" s="342" t="s">
        <v>539</v>
      </c>
      <c r="C259" s="342" t="s">
        <v>1088</v>
      </c>
      <c r="D259" s="157">
        <v>0</v>
      </c>
      <c r="E259" s="157">
        <v>2452.33</v>
      </c>
      <c r="F259" s="157">
        <v>1099.3800000000001</v>
      </c>
      <c r="G259" s="157">
        <v>55641.89</v>
      </c>
      <c r="H259" s="157">
        <v>10538.84</v>
      </c>
      <c r="I259" s="157">
        <v>12100.75</v>
      </c>
      <c r="J259" s="157">
        <v>20127.990000000002</v>
      </c>
      <c r="K259" s="157">
        <v>0</v>
      </c>
      <c r="L259" s="157">
        <v>0</v>
      </c>
      <c r="M259" s="157">
        <v>35938.83</v>
      </c>
      <c r="N259" s="264">
        <v>3.1800000000000002E-2</v>
      </c>
      <c r="O259" s="265">
        <v>0.33910000000000001</v>
      </c>
      <c r="P259" s="157">
        <v>0</v>
      </c>
      <c r="Q259" s="396">
        <v>0</v>
      </c>
      <c r="R259" s="396">
        <v>0</v>
      </c>
      <c r="S259" s="397">
        <v>0</v>
      </c>
      <c r="T259" s="397">
        <v>0</v>
      </c>
      <c r="U259" s="397">
        <v>0</v>
      </c>
      <c r="V259" s="157">
        <v>0</v>
      </c>
      <c r="W259" s="397">
        <v>0</v>
      </c>
      <c r="X259" s="397">
        <v>0</v>
      </c>
      <c r="Y259" s="157">
        <v>0</v>
      </c>
      <c r="Z259" s="157">
        <v>0</v>
      </c>
      <c r="AA259" s="157">
        <v>0</v>
      </c>
      <c r="AB259" s="157">
        <v>0</v>
      </c>
      <c r="AC259" s="157">
        <v>11354.75</v>
      </c>
      <c r="AD259" s="157">
        <v>1.1200000000000001</v>
      </c>
      <c r="AE259" s="157">
        <v>10942.77</v>
      </c>
      <c r="AF259" s="398">
        <f t="shared" si="60"/>
        <v>9770.3303571428569</v>
      </c>
      <c r="AG259" s="398">
        <f t="shared" si="61"/>
        <v>10138.169642857141</v>
      </c>
      <c r="AH259" s="399">
        <f t="shared" si="62"/>
        <v>367.84</v>
      </c>
      <c r="AI259" s="157">
        <v>0</v>
      </c>
      <c r="AJ259" s="157">
        <v>0</v>
      </c>
      <c r="AK259" s="398">
        <f t="shared" si="63"/>
        <v>0</v>
      </c>
      <c r="AL259" s="398">
        <f t="shared" si="64"/>
        <v>0</v>
      </c>
      <c r="AM259" s="399">
        <f t="shared" si="65"/>
        <v>0</v>
      </c>
      <c r="AN259" s="397">
        <v>0</v>
      </c>
      <c r="AO259" s="397">
        <v>0</v>
      </c>
      <c r="AP259" s="46"/>
      <c r="AQ259" s="402">
        <v>28217.159999999996</v>
      </c>
      <c r="AR259" s="274">
        <v>23220.83</v>
      </c>
      <c r="AS259" s="413">
        <v>11206.48</v>
      </c>
      <c r="AX259" s="2"/>
      <c r="BA259" s="342"/>
      <c r="BB259" s="342"/>
      <c r="BC259" s="342"/>
      <c r="BD259" s="386"/>
      <c r="BE259" s="386"/>
      <c r="BF259" s="386"/>
      <c r="BG259" s="386"/>
      <c r="BH259" s="386"/>
      <c r="BI259" s="386"/>
      <c r="BJ259" s="386"/>
      <c r="BK259" s="386"/>
      <c r="BL259" s="386"/>
      <c r="BM259" s="386"/>
      <c r="BN259" s="387"/>
      <c r="BO259" s="265"/>
      <c r="BP259" s="386"/>
      <c r="BQ259" s="388"/>
      <c r="BR259" s="388"/>
      <c r="BS259" s="389"/>
      <c r="BT259" s="389"/>
      <c r="BU259" s="389"/>
      <c r="BV259" s="386"/>
      <c r="BW259" s="389"/>
      <c r="BX259" s="389"/>
      <c r="BY259" s="386"/>
      <c r="BZ259" s="386"/>
      <c r="CA259" s="386"/>
      <c r="CB259" s="386"/>
      <c r="CC259" s="386"/>
      <c r="CD259" s="386"/>
      <c r="CE259" s="386"/>
      <c r="CF259" s="390"/>
      <c r="CG259" s="390"/>
      <c r="CH259" s="391"/>
      <c r="CI259" s="386"/>
      <c r="CJ259" s="386"/>
      <c r="CK259" s="390"/>
      <c r="CL259" s="390"/>
      <c r="CM259" s="391"/>
      <c r="CN259" s="389"/>
      <c r="CO259" s="389"/>
      <c r="CP259" s="135"/>
      <c r="CQ259" s="135"/>
      <c r="CR259" s="135"/>
      <c r="CS259" s="135"/>
      <c r="CT259" s="135"/>
      <c r="CU259" s="135"/>
    </row>
    <row r="260" spans="1:99">
      <c r="A260" s="342" t="s">
        <v>542</v>
      </c>
      <c r="B260" s="342" t="s">
        <v>541</v>
      </c>
      <c r="C260" s="342" t="s">
        <v>1089</v>
      </c>
      <c r="D260" s="157">
        <v>0</v>
      </c>
      <c r="E260" s="157">
        <v>90286.85</v>
      </c>
      <c r="F260" s="157">
        <v>0</v>
      </c>
      <c r="G260" s="157">
        <v>14932143.35</v>
      </c>
      <c r="H260" s="157">
        <v>2548026.06</v>
      </c>
      <c r="I260" s="157">
        <v>0</v>
      </c>
      <c r="J260" s="157">
        <v>1363791.6</v>
      </c>
      <c r="K260" s="157">
        <v>961499.42</v>
      </c>
      <c r="L260" s="157">
        <v>319052.71999999997</v>
      </c>
      <c r="M260" s="157">
        <v>6234975.0099999998</v>
      </c>
      <c r="N260" s="264">
        <v>5.5100000000000003E-2</v>
      </c>
      <c r="O260" s="265">
        <v>0.15670000000000001</v>
      </c>
      <c r="P260" s="157">
        <v>0</v>
      </c>
      <c r="Q260" s="396">
        <v>0</v>
      </c>
      <c r="R260" s="396">
        <v>0</v>
      </c>
      <c r="S260" s="397">
        <v>0</v>
      </c>
      <c r="T260" s="397">
        <v>0</v>
      </c>
      <c r="U260" s="397">
        <v>0</v>
      </c>
      <c r="V260" s="157">
        <v>0</v>
      </c>
      <c r="W260" s="397">
        <v>0</v>
      </c>
      <c r="X260" s="397">
        <v>0</v>
      </c>
      <c r="Y260" s="157">
        <v>10665.26</v>
      </c>
      <c r="Z260" s="157">
        <v>120751.27</v>
      </c>
      <c r="AA260" s="157">
        <v>402299.27</v>
      </c>
      <c r="AB260" s="157">
        <v>1223543.1100000001</v>
      </c>
      <c r="AC260" s="157">
        <v>4084003.29</v>
      </c>
      <c r="AD260" s="157">
        <v>387.73</v>
      </c>
      <c r="AE260" s="157">
        <v>3748070.94</v>
      </c>
      <c r="AF260" s="398">
        <f t="shared" si="60"/>
        <v>9666.7034792252343</v>
      </c>
      <c r="AG260" s="398">
        <f t="shared" si="61"/>
        <v>10533.111417739148</v>
      </c>
      <c r="AH260" s="399">
        <f t="shared" si="62"/>
        <v>866.41</v>
      </c>
      <c r="AI260" s="157">
        <v>120.89</v>
      </c>
      <c r="AJ260" s="157">
        <v>1136706.1200000001</v>
      </c>
      <c r="AK260" s="398">
        <f t="shared" si="63"/>
        <v>9402.8134667879895</v>
      </c>
      <c r="AL260" s="398">
        <f t="shared" si="64"/>
        <v>10121.127553974689</v>
      </c>
      <c r="AM260" s="399">
        <f t="shared" si="65"/>
        <v>718.31</v>
      </c>
      <c r="AN260" s="397">
        <v>0</v>
      </c>
      <c r="AO260" s="397">
        <v>0</v>
      </c>
      <c r="AP260" s="46"/>
      <c r="AQ260" s="402">
        <v>0</v>
      </c>
      <c r="AR260" s="274">
        <v>1023746.98</v>
      </c>
      <c r="AS260" s="413">
        <v>286841.58</v>
      </c>
      <c r="AX260" s="2"/>
      <c r="BA260" s="342"/>
      <c r="BB260" s="342"/>
      <c r="BC260" s="342"/>
      <c r="BD260" s="386"/>
      <c r="BE260" s="386"/>
      <c r="BF260" s="386"/>
      <c r="BG260" s="386"/>
      <c r="BH260" s="386"/>
      <c r="BI260" s="386"/>
      <c r="BJ260" s="386"/>
      <c r="BK260" s="386"/>
      <c r="BL260" s="386"/>
      <c r="BM260" s="386"/>
      <c r="BN260" s="387"/>
      <c r="BO260" s="265"/>
      <c r="BP260" s="386"/>
      <c r="BQ260" s="388"/>
      <c r="BR260" s="388"/>
      <c r="BS260" s="389"/>
      <c r="BT260" s="389"/>
      <c r="BU260" s="389"/>
      <c r="BV260" s="386"/>
      <c r="BW260" s="389"/>
      <c r="BX260" s="389"/>
      <c r="BY260" s="386"/>
      <c r="BZ260" s="386"/>
      <c r="CA260" s="386"/>
      <c r="CB260" s="386"/>
      <c r="CC260" s="386"/>
      <c r="CD260" s="386"/>
      <c r="CE260" s="386"/>
      <c r="CF260" s="390"/>
      <c r="CG260" s="390"/>
      <c r="CH260" s="391"/>
      <c r="CI260" s="386"/>
      <c r="CJ260" s="386"/>
      <c r="CK260" s="390"/>
      <c r="CL260" s="390"/>
      <c r="CM260" s="391"/>
      <c r="CN260" s="389"/>
      <c r="CO260" s="389"/>
      <c r="CP260" s="135"/>
      <c r="CQ260" s="135"/>
      <c r="CR260" s="135"/>
      <c r="CS260" s="135"/>
      <c r="CT260" s="135"/>
      <c r="CU260" s="135"/>
    </row>
    <row r="261" spans="1:99">
      <c r="A261" s="342" t="s">
        <v>544</v>
      </c>
      <c r="B261" s="342" t="s">
        <v>543</v>
      </c>
      <c r="C261" s="342" t="s">
        <v>1090</v>
      </c>
      <c r="D261" s="157">
        <v>0</v>
      </c>
      <c r="E261" s="157">
        <v>0</v>
      </c>
      <c r="F261" s="157">
        <v>0</v>
      </c>
      <c r="G261" s="157">
        <v>10538013.74</v>
      </c>
      <c r="H261" s="157">
        <v>1372128.64</v>
      </c>
      <c r="I261" s="157">
        <v>0</v>
      </c>
      <c r="J261" s="157">
        <v>572210.19999999995</v>
      </c>
      <c r="K261" s="157">
        <v>554751.9</v>
      </c>
      <c r="L261" s="157">
        <v>241775.59</v>
      </c>
      <c r="M261" s="157">
        <v>3740008.78</v>
      </c>
      <c r="N261" s="264">
        <v>3.32E-2</v>
      </c>
      <c r="O261" s="265">
        <v>0.17680000000000001</v>
      </c>
      <c r="P261" s="157">
        <v>0</v>
      </c>
      <c r="Q261" s="396">
        <v>0</v>
      </c>
      <c r="R261" s="396">
        <v>0</v>
      </c>
      <c r="S261" s="397">
        <v>0</v>
      </c>
      <c r="T261" s="397">
        <v>0</v>
      </c>
      <c r="U261" s="397">
        <v>0</v>
      </c>
      <c r="V261" s="157">
        <v>0</v>
      </c>
      <c r="W261" s="397">
        <v>0</v>
      </c>
      <c r="X261" s="397">
        <v>0</v>
      </c>
      <c r="Y261" s="157">
        <v>1987.12</v>
      </c>
      <c r="Z261" s="157">
        <v>66654.48</v>
      </c>
      <c r="AA261" s="157">
        <v>183990.94</v>
      </c>
      <c r="AB261" s="157">
        <v>548596.16</v>
      </c>
      <c r="AC261" s="157">
        <v>4156744.49</v>
      </c>
      <c r="AD261" s="157">
        <v>387.35</v>
      </c>
      <c r="AE261" s="157">
        <v>3744267.12</v>
      </c>
      <c r="AF261" s="398">
        <f t="shared" si="60"/>
        <v>9666.3666451529625</v>
      </c>
      <c r="AG261" s="398">
        <f t="shared" si="61"/>
        <v>10731.236581902673</v>
      </c>
      <c r="AH261" s="399">
        <f t="shared" si="62"/>
        <v>1064.8699999999999</v>
      </c>
      <c r="AI261" s="157">
        <v>54.2</v>
      </c>
      <c r="AJ261" s="157">
        <v>509740.4</v>
      </c>
      <c r="AK261" s="398">
        <f t="shared" si="63"/>
        <v>9404.8044280442809</v>
      </c>
      <c r="AL261" s="398">
        <f t="shared" si="64"/>
        <v>10121.700369003691</v>
      </c>
      <c r="AM261" s="399">
        <f t="shared" si="65"/>
        <v>716.9</v>
      </c>
      <c r="AN261" s="397">
        <v>26636.95</v>
      </c>
      <c r="AO261" s="397">
        <v>0</v>
      </c>
      <c r="AP261" s="46"/>
      <c r="AQ261" s="402">
        <v>0</v>
      </c>
      <c r="AR261" s="274">
        <v>744400.6100000001</v>
      </c>
      <c r="AS261" s="413">
        <v>214926.39</v>
      </c>
      <c r="AX261" s="2"/>
      <c r="BA261" s="342"/>
      <c r="BB261" s="342"/>
      <c r="BC261" s="342"/>
      <c r="BD261" s="386"/>
      <c r="BE261" s="386"/>
      <c r="BF261" s="386"/>
      <c r="BG261" s="386"/>
      <c r="BH261" s="386"/>
      <c r="BI261" s="386"/>
      <c r="BJ261" s="386"/>
      <c r="BK261" s="386"/>
      <c r="BL261" s="386"/>
      <c r="BM261" s="386"/>
      <c r="BN261" s="387"/>
      <c r="BO261" s="265"/>
      <c r="BP261" s="386"/>
      <c r="BQ261" s="388"/>
      <c r="BR261" s="388"/>
      <c r="BS261" s="389"/>
      <c r="BT261" s="389"/>
      <c r="BU261" s="389"/>
      <c r="BV261" s="386"/>
      <c r="BW261" s="389"/>
      <c r="BX261" s="389"/>
      <c r="BY261" s="386"/>
      <c r="BZ261" s="386"/>
      <c r="CA261" s="386"/>
      <c r="CB261" s="386"/>
      <c r="CC261" s="386"/>
      <c r="CD261" s="386"/>
      <c r="CE261" s="386"/>
      <c r="CF261" s="390"/>
      <c r="CG261" s="390"/>
      <c r="CH261" s="391"/>
      <c r="CI261" s="386"/>
      <c r="CJ261" s="386"/>
      <c r="CK261" s="390"/>
      <c r="CL261" s="390"/>
      <c r="CM261" s="391"/>
      <c r="CN261" s="389"/>
      <c r="CO261" s="389"/>
      <c r="CP261" s="135"/>
      <c r="CQ261" s="135"/>
      <c r="CR261" s="135"/>
      <c r="CS261" s="135"/>
      <c r="CT261" s="135"/>
      <c r="CU261" s="135"/>
    </row>
    <row r="262" spans="1:99">
      <c r="A262" s="342" t="s">
        <v>546</v>
      </c>
      <c r="B262" s="342" t="s">
        <v>545</v>
      </c>
      <c r="C262" s="342" t="s">
        <v>1091</v>
      </c>
      <c r="D262" s="157">
        <v>0</v>
      </c>
      <c r="E262" s="157">
        <v>0</v>
      </c>
      <c r="F262" s="157">
        <v>12843.1</v>
      </c>
      <c r="G262" s="157">
        <v>687628.22</v>
      </c>
      <c r="H262" s="157">
        <v>115794.06</v>
      </c>
      <c r="I262" s="157">
        <v>159828.93</v>
      </c>
      <c r="J262" s="157">
        <v>290588.64</v>
      </c>
      <c r="K262" s="157">
        <v>191640.11</v>
      </c>
      <c r="L262" s="157">
        <v>14689.78</v>
      </c>
      <c r="M262" s="157">
        <v>397564.33</v>
      </c>
      <c r="N262" s="264">
        <v>7.0199999999999999E-2</v>
      </c>
      <c r="O262" s="265">
        <v>0.24179999999999999</v>
      </c>
      <c r="P262" s="157">
        <v>0</v>
      </c>
      <c r="Q262" s="396">
        <v>0</v>
      </c>
      <c r="R262" s="396">
        <v>0</v>
      </c>
      <c r="S262" s="397">
        <v>0</v>
      </c>
      <c r="T262" s="397">
        <v>0</v>
      </c>
      <c r="U262" s="397">
        <v>0</v>
      </c>
      <c r="V262" s="157">
        <v>0</v>
      </c>
      <c r="W262" s="397">
        <v>0</v>
      </c>
      <c r="X262" s="397">
        <v>0</v>
      </c>
      <c r="Y262" s="157">
        <v>0</v>
      </c>
      <c r="Z262" s="157">
        <v>0</v>
      </c>
      <c r="AA262" s="157">
        <v>0</v>
      </c>
      <c r="AB262" s="157">
        <v>23614.15</v>
      </c>
      <c r="AC262" s="157">
        <v>221199.99</v>
      </c>
      <c r="AD262" s="157">
        <v>23.33</v>
      </c>
      <c r="AE262" s="157">
        <v>200442.96</v>
      </c>
      <c r="AF262" s="398">
        <f t="shared" si="60"/>
        <v>8591.6399485640814</v>
      </c>
      <c r="AG262" s="398">
        <f t="shared" si="61"/>
        <v>9481.354050578655</v>
      </c>
      <c r="AH262" s="399">
        <f t="shared" si="62"/>
        <v>889.71</v>
      </c>
      <c r="AI262" s="157">
        <v>2.63</v>
      </c>
      <c r="AJ262" s="157">
        <v>21908.29</v>
      </c>
      <c r="AK262" s="398">
        <f t="shared" si="63"/>
        <v>8330.1482889733852</v>
      </c>
      <c r="AL262" s="398">
        <f t="shared" si="64"/>
        <v>8978.7642585551348</v>
      </c>
      <c r="AM262" s="399">
        <f t="shared" si="65"/>
        <v>648.62</v>
      </c>
      <c r="AN262" s="397">
        <v>0</v>
      </c>
      <c r="AO262" s="397">
        <v>0</v>
      </c>
      <c r="AP262" s="46"/>
      <c r="AQ262" s="402">
        <v>25664.370000000003</v>
      </c>
      <c r="AR262" s="274">
        <v>61090.39</v>
      </c>
      <c r="AS262" s="413">
        <v>25749.4</v>
      </c>
      <c r="AX262" s="2"/>
      <c r="BA262" s="342"/>
      <c r="BB262" s="342"/>
      <c r="BC262" s="342"/>
      <c r="BD262" s="386"/>
      <c r="BE262" s="386"/>
      <c r="BF262" s="386"/>
      <c r="BG262" s="386"/>
      <c r="BH262" s="386"/>
      <c r="BI262" s="386"/>
      <c r="BJ262" s="386"/>
      <c r="BK262" s="386"/>
      <c r="BL262" s="386"/>
      <c r="BM262" s="386"/>
      <c r="BN262" s="387"/>
      <c r="BO262" s="265"/>
      <c r="BP262" s="386"/>
      <c r="BQ262" s="388"/>
      <c r="BR262" s="388"/>
      <c r="BS262" s="389"/>
      <c r="BT262" s="389"/>
      <c r="BU262" s="389"/>
      <c r="BV262" s="386"/>
      <c r="BW262" s="389"/>
      <c r="BX262" s="389"/>
      <c r="BY262" s="386"/>
      <c r="BZ262" s="386"/>
      <c r="CA262" s="386"/>
      <c r="CB262" s="386"/>
      <c r="CC262" s="386"/>
      <c r="CD262" s="386"/>
      <c r="CE262" s="386"/>
      <c r="CF262" s="390"/>
      <c r="CG262" s="390"/>
      <c r="CH262" s="391"/>
      <c r="CI262" s="386"/>
      <c r="CJ262" s="386"/>
      <c r="CK262" s="390"/>
      <c r="CL262" s="390"/>
      <c r="CM262" s="391"/>
      <c r="CN262" s="389"/>
      <c r="CO262" s="389"/>
      <c r="CP262" s="135"/>
      <c r="CQ262" s="135"/>
      <c r="CR262" s="135"/>
      <c r="CS262" s="135"/>
      <c r="CT262" s="135"/>
      <c r="CU262" s="135"/>
    </row>
    <row r="263" spans="1:99">
      <c r="A263" s="342" t="s">
        <v>548</v>
      </c>
      <c r="B263" s="342" t="s">
        <v>547</v>
      </c>
      <c r="C263" s="342" t="s">
        <v>1092</v>
      </c>
      <c r="D263" s="157">
        <v>0</v>
      </c>
      <c r="E263" s="157">
        <v>0</v>
      </c>
      <c r="F263" s="157">
        <v>0</v>
      </c>
      <c r="G263" s="157">
        <v>724262.82</v>
      </c>
      <c r="H263" s="157">
        <v>168856.95999999999</v>
      </c>
      <c r="I263" s="157">
        <v>157759.94</v>
      </c>
      <c r="J263" s="157">
        <v>256036.63</v>
      </c>
      <c r="K263" s="157">
        <v>139365.4</v>
      </c>
      <c r="L263" s="157">
        <v>16862.21</v>
      </c>
      <c r="M263" s="157">
        <v>541348.6</v>
      </c>
      <c r="N263" s="264">
        <v>6.3799999999999996E-2</v>
      </c>
      <c r="O263" s="265">
        <v>0.20699999999999999</v>
      </c>
      <c r="P263" s="157">
        <v>0</v>
      </c>
      <c r="Q263" s="396">
        <v>0</v>
      </c>
      <c r="R263" s="396">
        <v>0</v>
      </c>
      <c r="S263" s="397">
        <v>0</v>
      </c>
      <c r="T263" s="397">
        <v>0</v>
      </c>
      <c r="U263" s="397">
        <v>0</v>
      </c>
      <c r="V263" s="157">
        <v>0</v>
      </c>
      <c r="W263" s="397">
        <v>0</v>
      </c>
      <c r="X263" s="397">
        <v>0</v>
      </c>
      <c r="Y263" s="157">
        <v>0</v>
      </c>
      <c r="Z263" s="157">
        <v>0</v>
      </c>
      <c r="AA263" s="157">
        <v>0</v>
      </c>
      <c r="AB263" s="157">
        <v>26658.58</v>
      </c>
      <c r="AC263" s="157">
        <v>396609.7</v>
      </c>
      <c r="AD263" s="157">
        <v>43.36</v>
      </c>
      <c r="AE263" s="157">
        <v>372423.81</v>
      </c>
      <c r="AF263" s="398">
        <f t="shared" ref="AF263:AF326" si="66">IFERROR(AE263/AD263,0)</f>
        <v>8589.1100092250927</v>
      </c>
      <c r="AG263" s="398">
        <f t="shared" ref="AG263:AG326" si="67">IFERROR(AC263/AD263,0)</f>
        <v>9146.9026752767531</v>
      </c>
      <c r="AH263" s="399">
        <f t="shared" ref="AH263:AH326" si="68">ROUND(AG263-AF263,2)</f>
        <v>557.79</v>
      </c>
      <c r="AI263" s="157">
        <v>2.96</v>
      </c>
      <c r="AJ263" s="157">
        <v>24827.03</v>
      </c>
      <c r="AK263" s="398">
        <f t="shared" ref="AK263:AK326" si="69">IFERROR(AJ263/AI263,0)</f>
        <v>8387.510135135135</v>
      </c>
      <c r="AL263" s="398">
        <f t="shared" ref="AL263:AL326" si="70">IFERROR(AB263/AI263,0)</f>
        <v>9006.2770270270285</v>
      </c>
      <c r="AM263" s="399">
        <f t="shared" ref="AM263:AM326" si="71">ROUND(AL263-AK263,2)</f>
        <v>618.77</v>
      </c>
      <c r="AN263" s="397">
        <v>4332.7700000000004</v>
      </c>
      <c r="AO263" s="397">
        <v>0</v>
      </c>
      <c r="AP263" s="46"/>
      <c r="AQ263" s="402">
        <v>9540.3299999999872</v>
      </c>
      <c r="AR263" s="274">
        <v>62536.529999999992</v>
      </c>
      <c r="AS263" s="413">
        <v>26106.010000000002</v>
      </c>
      <c r="AX263" s="2"/>
      <c r="BA263" s="342"/>
      <c r="BB263" s="342"/>
      <c r="BC263" s="342"/>
      <c r="BD263" s="386"/>
      <c r="BE263" s="386"/>
      <c r="BF263" s="386"/>
      <c r="BG263" s="386"/>
      <c r="BH263" s="386"/>
      <c r="BI263" s="386"/>
      <c r="BJ263" s="386"/>
      <c r="BK263" s="386"/>
      <c r="BL263" s="386"/>
      <c r="BM263" s="386"/>
      <c r="BN263" s="387"/>
      <c r="BO263" s="265"/>
      <c r="BP263" s="386"/>
      <c r="BQ263" s="388"/>
      <c r="BR263" s="388"/>
      <c r="BS263" s="389"/>
      <c r="BT263" s="389"/>
      <c r="BU263" s="389"/>
      <c r="BV263" s="386"/>
      <c r="BW263" s="389"/>
      <c r="BX263" s="389"/>
      <c r="BY263" s="386"/>
      <c r="BZ263" s="386"/>
      <c r="CA263" s="386"/>
      <c r="CB263" s="386"/>
      <c r="CC263" s="386"/>
      <c r="CD263" s="386"/>
      <c r="CE263" s="386"/>
      <c r="CF263" s="390"/>
      <c r="CG263" s="390"/>
      <c r="CH263" s="391"/>
      <c r="CI263" s="386"/>
      <c r="CJ263" s="386"/>
      <c r="CK263" s="390"/>
      <c r="CL263" s="390"/>
      <c r="CM263" s="391"/>
      <c r="CN263" s="389"/>
      <c r="CO263" s="389"/>
      <c r="CP263" s="135"/>
      <c r="CQ263" s="135"/>
      <c r="CR263" s="135"/>
      <c r="CS263" s="135"/>
      <c r="CT263" s="135"/>
      <c r="CU263" s="135"/>
    </row>
    <row r="264" spans="1:99">
      <c r="A264" s="342" t="s">
        <v>550</v>
      </c>
      <c r="B264" s="342" t="s">
        <v>549</v>
      </c>
      <c r="C264" s="342" t="s">
        <v>1093</v>
      </c>
      <c r="D264" s="157">
        <v>0</v>
      </c>
      <c r="E264" s="157">
        <v>119794.86</v>
      </c>
      <c r="F264" s="157">
        <v>0</v>
      </c>
      <c r="G264" s="157">
        <v>15465312.99</v>
      </c>
      <c r="H264" s="157">
        <v>3379569.33</v>
      </c>
      <c r="I264" s="157">
        <v>216375.97</v>
      </c>
      <c r="J264" s="157">
        <v>2426022.6800000002</v>
      </c>
      <c r="K264" s="157">
        <v>446481.82</v>
      </c>
      <c r="L264" s="157">
        <v>309467.95</v>
      </c>
      <c r="M264" s="157">
        <v>6627622.5899999999</v>
      </c>
      <c r="N264" s="264">
        <v>4.7100000000000003E-2</v>
      </c>
      <c r="O264" s="265">
        <v>0.1396</v>
      </c>
      <c r="P264" s="157">
        <v>0</v>
      </c>
      <c r="Q264" s="396">
        <v>0</v>
      </c>
      <c r="R264" s="396">
        <v>0</v>
      </c>
      <c r="S264" s="397">
        <v>0</v>
      </c>
      <c r="T264" s="397">
        <v>0</v>
      </c>
      <c r="U264" s="397">
        <v>0</v>
      </c>
      <c r="V264" s="157">
        <v>0</v>
      </c>
      <c r="W264" s="397">
        <v>0</v>
      </c>
      <c r="X264" s="397">
        <v>0</v>
      </c>
      <c r="Y264" s="157">
        <v>10383.32</v>
      </c>
      <c r="Z264" s="157">
        <v>242757</v>
      </c>
      <c r="AA264" s="157">
        <v>0</v>
      </c>
      <c r="AB264" s="157">
        <v>3440498.03</v>
      </c>
      <c r="AC264" s="157">
        <v>6699570.6699999999</v>
      </c>
      <c r="AD264" s="157">
        <v>647.15</v>
      </c>
      <c r="AE264" s="157">
        <v>6255682.2000000002</v>
      </c>
      <c r="AF264" s="398">
        <f t="shared" si="66"/>
        <v>9666.5103917175311</v>
      </c>
      <c r="AG264" s="398">
        <f t="shared" si="67"/>
        <v>10352.423194004481</v>
      </c>
      <c r="AH264" s="399">
        <f t="shared" si="68"/>
        <v>685.91</v>
      </c>
      <c r="AI264" s="157">
        <v>339.93</v>
      </c>
      <c r="AJ264" s="157">
        <v>3196174.65</v>
      </c>
      <c r="AK264" s="398">
        <f t="shared" si="69"/>
        <v>9402.4494748918896</v>
      </c>
      <c r="AL264" s="398">
        <f t="shared" si="70"/>
        <v>10121.195628511752</v>
      </c>
      <c r="AM264" s="399">
        <f t="shared" si="71"/>
        <v>718.75</v>
      </c>
      <c r="AN264" s="397">
        <v>0</v>
      </c>
      <c r="AO264" s="397">
        <v>0</v>
      </c>
      <c r="AP264" s="46"/>
      <c r="AQ264" s="402">
        <v>1472868.15</v>
      </c>
      <c r="AR264" s="274">
        <v>1014075.41</v>
      </c>
      <c r="AS264" s="413">
        <v>288473.2</v>
      </c>
      <c r="AX264" s="2"/>
      <c r="BA264" s="342"/>
      <c r="BB264" s="342"/>
      <c r="BC264" s="342"/>
      <c r="BD264" s="386"/>
      <c r="BE264" s="386"/>
      <c r="BF264" s="386"/>
      <c r="BG264" s="386"/>
      <c r="BH264" s="386"/>
      <c r="BI264" s="386"/>
      <c r="BJ264" s="386"/>
      <c r="BK264" s="386"/>
      <c r="BL264" s="386"/>
      <c r="BM264" s="386"/>
      <c r="BN264" s="387"/>
      <c r="BO264" s="265"/>
      <c r="BP264" s="386"/>
      <c r="BQ264" s="388"/>
      <c r="BR264" s="388"/>
      <c r="BS264" s="389"/>
      <c r="BT264" s="389"/>
      <c r="BU264" s="389"/>
      <c r="BV264" s="386"/>
      <c r="BW264" s="389"/>
      <c r="BX264" s="389"/>
      <c r="BY264" s="386"/>
      <c r="BZ264" s="386"/>
      <c r="CA264" s="386"/>
      <c r="CB264" s="386"/>
      <c r="CC264" s="386"/>
      <c r="CD264" s="386"/>
      <c r="CE264" s="386"/>
      <c r="CF264" s="390"/>
      <c r="CG264" s="390"/>
      <c r="CH264" s="391"/>
      <c r="CI264" s="386"/>
      <c r="CJ264" s="386"/>
      <c r="CK264" s="390"/>
      <c r="CL264" s="390"/>
      <c r="CM264" s="391"/>
      <c r="CN264" s="389"/>
      <c r="CO264" s="389"/>
      <c r="CP264" s="135"/>
      <c r="CQ264" s="135"/>
      <c r="CR264" s="135"/>
      <c r="CS264" s="135"/>
      <c r="CT264" s="135"/>
      <c r="CU264" s="135"/>
    </row>
    <row r="265" spans="1:99">
      <c r="A265" s="342" t="s">
        <v>552</v>
      </c>
      <c r="B265" s="342" t="s">
        <v>551</v>
      </c>
      <c r="C265" s="342" t="s">
        <v>1094</v>
      </c>
      <c r="D265" s="157">
        <v>0</v>
      </c>
      <c r="E265" s="157">
        <v>0</v>
      </c>
      <c r="F265" s="157">
        <v>0</v>
      </c>
      <c r="G265" s="157">
        <v>1840315.23</v>
      </c>
      <c r="H265" s="157">
        <v>300866.05</v>
      </c>
      <c r="I265" s="157">
        <v>10491.36</v>
      </c>
      <c r="J265" s="157">
        <v>267838.40999999997</v>
      </c>
      <c r="K265" s="157">
        <v>17802.78</v>
      </c>
      <c r="L265" s="157">
        <v>42212.31</v>
      </c>
      <c r="M265" s="157">
        <v>928647.32</v>
      </c>
      <c r="N265" s="264">
        <v>5.74E-2</v>
      </c>
      <c r="O265" s="265">
        <v>0.1787</v>
      </c>
      <c r="P265" s="157">
        <v>0</v>
      </c>
      <c r="Q265" s="396">
        <v>0</v>
      </c>
      <c r="R265" s="396">
        <v>0</v>
      </c>
      <c r="S265" s="397">
        <v>0</v>
      </c>
      <c r="T265" s="397">
        <v>0</v>
      </c>
      <c r="U265" s="397">
        <v>0</v>
      </c>
      <c r="V265" s="157">
        <v>0</v>
      </c>
      <c r="W265" s="397">
        <v>0</v>
      </c>
      <c r="X265" s="397">
        <v>0</v>
      </c>
      <c r="Y265" s="157">
        <v>1386.02</v>
      </c>
      <c r="Z265" s="157">
        <v>0</v>
      </c>
      <c r="AA265" s="157">
        <v>20835.669999999998</v>
      </c>
      <c r="AB265" s="157">
        <v>387.71</v>
      </c>
      <c r="AC265" s="157">
        <v>724384.91</v>
      </c>
      <c r="AD265" s="157">
        <v>67.13</v>
      </c>
      <c r="AE265" s="157">
        <v>660487.1</v>
      </c>
      <c r="AF265" s="398">
        <f t="shared" si="66"/>
        <v>9838.9259645464026</v>
      </c>
      <c r="AG265" s="398">
        <f t="shared" si="67"/>
        <v>10790.777744674513</v>
      </c>
      <c r="AH265" s="399">
        <f t="shared" si="68"/>
        <v>951.85</v>
      </c>
      <c r="AI265" s="157">
        <v>0.04</v>
      </c>
      <c r="AJ265" s="157">
        <v>398.76</v>
      </c>
      <c r="AK265" s="398">
        <f t="shared" si="69"/>
        <v>9969</v>
      </c>
      <c r="AL265" s="398">
        <f t="shared" si="70"/>
        <v>9692.75</v>
      </c>
      <c r="AM265" s="399">
        <f t="shared" si="71"/>
        <v>-276.25</v>
      </c>
      <c r="AN265" s="397">
        <v>0</v>
      </c>
      <c r="AO265" s="397">
        <v>0</v>
      </c>
      <c r="AP265" s="46"/>
      <c r="AQ265" s="402">
        <v>0</v>
      </c>
      <c r="AR265" s="274">
        <v>128903.36</v>
      </c>
      <c r="AS265" s="413">
        <v>46386.75</v>
      </c>
      <c r="AX265" s="2"/>
      <c r="BA265" s="342"/>
      <c r="BB265" s="342"/>
      <c r="BC265" s="342"/>
      <c r="BD265" s="386"/>
      <c r="BE265" s="386"/>
      <c r="BF265" s="386"/>
      <c r="BG265" s="386"/>
      <c r="BH265" s="386"/>
      <c r="BI265" s="386"/>
      <c r="BJ265" s="386"/>
      <c r="BK265" s="386"/>
      <c r="BL265" s="386"/>
      <c r="BM265" s="386"/>
      <c r="BN265" s="387"/>
      <c r="BO265" s="265"/>
      <c r="BP265" s="386"/>
      <c r="BQ265" s="388"/>
      <c r="BR265" s="388"/>
      <c r="BS265" s="389"/>
      <c r="BT265" s="389"/>
      <c r="BU265" s="389"/>
      <c r="BV265" s="386"/>
      <c r="BW265" s="389"/>
      <c r="BX265" s="389"/>
      <c r="BY265" s="386"/>
      <c r="BZ265" s="386"/>
      <c r="CA265" s="386"/>
      <c r="CB265" s="386"/>
      <c r="CC265" s="386"/>
      <c r="CD265" s="386"/>
      <c r="CE265" s="386"/>
      <c r="CF265" s="390"/>
      <c r="CG265" s="390"/>
      <c r="CH265" s="391"/>
      <c r="CI265" s="386"/>
      <c r="CJ265" s="386"/>
      <c r="CK265" s="390"/>
      <c r="CL265" s="390"/>
      <c r="CM265" s="391"/>
      <c r="CN265" s="389"/>
      <c r="CO265" s="389"/>
      <c r="CP265" s="135"/>
      <c r="CQ265" s="135"/>
      <c r="CR265" s="135"/>
      <c r="CS265" s="135"/>
      <c r="CT265" s="135"/>
      <c r="CU265" s="135"/>
    </row>
    <row r="266" spans="1:99">
      <c r="A266" s="342" t="s">
        <v>554</v>
      </c>
      <c r="B266" s="342" t="s">
        <v>553</v>
      </c>
      <c r="C266" s="342" t="s">
        <v>1095</v>
      </c>
      <c r="D266" s="157">
        <v>0</v>
      </c>
      <c r="E266" s="157">
        <v>0</v>
      </c>
      <c r="F266" s="157">
        <v>0</v>
      </c>
      <c r="G266" s="157">
        <v>289538.78999999998</v>
      </c>
      <c r="H266" s="157">
        <v>32771.199999999997</v>
      </c>
      <c r="I266" s="157">
        <v>0</v>
      </c>
      <c r="J266" s="157">
        <v>56483.23</v>
      </c>
      <c r="K266" s="157">
        <v>9744.41</v>
      </c>
      <c r="L266" s="157">
        <v>5793.15</v>
      </c>
      <c r="M266" s="157">
        <v>125977.87</v>
      </c>
      <c r="N266" s="264">
        <v>4.6800000000000001E-2</v>
      </c>
      <c r="O266" s="265">
        <v>0.26419999999999999</v>
      </c>
      <c r="P266" s="157">
        <v>0</v>
      </c>
      <c r="Q266" s="396">
        <v>0</v>
      </c>
      <c r="R266" s="396">
        <v>0</v>
      </c>
      <c r="S266" s="397">
        <v>0</v>
      </c>
      <c r="T266" s="397">
        <v>0</v>
      </c>
      <c r="U266" s="397">
        <v>0</v>
      </c>
      <c r="V266" s="157">
        <v>0</v>
      </c>
      <c r="W266" s="397">
        <v>0</v>
      </c>
      <c r="X266" s="397">
        <v>0</v>
      </c>
      <c r="Y266" s="157">
        <v>219.91</v>
      </c>
      <c r="Z266" s="157">
        <v>0</v>
      </c>
      <c r="AA266" s="157">
        <v>0</v>
      </c>
      <c r="AB266" s="157">
        <v>0</v>
      </c>
      <c r="AC266" s="157">
        <v>0</v>
      </c>
      <c r="AD266" s="157">
        <v>0</v>
      </c>
      <c r="AE266" s="157">
        <v>0</v>
      </c>
      <c r="AF266" s="398">
        <f t="shared" si="66"/>
        <v>0</v>
      </c>
      <c r="AG266" s="398">
        <f t="shared" si="67"/>
        <v>0</v>
      </c>
      <c r="AH266" s="399">
        <f t="shared" si="68"/>
        <v>0</v>
      </c>
      <c r="AI266" s="157">
        <v>0</v>
      </c>
      <c r="AJ266" s="157">
        <v>0</v>
      </c>
      <c r="AK266" s="398">
        <f t="shared" si="69"/>
        <v>0</v>
      </c>
      <c r="AL266" s="398">
        <f t="shared" si="70"/>
        <v>0</v>
      </c>
      <c r="AM266" s="399">
        <f t="shared" si="71"/>
        <v>0</v>
      </c>
      <c r="AN266" s="397">
        <v>0</v>
      </c>
      <c r="AO266" s="397">
        <v>0</v>
      </c>
      <c r="AP266" s="46"/>
      <c r="AQ266" s="402">
        <v>28420.71</v>
      </c>
      <c r="AR266" s="274">
        <v>20621.170000000002</v>
      </c>
      <c r="AS266" s="413">
        <v>15995.6</v>
      </c>
      <c r="AX266" s="2"/>
      <c r="BA266" s="342"/>
      <c r="BB266" s="342"/>
      <c r="BC266" s="342"/>
      <c r="BD266" s="386"/>
      <c r="BE266" s="386"/>
      <c r="BF266" s="386"/>
      <c r="BG266" s="386"/>
      <c r="BH266" s="386"/>
      <c r="BI266" s="386"/>
      <c r="BJ266" s="386"/>
      <c r="BK266" s="386"/>
      <c r="BL266" s="386"/>
      <c r="BM266" s="386"/>
      <c r="BN266" s="387"/>
      <c r="BO266" s="265"/>
      <c r="BP266" s="386"/>
      <c r="BQ266" s="388"/>
      <c r="BR266" s="388"/>
      <c r="BS266" s="389"/>
      <c r="BT266" s="389"/>
      <c r="BU266" s="389"/>
      <c r="BV266" s="386"/>
      <c r="BW266" s="389"/>
      <c r="BX266" s="389"/>
      <c r="BY266" s="386"/>
      <c r="BZ266" s="386"/>
      <c r="CA266" s="386"/>
      <c r="CB266" s="386"/>
      <c r="CC266" s="386"/>
      <c r="CD266" s="386"/>
      <c r="CE266" s="386"/>
      <c r="CF266" s="390"/>
      <c r="CG266" s="390"/>
      <c r="CH266" s="391"/>
      <c r="CI266" s="386"/>
      <c r="CJ266" s="386"/>
      <c r="CK266" s="390"/>
      <c r="CL266" s="390"/>
      <c r="CM266" s="391"/>
      <c r="CN266" s="389"/>
      <c r="CO266" s="389"/>
      <c r="CP266" s="135"/>
      <c r="CQ266" s="135"/>
      <c r="CR266" s="135"/>
      <c r="CS266" s="135"/>
      <c r="CT266" s="135"/>
      <c r="CU266" s="135"/>
    </row>
    <row r="267" spans="1:99">
      <c r="A267" s="342" t="s">
        <v>556</v>
      </c>
      <c r="B267" s="342" t="s">
        <v>555</v>
      </c>
      <c r="C267" s="342" t="s">
        <v>1096</v>
      </c>
      <c r="D267" s="157">
        <v>0</v>
      </c>
      <c r="E267" s="157">
        <v>1064785.45</v>
      </c>
      <c r="F267" s="157">
        <v>395624.55</v>
      </c>
      <c r="G267" s="157">
        <v>41773392.780000001</v>
      </c>
      <c r="H267" s="157">
        <v>9500047.0899999999</v>
      </c>
      <c r="I267" s="157">
        <v>5282992.78</v>
      </c>
      <c r="J267" s="157">
        <v>11516047.24</v>
      </c>
      <c r="K267" s="157">
        <v>3406469.92</v>
      </c>
      <c r="L267" s="157">
        <v>874464.46</v>
      </c>
      <c r="M267" s="157">
        <v>11554701.699999999</v>
      </c>
      <c r="N267" s="264">
        <v>4.65E-2</v>
      </c>
      <c r="O267" s="265">
        <v>0.1232</v>
      </c>
      <c r="P267" s="157">
        <v>0</v>
      </c>
      <c r="Q267" s="396">
        <v>0</v>
      </c>
      <c r="R267" s="396">
        <v>0</v>
      </c>
      <c r="S267" s="397">
        <v>0</v>
      </c>
      <c r="T267" s="397">
        <v>0</v>
      </c>
      <c r="U267" s="397">
        <v>0</v>
      </c>
      <c r="V267" s="157">
        <v>0</v>
      </c>
      <c r="W267" s="397">
        <v>0</v>
      </c>
      <c r="X267" s="397">
        <v>0</v>
      </c>
      <c r="Y267" s="157">
        <v>1819.08</v>
      </c>
      <c r="Z267" s="157">
        <v>140147.74</v>
      </c>
      <c r="AA267" s="157">
        <v>0</v>
      </c>
      <c r="AB267" s="157">
        <v>2667455.52</v>
      </c>
      <c r="AC267" s="157">
        <v>11050931.09</v>
      </c>
      <c r="AD267" s="157">
        <v>1185.52</v>
      </c>
      <c r="AE267" s="157">
        <v>10396452.83</v>
      </c>
      <c r="AF267" s="398">
        <f t="shared" si="66"/>
        <v>8769.5296831770029</v>
      </c>
      <c r="AG267" s="398">
        <f t="shared" si="67"/>
        <v>9321.5897580808414</v>
      </c>
      <c r="AH267" s="399">
        <f t="shared" si="68"/>
        <v>552.05999999999995</v>
      </c>
      <c r="AI267" s="157">
        <v>290.97000000000003</v>
      </c>
      <c r="AJ267" s="157">
        <v>2477025.89</v>
      </c>
      <c r="AK267" s="398">
        <f t="shared" si="69"/>
        <v>8512.9940887376706</v>
      </c>
      <c r="AL267" s="398">
        <f t="shared" si="70"/>
        <v>9167.4589132900292</v>
      </c>
      <c r="AM267" s="399">
        <f t="shared" si="71"/>
        <v>654.46</v>
      </c>
      <c r="AN267" s="397">
        <v>0</v>
      </c>
      <c r="AO267" s="397">
        <v>0</v>
      </c>
      <c r="AP267" s="46"/>
      <c r="AQ267" s="402">
        <v>54815.300000000745</v>
      </c>
      <c r="AR267" s="274">
        <v>2986523.9399999995</v>
      </c>
      <c r="AS267" s="413">
        <v>892356.54</v>
      </c>
      <c r="AX267" s="2"/>
      <c r="BA267" s="342"/>
      <c r="BB267" s="342"/>
      <c r="BC267" s="342"/>
      <c r="BD267" s="386"/>
      <c r="BE267" s="386"/>
      <c r="BF267" s="386"/>
      <c r="BG267" s="386"/>
      <c r="BH267" s="386"/>
      <c r="BI267" s="386"/>
      <c r="BJ267" s="386"/>
      <c r="BK267" s="386"/>
      <c r="BL267" s="386"/>
      <c r="BM267" s="386"/>
      <c r="BN267" s="387"/>
      <c r="BO267" s="265"/>
      <c r="BP267" s="386"/>
      <c r="BQ267" s="388"/>
      <c r="BR267" s="388"/>
      <c r="BS267" s="389"/>
      <c r="BT267" s="389"/>
      <c r="BU267" s="389"/>
      <c r="BV267" s="386"/>
      <c r="BW267" s="389"/>
      <c r="BX267" s="389"/>
      <c r="BY267" s="386"/>
      <c r="BZ267" s="386"/>
      <c r="CA267" s="386"/>
      <c r="CB267" s="386"/>
      <c r="CC267" s="386"/>
      <c r="CD267" s="386"/>
      <c r="CE267" s="386"/>
      <c r="CF267" s="390"/>
      <c r="CG267" s="390"/>
      <c r="CH267" s="391"/>
      <c r="CI267" s="386"/>
      <c r="CJ267" s="386"/>
      <c r="CK267" s="390"/>
      <c r="CL267" s="390"/>
      <c r="CM267" s="391"/>
      <c r="CN267" s="389"/>
      <c r="CO267" s="389"/>
      <c r="CP267" s="135"/>
      <c r="CQ267" s="135"/>
      <c r="CR267" s="135"/>
      <c r="CS267" s="135"/>
      <c r="CT267" s="135"/>
      <c r="CU267" s="135"/>
    </row>
    <row r="268" spans="1:99">
      <c r="A268" s="342" t="s">
        <v>1097</v>
      </c>
      <c r="B268" s="342" t="s">
        <v>557</v>
      </c>
      <c r="C268" s="345" t="s">
        <v>1098</v>
      </c>
      <c r="D268" s="157">
        <v>26768.09</v>
      </c>
      <c r="E268" s="157">
        <v>18036.939999999999</v>
      </c>
      <c r="F268" s="157">
        <v>0</v>
      </c>
      <c r="G268" s="157">
        <v>840258.96</v>
      </c>
      <c r="H268" s="157">
        <v>68828.320000000007</v>
      </c>
      <c r="I268" s="157">
        <v>0</v>
      </c>
      <c r="J268" s="157">
        <v>231675.74</v>
      </c>
      <c r="K268" s="157">
        <v>59069.93</v>
      </c>
      <c r="L268" s="157">
        <v>22403.11</v>
      </c>
      <c r="M268" s="157">
        <v>506646.96</v>
      </c>
      <c r="N268" s="264">
        <v>2.9100000000000001E-2</v>
      </c>
      <c r="O268" s="266">
        <v>0.30209999999999998</v>
      </c>
      <c r="P268" s="157">
        <v>0</v>
      </c>
      <c r="Q268" s="396">
        <v>0</v>
      </c>
      <c r="R268" s="396">
        <v>0</v>
      </c>
      <c r="S268" s="397">
        <v>0</v>
      </c>
      <c r="T268" s="397">
        <v>0</v>
      </c>
      <c r="U268" s="397">
        <v>0</v>
      </c>
      <c r="V268" s="157">
        <v>0</v>
      </c>
      <c r="W268" s="397">
        <v>0</v>
      </c>
      <c r="X268" s="397">
        <v>0</v>
      </c>
      <c r="Y268" s="157">
        <v>0</v>
      </c>
      <c r="Z268" s="157">
        <v>0</v>
      </c>
      <c r="AA268" s="157">
        <v>0</v>
      </c>
      <c r="AB268" s="157">
        <v>0</v>
      </c>
      <c r="AC268" s="157">
        <v>0</v>
      </c>
      <c r="AD268" s="157">
        <v>0</v>
      </c>
      <c r="AE268" s="157">
        <v>0</v>
      </c>
      <c r="AF268" s="398">
        <f t="shared" si="66"/>
        <v>0</v>
      </c>
      <c r="AG268" s="398">
        <f t="shared" si="67"/>
        <v>0</v>
      </c>
      <c r="AH268" s="399">
        <f t="shared" si="68"/>
        <v>0</v>
      </c>
      <c r="AI268" s="157">
        <v>0</v>
      </c>
      <c r="AJ268" s="157">
        <v>0</v>
      </c>
      <c r="AK268" s="398">
        <f t="shared" si="69"/>
        <v>0</v>
      </c>
      <c r="AL268" s="398">
        <f t="shared" si="70"/>
        <v>0</v>
      </c>
      <c r="AM268" s="399">
        <f t="shared" si="71"/>
        <v>0</v>
      </c>
      <c r="AN268" s="397">
        <v>0</v>
      </c>
      <c r="AO268" s="397">
        <v>0</v>
      </c>
      <c r="AP268" s="46"/>
      <c r="AQ268" s="402">
        <v>0</v>
      </c>
      <c r="AR268" s="274">
        <v>91473.76999999999</v>
      </c>
      <c r="AS268" s="413">
        <v>31526.760000000002</v>
      </c>
      <c r="AX268" s="2"/>
      <c r="BA268" s="342"/>
      <c r="BB268" s="342"/>
      <c r="BC268" s="342"/>
      <c r="BD268" s="386"/>
      <c r="BE268" s="386"/>
      <c r="BF268" s="386"/>
      <c r="BG268" s="386"/>
      <c r="BH268" s="386"/>
      <c r="BI268" s="386"/>
      <c r="BJ268" s="386"/>
      <c r="BK268" s="386"/>
      <c r="BL268" s="386"/>
      <c r="BM268" s="386"/>
      <c r="BN268" s="387"/>
      <c r="BO268" s="265"/>
      <c r="BP268" s="386"/>
      <c r="BQ268" s="388"/>
      <c r="BR268" s="388"/>
      <c r="BS268" s="389"/>
      <c r="BT268" s="389"/>
      <c r="BU268" s="389"/>
      <c r="BV268" s="386"/>
      <c r="BW268" s="389"/>
      <c r="BX268" s="389"/>
      <c r="BY268" s="386"/>
      <c r="BZ268" s="386"/>
      <c r="CA268" s="386"/>
      <c r="CB268" s="386"/>
      <c r="CC268" s="386"/>
      <c r="CD268" s="386"/>
      <c r="CE268" s="386"/>
      <c r="CF268" s="390"/>
      <c r="CG268" s="390"/>
      <c r="CH268" s="391"/>
      <c r="CI268" s="386"/>
      <c r="CJ268" s="386"/>
      <c r="CK268" s="390"/>
      <c r="CL268" s="390"/>
      <c r="CM268" s="391"/>
      <c r="CN268" s="389"/>
      <c r="CO268" s="389"/>
      <c r="CP268" s="135"/>
      <c r="CQ268" s="135"/>
      <c r="CR268" s="135"/>
      <c r="CS268" s="135"/>
      <c r="CT268" s="135"/>
      <c r="CU268" s="135"/>
    </row>
    <row r="269" spans="1:99">
      <c r="A269" s="342" t="s">
        <v>560</v>
      </c>
      <c r="B269" s="342" t="s">
        <v>559</v>
      </c>
      <c r="C269" s="342" t="s">
        <v>1099</v>
      </c>
      <c r="D269" s="157">
        <v>0</v>
      </c>
      <c r="E269" s="157">
        <v>0</v>
      </c>
      <c r="F269" s="157">
        <v>0</v>
      </c>
      <c r="G269" s="157">
        <v>93966.87</v>
      </c>
      <c r="H269" s="157">
        <v>15747.33</v>
      </c>
      <c r="I269" s="157">
        <v>11172.51</v>
      </c>
      <c r="J269" s="157">
        <v>25758.84</v>
      </c>
      <c r="K269" s="157">
        <v>0</v>
      </c>
      <c r="L269" s="157">
        <v>1965.53</v>
      </c>
      <c r="M269" s="157">
        <v>131484.99</v>
      </c>
      <c r="N269" s="264">
        <v>3.7199999999999997E-2</v>
      </c>
      <c r="O269" s="265">
        <v>0.25740000000000002</v>
      </c>
      <c r="P269" s="157">
        <v>0</v>
      </c>
      <c r="Q269" s="396">
        <v>0</v>
      </c>
      <c r="R269" s="396">
        <v>0</v>
      </c>
      <c r="S269" s="397">
        <v>0</v>
      </c>
      <c r="T269" s="397">
        <v>0</v>
      </c>
      <c r="U269" s="397">
        <v>0</v>
      </c>
      <c r="V269" s="157">
        <v>0</v>
      </c>
      <c r="W269" s="397">
        <v>0</v>
      </c>
      <c r="X269" s="397">
        <v>0</v>
      </c>
      <c r="Y269" s="157">
        <v>0</v>
      </c>
      <c r="Z269" s="157">
        <v>0</v>
      </c>
      <c r="AA269" s="157">
        <v>0</v>
      </c>
      <c r="AB269" s="157">
        <v>0</v>
      </c>
      <c r="AC269" s="157">
        <v>56315.06</v>
      </c>
      <c r="AD269" s="157">
        <v>6.27</v>
      </c>
      <c r="AE269" s="157">
        <v>54025</v>
      </c>
      <c r="AF269" s="398">
        <f t="shared" si="66"/>
        <v>8616.4274322169058</v>
      </c>
      <c r="AG269" s="398">
        <f t="shared" si="67"/>
        <v>8981.6682615629979</v>
      </c>
      <c r="AH269" s="399">
        <f t="shared" si="68"/>
        <v>365.24</v>
      </c>
      <c r="AI269" s="157">
        <v>0</v>
      </c>
      <c r="AJ269" s="157">
        <v>0</v>
      </c>
      <c r="AK269" s="398">
        <f t="shared" si="69"/>
        <v>0</v>
      </c>
      <c r="AL269" s="398">
        <f t="shared" si="70"/>
        <v>0</v>
      </c>
      <c r="AM269" s="399">
        <f t="shared" si="71"/>
        <v>0</v>
      </c>
      <c r="AN269" s="397">
        <v>0.35</v>
      </c>
      <c r="AO269" s="397">
        <v>0</v>
      </c>
      <c r="AP269" s="46"/>
      <c r="AQ269" s="402">
        <v>12098.07</v>
      </c>
      <c r="AR269" s="274">
        <v>18956.64</v>
      </c>
      <c r="AS269" s="413">
        <v>12137.23</v>
      </c>
      <c r="AX269" s="2"/>
      <c r="BA269" s="342"/>
      <c r="BB269" s="342"/>
      <c r="BC269" s="342"/>
      <c r="BD269" s="386"/>
      <c r="BE269" s="386"/>
      <c r="BF269" s="386"/>
      <c r="BG269" s="386"/>
      <c r="BH269" s="386"/>
      <c r="BI269" s="386"/>
      <c r="BJ269" s="386"/>
      <c r="BK269" s="386"/>
      <c r="BL269" s="386"/>
      <c r="BM269" s="386"/>
      <c r="BN269" s="387"/>
      <c r="BO269" s="265"/>
      <c r="BP269" s="386"/>
      <c r="BQ269" s="388"/>
      <c r="BR269" s="388"/>
      <c r="BS269" s="389"/>
      <c r="BT269" s="389"/>
      <c r="BU269" s="389"/>
      <c r="BV269" s="386"/>
      <c r="BW269" s="389"/>
      <c r="BX269" s="389"/>
      <c r="BY269" s="386"/>
      <c r="BZ269" s="386"/>
      <c r="CA269" s="386"/>
      <c r="CB269" s="386"/>
      <c r="CC269" s="386"/>
      <c r="CD269" s="386"/>
      <c r="CE269" s="386"/>
      <c r="CF269" s="390"/>
      <c r="CG269" s="390"/>
      <c r="CH269" s="391"/>
      <c r="CI269" s="386"/>
      <c r="CJ269" s="386"/>
      <c r="CK269" s="390"/>
      <c r="CL269" s="390"/>
      <c r="CM269" s="391"/>
      <c r="CN269" s="389"/>
      <c r="CO269" s="389"/>
      <c r="CP269" s="135"/>
      <c r="CQ269" s="135"/>
      <c r="CR269" s="135"/>
      <c r="CS269" s="135"/>
      <c r="CT269" s="135"/>
      <c r="CU269" s="135"/>
    </row>
    <row r="270" spans="1:99">
      <c r="A270" s="342" t="s">
        <v>562</v>
      </c>
      <c r="B270" s="342" t="s">
        <v>561</v>
      </c>
      <c r="C270" s="342" t="s">
        <v>1100</v>
      </c>
      <c r="D270" s="157">
        <v>0</v>
      </c>
      <c r="E270" s="157">
        <v>0</v>
      </c>
      <c r="F270" s="157">
        <v>0</v>
      </c>
      <c r="G270" s="157">
        <v>179493.26</v>
      </c>
      <c r="H270" s="157">
        <v>20017.23</v>
      </c>
      <c r="I270" s="157">
        <v>0</v>
      </c>
      <c r="J270" s="157">
        <v>40448.620000000003</v>
      </c>
      <c r="K270" s="157">
        <v>0</v>
      </c>
      <c r="L270" s="157">
        <v>4241.42</v>
      </c>
      <c r="M270" s="157">
        <v>318837.18</v>
      </c>
      <c r="N270" s="264">
        <v>4.5199999999999997E-2</v>
      </c>
      <c r="O270" s="265">
        <v>0.2271</v>
      </c>
      <c r="P270" s="157">
        <v>0</v>
      </c>
      <c r="Q270" s="396">
        <v>0</v>
      </c>
      <c r="R270" s="396">
        <v>0</v>
      </c>
      <c r="S270" s="397">
        <v>0</v>
      </c>
      <c r="T270" s="397">
        <v>0</v>
      </c>
      <c r="U270" s="397">
        <v>0</v>
      </c>
      <c r="V270" s="157">
        <v>0</v>
      </c>
      <c r="W270" s="397">
        <v>0</v>
      </c>
      <c r="X270" s="397">
        <v>0</v>
      </c>
      <c r="Y270" s="157">
        <v>166.91</v>
      </c>
      <c r="Z270" s="157">
        <v>0</v>
      </c>
      <c r="AA270" s="157">
        <v>0</v>
      </c>
      <c r="AB270" s="157">
        <v>0</v>
      </c>
      <c r="AC270" s="157">
        <v>84027.27</v>
      </c>
      <c r="AD270" s="157">
        <v>9.36</v>
      </c>
      <c r="AE270" s="157">
        <v>80383.740000000005</v>
      </c>
      <c r="AF270" s="398">
        <f t="shared" si="66"/>
        <v>8588.006410256412</v>
      </c>
      <c r="AG270" s="398">
        <f t="shared" si="67"/>
        <v>8977.2724358974374</v>
      </c>
      <c r="AH270" s="399">
        <f t="shared" si="68"/>
        <v>389.27</v>
      </c>
      <c r="AI270" s="157">
        <v>0</v>
      </c>
      <c r="AJ270" s="157">
        <v>0</v>
      </c>
      <c r="AK270" s="398">
        <f t="shared" si="69"/>
        <v>0</v>
      </c>
      <c r="AL270" s="398">
        <f t="shared" si="70"/>
        <v>0</v>
      </c>
      <c r="AM270" s="399">
        <f t="shared" si="71"/>
        <v>0</v>
      </c>
      <c r="AN270" s="397">
        <v>0</v>
      </c>
      <c r="AO270" s="397">
        <v>0</v>
      </c>
      <c r="AP270" s="46"/>
      <c r="AQ270" s="402">
        <v>2359.2000000000007</v>
      </c>
      <c r="AR270" s="274">
        <v>24425.62</v>
      </c>
      <c r="AS270" s="413">
        <v>14321.64</v>
      </c>
      <c r="AX270" s="2"/>
      <c r="BA270" s="342"/>
      <c r="BB270" s="342"/>
      <c r="BC270" s="342"/>
      <c r="BD270" s="386"/>
      <c r="BE270" s="386"/>
      <c r="BF270" s="386"/>
      <c r="BG270" s="386"/>
      <c r="BH270" s="386"/>
      <c r="BI270" s="386"/>
      <c r="BJ270" s="386"/>
      <c r="BK270" s="386"/>
      <c r="BL270" s="386"/>
      <c r="BM270" s="386"/>
      <c r="BN270" s="387"/>
      <c r="BO270" s="265"/>
      <c r="BP270" s="386"/>
      <c r="BQ270" s="388"/>
      <c r="BR270" s="388"/>
      <c r="BS270" s="389"/>
      <c r="BT270" s="389"/>
      <c r="BU270" s="389"/>
      <c r="BV270" s="386"/>
      <c r="BW270" s="389"/>
      <c r="BX270" s="389"/>
      <c r="BY270" s="386"/>
      <c r="BZ270" s="386"/>
      <c r="CA270" s="386"/>
      <c r="CB270" s="386"/>
      <c r="CC270" s="386"/>
      <c r="CD270" s="386"/>
      <c r="CE270" s="386"/>
      <c r="CF270" s="390"/>
      <c r="CG270" s="390"/>
      <c r="CH270" s="391"/>
      <c r="CI270" s="386"/>
      <c r="CJ270" s="386"/>
      <c r="CK270" s="390"/>
      <c r="CL270" s="390"/>
      <c r="CM270" s="391"/>
      <c r="CN270" s="389"/>
      <c r="CO270" s="389"/>
      <c r="CP270" s="135"/>
      <c r="CQ270" s="135"/>
      <c r="CR270" s="135"/>
      <c r="CS270" s="135"/>
      <c r="CT270" s="135"/>
      <c r="CU270" s="135"/>
    </row>
    <row r="271" spans="1:99">
      <c r="A271" s="342" t="s">
        <v>564</v>
      </c>
      <c r="B271" s="342" t="s">
        <v>563</v>
      </c>
      <c r="C271" s="342" t="s">
        <v>1101</v>
      </c>
      <c r="D271" s="157">
        <v>0</v>
      </c>
      <c r="E271" s="157">
        <v>18874.73</v>
      </c>
      <c r="F271" s="157">
        <v>0</v>
      </c>
      <c r="G271" s="157">
        <v>8293749.1399999997</v>
      </c>
      <c r="H271" s="157">
        <v>1647762.69</v>
      </c>
      <c r="I271" s="157">
        <v>0</v>
      </c>
      <c r="J271" s="157">
        <v>1032115.21</v>
      </c>
      <c r="K271" s="157">
        <v>265761.25</v>
      </c>
      <c r="L271" s="157">
        <v>163550</v>
      </c>
      <c r="M271" s="157">
        <v>3382400.7</v>
      </c>
      <c r="N271" s="264">
        <v>0.04</v>
      </c>
      <c r="O271" s="265">
        <v>0.14599999999999999</v>
      </c>
      <c r="P271" s="157">
        <v>0</v>
      </c>
      <c r="Q271" s="396">
        <v>0</v>
      </c>
      <c r="R271" s="396">
        <v>0</v>
      </c>
      <c r="S271" s="397">
        <v>0</v>
      </c>
      <c r="T271" s="397">
        <v>0</v>
      </c>
      <c r="U271" s="397">
        <v>0</v>
      </c>
      <c r="V271" s="157">
        <v>0</v>
      </c>
      <c r="W271" s="397">
        <v>0</v>
      </c>
      <c r="X271" s="397">
        <v>0</v>
      </c>
      <c r="Y271" s="157">
        <v>5426.8</v>
      </c>
      <c r="Z271" s="157">
        <v>0</v>
      </c>
      <c r="AA271" s="157">
        <v>27442.18</v>
      </c>
      <c r="AB271" s="157">
        <v>783818.5</v>
      </c>
      <c r="AC271" s="157">
        <v>3808319.92</v>
      </c>
      <c r="AD271" s="157">
        <v>369.84</v>
      </c>
      <c r="AE271" s="157">
        <v>3572561.18</v>
      </c>
      <c r="AF271" s="398">
        <f t="shared" si="66"/>
        <v>9659.7479450573228</v>
      </c>
      <c r="AG271" s="398">
        <f t="shared" si="67"/>
        <v>10297.209387843392</v>
      </c>
      <c r="AH271" s="399">
        <f t="shared" si="68"/>
        <v>637.46</v>
      </c>
      <c r="AI271" s="157">
        <v>77.44</v>
      </c>
      <c r="AJ271" s="157">
        <v>727765.41</v>
      </c>
      <c r="AK271" s="398">
        <f t="shared" si="69"/>
        <v>9397.7971332644629</v>
      </c>
      <c r="AL271" s="398">
        <f t="shared" si="70"/>
        <v>10121.623192148762</v>
      </c>
      <c r="AM271" s="399">
        <f t="shared" si="71"/>
        <v>723.83</v>
      </c>
      <c r="AN271" s="397">
        <v>0</v>
      </c>
      <c r="AO271" s="397">
        <v>0</v>
      </c>
      <c r="AP271" s="46"/>
      <c r="AQ271" s="402">
        <v>9.9999999511055648E-3</v>
      </c>
      <c r="AR271" s="274">
        <v>532344.94999999995</v>
      </c>
      <c r="AS271" s="413">
        <v>147103.39000000001</v>
      </c>
      <c r="AX271" s="2"/>
      <c r="BA271" s="342"/>
      <c r="BB271" s="342"/>
      <c r="BC271" s="342"/>
      <c r="BD271" s="386"/>
      <c r="BE271" s="386"/>
      <c r="BF271" s="386"/>
      <c r="BG271" s="386"/>
      <c r="BH271" s="386"/>
      <c r="BI271" s="386"/>
      <c r="BJ271" s="386"/>
      <c r="BK271" s="386"/>
      <c r="BL271" s="386"/>
      <c r="BM271" s="386"/>
      <c r="BN271" s="387"/>
      <c r="BO271" s="265"/>
      <c r="BP271" s="386"/>
      <c r="BQ271" s="388"/>
      <c r="BR271" s="388"/>
      <c r="BS271" s="389"/>
      <c r="BT271" s="389"/>
      <c r="BU271" s="389"/>
      <c r="BV271" s="386"/>
      <c r="BW271" s="389"/>
      <c r="BX271" s="389"/>
      <c r="BY271" s="386"/>
      <c r="BZ271" s="386"/>
      <c r="CA271" s="386"/>
      <c r="CB271" s="386"/>
      <c r="CC271" s="386"/>
      <c r="CD271" s="386"/>
      <c r="CE271" s="386"/>
      <c r="CF271" s="390"/>
      <c r="CG271" s="390"/>
      <c r="CH271" s="391"/>
      <c r="CI271" s="386"/>
      <c r="CJ271" s="386"/>
      <c r="CK271" s="390"/>
      <c r="CL271" s="390"/>
      <c r="CM271" s="391"/>
      <c r="CN271" s="389"/>
      <c r="CO271" s="389"/>
      <c r="CP271" s="135"/>
      <c r="CQ271" s="135"/>
      <c r="CR271" s="135"/>
      <c r="CS271" s="135"/>
      <c r="CT271" s="135"/>
      <c r="CU271" s="135"/>
    </row>
    <row r="272" spans="1:99">
      <c r="A272" s="342" t="s">
        <v>566</v>
      </c>
      <c r="B272" s="342" t="s">
        <v>565</v>
      </c>
      <c r="C272" s="342" t="s">
        <v>1102</v>
      </c>
      <c r="D272" s="157">
        <v>0</v>
      </c>
      <c r="E272" s="157">
        <v>0</v>
      </c>
      <c r="F272" s="157">
        <v>0</v>
      </c>
      <c r="G272" s="157">
        <v>10949.84</v>
      </c>
      <c r="H272" s="157">
        <v>0</v>
      </c>
      <c r="I272" s="157">
        <v>0</v>
      </c>
      <c r="J272" s="157">
        <v>0</v>
      </c>
      <c r="K272" s="157">
        <v>0</v>
      </c>
      <c r="L272" s="157">
        <v>0</v>
      </c>
      <c r="M272" s="157">
        <v>91506.89</v>
      </c>
      <c r="N272" s="264">
        <v>0</v>
      </c>
      <c r="O272" s="265">
        <v>0.31900000000000001</v>
      </c>
      <c r="P272" s="157">
        <v>0</v>
      </c>
      <c r="Q272" s="396">
        <v>0</v>
      </c>
      <c r="R272" s="396">
        <v>0</v>
      </c>
      <c r="S272" s="397">
        <v>0</v>
      </c>
      <c r="T272" s="397">
        <v>0</v>
      </c>
      <c r="U272" s="397">
        <v>0</v>
      </c>
      <c r="V272" s="157">
        <v>0</v>
      </c>
      <c r="W272" s="397">
        <v>0</v>
      </c>
      <c r="X272" s="397">
        <v>0</v>
      </c>
      <c r="Y272" s="157">
        <v>6.77</v>
      </c>
      <c r="Z272" s="157">
        <v>0</v>
      </c>
      <c r="AA272" s="157">
        <v>0</v>
      </c>
      <c r="AB272" s="157">
        <v>0</v>
      </c>
      <c r="AC272" s="157">
        <v>0</v>
      </c>
      <c r="AD272" s="157">
        <v>0</v>
      </c>
      <c r="AE272" s="157">
        <v>0</v>
      </c>
      <c r="AF272" s="398">
        <f t="shared" si="66"/>
        <v>0</v>
      </c>
      <c r="AG272" s="398">
        <f t="shared" si="67"/>
        <v>0</v>
      </c>
      <c r="AH272" s="399">
        <f t="shared" si="68"/>
        <v>0</v>
      </c>
      <c r="AI272" s="157">
        <v>0</v>
      </c>
      <c r="AJ272" s="157">
        <v>0</v>
      </c>
      <c r="AK272" s="398">
        <f t="shared" si="69"/>
        <v>0</v>
      </c>
      <c r="AL272" s="398">
        <f t="shared" si="70"/>
        <v>0</v>
      </c>
      <c r="AM272" s="399">
        <f t="shared" si="71"/>
        <v>0</v>
      </c>
      <c r="AN272" s="397">
        <v>0</v>
      </c>
      <c r="AO272" s="397">
        <v>0</v>
      </c>
      <c r="AP272" s="46"/>
      <c r="AQ272" s="402">
        <v>5732.67</v>
      </c>
      <c r="AR272" s="274">
        <v>3056.14</v>
      </c>
      <c r="AS272" s="413"/>
      <c r="AX272" s="2"/>
      <c r="BA272" s="342"/>
      <c r="BB272" s="342"/>
      <c r="BC272" s="342"/>
      <c r="BD272" s="386"/>
      <c r="BE272" s="386"/>
      <c r="BF272" s="386"/>
      <c r="BG272" s="386"/>
      <c r="BH272" s="386"/>
      <c r="BI272" s="386"/>
      <c r="BJ272" s="386"/>
      <c r="BK272" s="386"/>
      <c r="BL272" s="386"/>
      <c r="BM272" s="386"/>
      <c r="BN272" s="387"/>
      <c r="BO272" s="265"/>
      <c r="BP272" s="386"/>
      <c r="BQ272" s="388"/>
      <c r="BR272" s="388"/>
      <c r="BS272" s="389"/>
      <c r="BT272" s="389"/>
      <c r="BU272" s="389"/>
      <c r="BV272" s="386"/>
      <c r="BW272" s="389"/>
      <c r="BX272" s="389"/>
      <c r="BY272" s="386"/>
      <c r="BZ272" s="386"/>
      <c r="CA272" s="386"/>
      <c r="CB272" s="386"/>
      <c r="CC272" s="386"/>
      <c r="CD272" s="386"/>
      <c r="CE272" s="386"/>
      <c r="CF272" s="390"/>
      <c r="CG272" s="390"/>
      <c r="CH272" s="391"/>
      <c r="CI272" s="386"/>
      <c r="CJ272" s="386"/>
      <c r="CK272" s="390"/>
      <c r="CL272" s="390"/>
      <c r="CM272" s="391"/>
      <c r="CN272" s="389"/>
      <c r="CO272" s="389"/>
      <c r="CP272" s="135"/>
      <c r="CQ272" s="135"/>
      <c r="CR272" s="135"/>
      <c r="CS272" s="135"/>
      <c r="CT272" s="135"/>
      <c r="CU272" s="135"/>
    </row>
    <row r="273" spans="1:99">
      <c r="A273" s="342" t="s">
        <v>568</v>
      </c>
      <c r="B273" s="342" t="s">
        <v>567</v>
      </c>
      <c r="C273" s="342" t="s">
        <v>1103</v>
      </c>
      <c r="D273" s="157">
        <v>0</v>
      </c>
      <c r="E273" s="157">
        <v>0</v>
      </c>
      <c r="F273" s="157">
        <v>0</v>
      </c>
      <c r="G273" s="157">
        <v>521486.72</v>
      </c>
      <c r="H273" s="157">
        <v>40017.769999999997</v>
      </c>
      <c r="I273" s="157">
        <v>8275.93</v>
      </c>
      <c r="J273" s="157">
        <v>174311.79</v>
      </c>
      <c r="K273" s="157">
        <v>0</v>
      </c>
      <c r="L273" s="157">
        <v>0</v>
      </c>
      <c r="M273" s="157">
        <v>73211.02</v>
      </c>
      <c r="N273" s="264">
        <v>0.12809999999999999</v>
      </c>
      <c r="O273" s="265">
        <v>0.30280000000000001</v>
      </c>
      <c r="P273" s="157">
        <v>0</v>
      </c>
      <c r="Q273" s="396">
        <v>0</v>
      </c>
      <c r="R273" s="396">
        <v>0</v>
      </c>
      <c r="S273" s="397">
        <v>0</v>
      </c>
      <c r="T273" s="397">
        <v>0</v>
      </c>
      <c r="U273" s="397">
        <v>0</v>
      </c>
      <c r="V273" s="157">
        <v>0</v>
      </c>
      <c r="W273" s="397">
        <v>0</v>
      </c>
      <c r="X273" s="397">
        <v>0</v>
      </c>
      <c r="Y273" s="157">
        <v>22.56</v>
      </c>
      <c r="Z273" s="157">
        <v>0</v>
      </c>
      <c r="AA273" s="157">
        <v>0</v>
      </c>
      <c r="AB273" s="157">
        <v>0</v>
      </c>
      <c r="AC273" s="157">
        <v>0</v>
      </c>
      <c r="AD273" s="157">
        <v>0</v>
      </c>
      <c r="AE273" s="157">
        <v>0</v>
      </c>
      <c r="AF273" s="398">
        <f t="shared" si="66"/>
        <v>0</v>
      </c>
      <c r="AG273" s="398">
        <f t="shared" si="67"/>
        <v>0</v>
      </c>
      <c r="AH273" s="399">
        <f t="shared" si="68"/>
        <v>0</v>
      </c>
      <c r="AI273" s="157">
        <v>0</v>
      </c>
      <c r="AJ273" s="157">
        <v>0</v>
      </c>
      <c r="AK273" s="398">
        <f t="shared" si="69"/>
        <v>0</v>
      </c>
      <c r="AL273" s="398">
        <f t="shared" si="70"/>
        <v>0</v>
      </c>
      <c r="AM273" s="399">
        <f t="shared" si="71"/>
        <v>0</v>
      </c>
      <c r="AN273" s="397">
        <v>0</v>
      </c>
      <c r="AO273" s="397">
        <v>0</v>
      </c>
      <c r="AP273" s="46"/>
      <c r="AQ273" s="402">
        <v>15544.409999999998</v>
      </c>
      <c r="AR273" s="274">
        <v>15594.35</v>
      </c>
      <c r="AS273" s="413">
        <v>10782.04</v>
      </c>
      <c r="AX273" s="2"/>
      <c r="BA273" s="342"/>
      <c r="BB273" s="342"/>
      <c r="BC273" s="342"/>
      <c r="BD273" s="386"/>
      <c r="BE273" s="386"/>
      <c r="BF273" s="386"/>
      <c r="BG273" s="386"/>
      <c r="BH273" s="386"/>
      <c r="BI273" s="386"/>
      <c r="BJ273" s="386"/>
      <c r="BK273" s="386"/>
      <c r="BL273" s="386"/>
      <c r="BM273" s="386"/>
      <c r="BN273" s="387"/>
      <c r="BO273" s="265"/>
      <c r="BP273" s="386"/>
      <c r="BQ273" s="388"/>
      <c r="BR273" s="388"/>
      <c r="BS273" s="389"/>
      <c r="BT273" s="389"/>
      <c r="BU273" s="389"/>
      <c r="BV273" s="386"/>
      <c r="BW273" s="389"/>
      <c r="BX273" s="389"/>
      <c r="BY273" s="386"/>
      <c r="BZ273" s="386"/>
      <c r="CA273" s="386"/>
      <c r="CB273" s="386"/>
      <c r="CC273" s="386"/>
      <c r="CD273" s="386"/>
      <c r="CE273" s="386"/>
      <c r="CF273" s="390"/>
      <c r="CG273" s="390"/>
      <c r="CH273" s="391"/>
      <c r="CI273" s="386"/>
      <c r="CJ273" s="386"/>
      <c r="CK273" s="390"/>
      <c r="CL273" s="390"/>
      <c r="CM273" s="391"/>
      <c r="CN273" s="389"/>
      <c r="CO273" s="389"/>
      <c r="CP273" s="135"/>
      <c r="CQ273" s="135"/>
      <c r="CR273" s="135"/>
      <c r="CS273" s="135"/>
      <c r="CT273" s="135"/>
      <c r="CU273" s="135"/>
    </row>
    <row r="274" spans="1:99">
      <c r="A274" s="342" t="s">
        <v>570</v>
      </c>
      <c r="B274" s="342" t="s">
        <v>569</v>
      </c>
      <c r="C274" s="342" t="s">
        <v>1104</v>
      </c>
      <c r="D274" s="157">
        <v>0</v>
      </c>
      <c r="E274" s="157">
        <v>0</v>
      </c>
      <c r="F274" s="157">
        <v>0</v>
      </c>
      <c r="G274" s="157">
        <v>0</v>
      </c>
      <c r="H274" s="157">
        <v>0</v>
      </c>
      <c r="I274" s="157">
        <v>0</v>
      </c>
      <c r="J274" s="157">
        <v>0</v>
      </c>
      <c r="K274" s="157">
        <v>0</v>
      </c>
      <c r="L274" s="157">
        <v>0</v>
      </c>
      <c r="M274" s="157">
        <v>0</v>
      </c>
      <c r="N274" s="264">
        <v>0.27710000000000001</v>
      </c>
      <c r="O274" s="265">
        <v>0.73470000000000002</v>
      </c>
      <c r="P274" s="157">
        <v>0</v>
      </c>
      <c r="Q274" s="396">
        <v>0</v>
      </c>
      <c r="R274" s="396">
        <v>0</v>
      </c>
      <c r="S274" s="397">
        <v>0</v>
      </c>
      <c r="T274" s="397">
        <v>0</v>
      </c>
      <c r="U274" s="397">
        <v>0</v>
      </c>
      <c r="V274" s="157">
        <v>0</v>
      </c>
      <c r="W274" s="397">
        <v>0</v>
      </c>
      <c r="X274" s="397">
        <v>0</v>
      </c>
      <c r="Y274" s="157">
        <v>0</v>
      </c>
      <c r="Z274" s="157">
        <v>0</v>
      </c>
      <c r="AA274" s="157">
        <v>0</v>
      </c>
      <c r="AB274" s="157">
        <v>0</v>
      </c>
      <c r="AC274" s="157">
        <v>0</v>
      </c>
      <c r="AD274" s="157">
        <v>0</v>
      </c>
      <c r="AE274" s="157">
        <v>0</v>
      </c>
      <c r="AF274" s="398">
        <f t="shared" si="66"/>
        <v>0</v>
      </c>
      <c r="AG274" s="398">
        <f t="shared" si="67"/>
        <v>0</v>
      </c>
      <c r="AH274" s="399">
        <f t="shared" si="68"/>
        <v>0</v>
      </c>
      <c r="AI274" s="157">
        <v>0</v>
      </c>
      <c r="AJ274" s="157">
        <v>0</v>
      </c>
      <c r="AK274" s="398">
        <f t="shared" si="69"/>
        <v>0</v>
      </c>
      <c r="AL274" s="398">
        <f t="shared" si="70"/>
        <v>0</v>
      </c>
      <c r="AM274" s="399">
        <f t="shared" si="71"/>
        <v>0</v>
      </c>
      <c r="AN274" s="397">
        <v>0</v>
      </c>
      <c r="AO274" s="397">
        <v>0</v>
      </c>
      <c r="AP274" s="46"/>
      <c r="AQ274" s="402">
        <v>9163.0600000000013</v>
      </c>
      <c r="AR274" s="274">
        <v>3250.33</v>
      </c>
      <c r="AS274" s="413"/>
      <c r="AX274" s="2"/>
      <c r="BA274" s="342"/>
      <c r="BB274" s="342"/>
      <c r="BC274" s="342"/>
      <c r="BD274" s="386"/>
      <c r="BE274" s="386"/>
      <c r="BF274" s="386"/>
      <c r="BG274" s="386"/>
      <c r="BH274" s="386"/>
      <c r="BI274" s="386"/>
      <c r="BJ274" s="386"/>
      <c r="BK274" s="386"/>
      <c r="BL274" s="386"/>
      <c r="BM274" s="386"/>
      <c r="BN274" s="387"/>
      <c r="BO274" s="265"/>
      <c r="BP274" s="386"/>
      <c r="BQ274" s="388"/>
      <c r="BR274" s="388"/>
      <c r="BS274" s="389"/>
      <c r="BT274" s="389"/>
      <c r="BU274" s="389"/>
      <c r="BV274" s="386"/>
      <c r="BW274" s="389"/>
      <c r="BX274" s="389"/>
      <c r="BY274" s="386"/>
      <c r="BZ274" s="386"/>
      <c r="CA274" s="386"/>
      <c r="CB274" s="386"/>
      <c r="CC274" s="386"/>
      <c r="CD274" s="386"/>
      <c r="CE274" s="386"/>
      <c r="CF274" s="390"/>
      <c r="CG274" s="390"/>
      <c r="CH274" s="391"/>
      <c r="CI274" s="386"/>
      <c r="CJ274" s="386"/>
      <c r="CK274" s="390"/>
      <c r="CL274" s="390"/>
      <c r="CM274" s="391"/>
      <c r="CN274" s="389"/>
      <c r="CO274" s="389"/>
      <c r="CP274" s="135"/>
      <c r="CQ274" s="135"/>
      <c r="CR274" s="135"/>
      <c r="CS274" s="135"/>
      <c r="CT274" s="135"/>
      <c r="CU274" s="135"/>
    </row>
    <row r="275" spans="1:99">
      <c r="A275" s="342" t="s">
        <v>572</v>
      </c>
      <c r="B275" s="342" t="s">
        <v>571</v>
      </c>
      <c r="C275" s="342" t="s">
        <v>1105</v>
      </c>
      <c r="D275" s="157">
        <v>0</v>
      </c>
      <c r="E275" s="157">
        <v>0</v>
      </c>
      <c r="F275" s="157">
        <v>0</v>
      </c>
      <c r="G275" s="157">
        <v>4511690.8600000003</v>
      </c>
      <c r="H275" s="157">
        <v>782396.39</v>
      </c>
      <c r="I275" s="157">
        <v>5096.4399999999996</v>
      </c>
      <c r="J275" s="157">
        <v>496796.89</v>
      </c>
      <c r="K275" s="157">
        <v>212839.25</v>
      </c>
      <c r="L275" s="157">
        <v>93859.47</v>
      </c>
      <c r="M275" s="157">
        <v>2696688.29</v>
      </c>
      <c r="N275" s="264">
        <v>1.3100000000000001E-2</v>
      </c>
      <c r="O275" s="265">
        <v>0.192</v>
      </c>
      <c r="P275" s="157">
        <v>0</v>
      </c>
      <c r="Q275" s="396">
        <v>0</v>
      </c>
      <c r="R275" s="396">
        <v>0</v>
      </c>
      <c r="S275" s="397">
        <v>0</v>
      </c>
      <c r="T275" s="397">
        <v>0</v>
      </c>
      <c r="U275" s="397">
        <v>0</v>
      </c>
      <c r="V275" s="157">
        <v>0</v>
      </c>
      <c r="W275" s="397">
        <v>0</v>
      </c>
      <c r="X275" s="397">
        <v>0</v>
      </c>
      <c r="Y275" s="157">
        <v>3518.62</v>
      </c>
      <c r="Z275" s="157">
        <v>15461.2</v>
      </c>
      <c r="AA275" s="157">
        <v>150979.69</v>
      </c>
      <c r="AB275" s="157">
        <v>180327.41</v>
      </c>
      <c r="AC275" s="157">
        <v>2224177.19</v>
      </c>
      <c r="AD275" s="157">
        <v>235.41</v>
      </c>
      <c r="AE275" s="157">
        <v>2064481.27</v>
      </c>
      <c r="AF275" s="398">
        <f t="shared" si="66"/>
        <v>8769.7263072936585</v>
      </c>
      <c r="AG275" s="398">
        <f t="shared" si="67"/>
        <v>9448.0998683148555</v>
      </c>
      <c r="AH275" s="399">
        <f t="shared" si="68"/>
        <v>678.37</v>
      </c>
      <c r="AI275" s="157">
        <v>19.68</v>
      </c>
      <c r="AJ275" s="157">
        <v>167551.82</v>
      </c>
      <c r="AK275" s="398">
        <f t="shared" si="69"/>
        <v>8513.8119918699194</v>
      </c>
      <c r="AL275" s="398">
        <f t="shared" si="70"/>
        <v>9162.9781504065049</v>
      </c>
      <c r="AM275" s="399">
        <f t="shared" si="71"/>
        <v>649.16999999999996</v>
      </c>
      <c r="AN275" s="397">
        <v>0</v>
      </c>
      <c r="AO275" s="397">
        <v>0</v>
      </c>
      <c r="AP275" s="46"/>
      <c r="AQ275" s="402">
        <v>5.9999999997671694E-2</v>
      </c>
      <c r="AR275" s="274">
        <v>301901.27999999997</v>
      </c>
      <c r="AS275" s="413">
        <v>104343.32</v>
      </c>
      <c r="AX275" s="2"/>
      <c r="BA275" s="342"/>
      <c r="BB275" s="342"/>
      <c r="BC275" s="342"/>
      <c r="BD275" s="386"/>
      <c r="BE275" s="386"/>
      <c r="BF275" s="386"/>
      <c r="BG275" s="386"/>
      <c r="BH275" s="386"/>
      <c r="BI275" s="386"/>
      <c r="BJ275" s="386"/>
      <c r="BK275" s="386"/>
      <c r="BL275" s="386"/>
      <c r="BM275" s="386"/>
      <c r="BN275" s="387"/>
      <c r="BO275" s="265"/>
      <c r="BP275" s="386"/>
      <c r="BQ275" s="388"/>
      <c r="BR275" s="388"/>
      <c r="BS275" s="389"/>
      <c r="BT275" s="389"/>
      <c r="BU275" s="389"/>
      <c r="BV275" s="386"/>
      <c r="BW275" s="389"/>
      <c r="BX275" s="389"/>
      <c r="BY275" s="386"/>
      <c r="BZ275" s="386"/>
      <c r="CA275" s="386"/>
      <c r="CB275" s="386"/>
      <c r="CC275" s="386"/>
      <c r="CD275" s="386"/>
      <c r="CE275" s="386"/>
      <c r="CF275" s="390"/>
      <c r="CG275" s="390"/>
      <c r="CH275" s="391"/>
      <c r="CI275" s="386"/>
      <c r="CJ275" s="386"/>
      <c r="CK275" s="390"/>
      <c r="CL275" s="390"/>
      <c r="CM275" s="391"/>
      <c r="CN275" s="389"/>
      <c r="CO275" s="389"/>
      <c r="CP275" s="135"/>
      <c r="CQ275" s="135"/>
      <c r="CR275" s="135"/>
      <c r="CS275" s="135"/>
      <c r="CT275" s="135"/>
      <c r="CU275" s="135"/>
    </row>
    <row r="276" spans="1:99">
      <c r="A276" s="342" t="s">
        <v>574</v>
      </c>
      <c r="B276" s="342" t="s">
        <v>573</v>
      </c>
      <c r="C276" s="342" t="s">
        <v>1106</v>
      </c>
      <c r="D276" s="157">
        <v>0</v>
      </c>
      <c r="E276" s="157">
        <v>0</v>
      </c>
      <c r="F276" s="157">
        <v>0</v>
      </c>
      <c r="G276" s="157">
        <v>44034.64</v>
      </c>
      <c r="H276" s="157">
        <v>3155.38</v>
      </c>
      <c r="I276" s="157">
        <v>0</v>
      </c>
      <c r="J276" s="157">
        <v>0</v>
      </c>
      <c r="K276" s="157">
        <v>0</v>
      </c>
      <c r="L276" s="157">
        <v>0</v>
      </c>
      <c r="M276" s="157">
        <v>86031.22</v>
      </c>
      <c r="N276" s="264">
        <v>0.1081</v>
      </c>
      <c r="O276" s="265">
        <v>0.28849999999999998</v>
      </c>
      <c r="P276" s="157">
        <v>0</v>
      </c>
      <c r="Q276" s="396">
        <v>0</v>
      </c>
      <c r="R276" s="396">
        <v>0</v>
      </c>
      <c r="S276" s="397">
        <v>0</v>
      </c>
      <c r="T276" s="397">
        <v>0</v>
      </c>
      <c r="U276" s="397">
        <v>0</v>
      </c>
      <c r="V276" s="157">
        <v>0</v>
      </c>
      <c r="W276" s="397">
        <v>0</v>
      </c>
      <c r="X276" s="397">
        <v>0</v>
      </c>
      <c r="Y276" s="157">
        <v>41.73</v>
      </c>
      <c r="Z276" s="157">
        <v>0</v>
      </c>
      <c r="AA276" s="157">
        <v>0</v>
      </c>
      <c r="AB276" s="157">
        <v>0</v>
      </c>
      <c r="AC276" s="157">
        <v>0</v>
      </c>
      <c r="AD276" s="157">
        <v>0</v>
      </c>
      <c r="AE276" s="157">
        <v>0</v>
      </c>
      <c r="AF276" s="398">
        <f t="shared" si="66"/>
        <v>0</v>
      </c>
      <c r="AG276" s="398">
        <f t="shared" si="67"/>
        <v>0</v>
      </c>
      <c r="AH276" s="399">
        <f t="shared" si="68"/>
        <v>0</v>
      </c>
      <c r="AI276" s="157">
        <v>0</v>
      </c>
      <c r="AJ276" s="157">
        <v>0</v>
      </c>
      <c r="AK276" s="398">
        <f t="shared" si="69"/>
        <v>0</v>
      </c>
      <c r="AL276" s="398">
        <f t="shared" si="70"/>
        <v>0</v>
      </c>
      <c r="AM276" s="399">
        <f t="shared" si="71"/>
        <v>0</v>
      </c>
      <c r="AN276" s="397">
        <v>0</v>
      </c>
      <c r="AO276" s="397">
        <v>0</v>
      </c>
      <c r="AP276" s="46"/>
      <c r="AQ276" s="402">
        <v>10077.57</v>
      </c>
      <c r="AR276" s="274">
        <v>5856.4000000000005</v>
      </c>
      <c r="AS276" s="413"/>
      <c r="AX276" s="2"/>
      <c r="BA276" s="342"/>
      <c r="BB276" s="342"/>
      <c r="BC276" s="342"/>
      <c r="BD276" s="386"/>
      <c r="BE276" s="386"/>
      <c r="BF276" s="386"/>
      <c r="BG276" s="386"/>
      <c r="BH276" s="386"/>
      <c r="BI276" s="386"/>
      <c r="BJ276" s="386"/>
      <c r="BK276" s="386"/>
      <c r="BL276" s="386"/>
      <c r="BM276" s="386"/>
      <c r="BN276" s="387"/>
      <c r="BO276" s="265"/>
      <c r="BP276" s="386"/>
      <c r="BQ276" s="388"/>
      <c r="BR276" s="388"/>
      <c r="BS276" s="389"/>
      <c r="BT276" s="389"/>
      <c r="BU276" s="389"/>
      <c r="BV276" s="386"/>
      <c r="BW276" s="389"/>
      <c r="BX276" s="389"/>
      <c r="BY276" s="386"/>
      <c r="BZ276" s="386"/>
      <c r="CA276" s="386"/>
      <c r="CB276" s="386"/>
      <c r="CC276" s="386"/>
      <c r="CD276" s="386"/>
      <c r="CE276" s="386"/>
      <c r="CF276" s="390"/>
      <c r="CG276" s="390"/>
      <c r="CH276" s="391"/>
      <c r="CI276" s="386"/>
      <c r="CJ276" s="386"/>
      <c r="CK276" s="390"/>
      <c r="CL276" s="390"/>
      <c r="CM276" s="391"/>
      <c r="CN276" s="389"/>
      <c r="CO276" s="389"/>
      <c r="CP276" s="135"/>
      <c r="CQ276" s="135"/>
      <c r="CR276" s="135"/>
      <c r="CS276" s="135"/>
      <c r="CT276" s="135"/>
      <c r="CU276" s="135"/>
    </row>
    <row r="277" spans="1:99">
      <c r="A277" s="342" t="s">
        <v>576</v>
      </c>
      <c r="B277" s="342" t="s">
        <v>575</v>
      </c>
      <c r="C277" s="342" t="s">
        <v>1107</v>
      </c>
      <c r="D277" s="157">
        <v>0</v>
      </c>
      <c r="E277" s="157">
        <v>25091.97</v>
      </c>
      <c r="F277" s="157">
        <v>14491.84</v>
      </c>
      <c r="G277" s="157">
        <v>0</v>
      </c>
      <c r="H277" s="157">
        <v>0</v>
      </c>
      <c r="I277" s="157">
        <v>237002</v>
      </c>
      <c r="J277" s="157">
        <v>268347.07</v>
      </c>
      <c r="K277" s="157">
        <v>28015.19</v>
      </c>
      <c r="L277" s="157">
        <v>24310.55</v>
      </c>
      <c r="M277" s="157">
        <v>815515.53</v>
      </c>
      <c r="N277" s="264">
        <v>6.0400000000000002E-2</v>
      </c>
      <c r="O277" s="265">
        <v>0.2094</v>
      </c>
      <c r="P277" s="157">
        <v>0</v>
      </c>
      <c r="Q277" s="396">
        <v>0</v>
      </c>
      <c r="R277" s="396">
        <v>0</v>
      </c>
      <c r="S277" s="397">
        <v>0</v>
      </c>
      <c r="T277" s="397">
        <v>0</v>
      </c>
      <c r="U277" s="397">
        <v>0</v>
      </c>
      <c r="V277" s="157">
        <v>0</v>
      </c>
      <c r="W277" s="397">
        <v>0</v>
      </c>
      <c r="X277" s="397">
        <v>0</v>
      </c>
      <c r="Y277" s="157">
        <v>0</v>
      </c>
      <c r="Z277" s="157">
        <v>0</v>
      </c>
      <c r="AA277" s="157">
        <v>0</v>
      </c>
      <c r="AB277" s="157">
        <v>109699.26</v>
      </c>
      <c r="AC277" s="157">
        <v>279610.76</v>
      </c>
      <c r="AD277" s="157">
        <v>30.52</v>
      </c>
      <c r="AE277" s="157">
        <v>262247.12</v>
      </c>
      <c r="AF277" s="398">
        <f t="shared" si="66"/>
        <v>8592.6317169069462</v>
      </c>
      <c r="AG277" s="398">
        <f t="shared" si="67"/>
        <v>9161.5583224115344</v>
      </c>
      <c r="AH277" s="399">
        <f t="shared" si="68"/>
        <v>568.92999999999995</v>
      </c>
      <c r="AI277" s="157">
        <v>12.23</v>
      </c>
      <c r="AJ277" s="157">
        <v>101901.29</v>
      </c>
      <c r="AK277" s="398">
        <f t="shared" si="69"/>
        <v>8332.0760425183962</v>
      </c>
      <c r="AL277" s="398">
        <f t="shared" si="70"/>
        <v>8969.6860179885516</v>
      </c>
      <c r="AM277" s="399">
        <f t="shared" si="71"/>
        <v>637.61</v>
      </c>
      <c r="AN277" s="397">
        <v>0</v>
      </c>
      <c r="AO277" s="397">
        <v>494.47</v>
      </c>
      <c r="AP277" s="46"/>
      <c r="AQ277" s="402">
        <v>179830.56999999998</v>
      </c>
      <c r="AR277" s="274">
        <v>75277.670000000013</v>
      </c>
      <c r="AS277" s="413">
        <v>35053.899999999994</v>
      </c>
      <c r="AX277" s="2"/>
      <c r="BA277" s="342"/>
      <c r="BB277" s="342"/>
      <c r="BC277" s="342"/>
      <c r="BD277" s="386"/>
      <c r="BE277" s="386"/>
      <c r="BF277" s="386"/>
      <c r="BG277" s="386"/>
      <c r="BH277" s="386"/>
      <c r="BI277" s="386"/>
      <c r="BJ277" s="386"/>
      <c r="BK277" s="386"/>
      <c r="BL277" s="386"/>
      <c r="BM277" s="386"/>
      <c r="BN277" s="387"/>
      <c r="BO277" s="265"/>
      <c r="BP277" s="386"/>
      <c r="BQ277" s="388"/>
      <c r="BR277" s="388"/>
      <c r="BS277" s="389"/>
      <c r="BT277" s="389"/>
      <c r="BU277" s="389"/>
      <c r="BV277" s="386"/>
      <c r="BW277" s="389"/>
      <c r="BX277" s="389"/>
      <c r="BY277" s="386"/>
      <c r="BZ277" s="386"/>
      <c r="CA277" s="386"/>
      <c r="CB277" s="386"/>
      <c r="CC277" s="386"/>
      <c r="CD277" s="386"/>
      <c r="CE277" s="386"/>
      <c r="CF277" s="390"/>
      <c r="CG277" s="390"/>
      <c r="CH277" s="391"/>
      <c r="CI277" s="386"/>
      <c r="CJ277" s="386"/>
      <c r="CK277" s="390"/>
      <c r="CL277" s="390"/>
      <c r="CM277" s="391"/>
      <c r="CN277" s="389"/>
      <c r="CO277" s="389"/>
      <c r="CP277" s="135"/>
      <c r="CQ277" s="135"/>
      <c r="CR277" s="135"/>
      <c r="CS277" s="135"/>
      <c r="CT277" s="135"/>
      <c r="CU277" s="135"/>
    </row>
    <row r="278" spans="1:99">
      <c r="A278" s="342" t="s">
        <v>578</v>
      </c>
      <c r="B278" s="342" t="s">
        <v>577</v>
      </c>
      <c r="C278" s="342" t="s">
        <v>1108</v>
      </c>
      <c r="D278" s="157">
        <v>0</v>
      </c>
      <c r="E278" s="157">
        <v>69188.52</v>
      </c>
      <c r="F278" s="157">
        <v>39829.29</v>
      </c>
      <c r="G278" s="157">
        <v>3522769.22</v>
      </c>
      <c r="H278" s="157">
        <v>776440.49</v>
      </c>
      <c r="I278" s="157">
        <v>652123.14</v>
      </c>
      <c r="J278" s="157">
        <v>817460.26</v>
      </c>
      <c r="K278" s="157">
        <v>482806.95</v>
      </c>
      <c r="L278" s="157">
        <v>69729.13</v>
      </c>
      <c r="M278" s="157">
        <v>1774416.83</v>
      </c>
      <c r="N278" s="264">
        <v>4.9399999999999999E-2</v>
      </c>
      <c r="O278" s="265">
        <v>0.16220000000000001</v>
      </c>
      <c r="P278" s="157">
        <v>0</v>
      </c>
      <c r="Q278" s="396">
        <v>0</v>
      </c>
      <c r="R278" s="396">
        <v>0</v>
      </c>
      <c r="S278" s="397">
        <v>0</v>
      </c>
      <c r="T278" s="397">
        <v>0</v>
      </c>
      <c r="U278" s="397">
        <v>0</v>
      </c>
      <c r="V278" s="157">
        <v>0</v>
      </c>
      <c r="W278" s="397">
        <v>0</v>
      </c>
      <c r="X278" s="397">
        <v>0</v>
      </c>
      <c r="Y278" s="157">
        <v>2299.5100000000002</v>
      </c>
      <c r="Z278" s="157">
        <v>0</v>
      </c>
      <c r="AA278" s="157">
        <v>134793.16</v>
      </c>
      <c r="AB278" s="157">
        <v>0</v>
      </c>
      <c r="AC278" s="157">
        <v>1461199.94</v>
      </c>
      <c r="AD278" s="157">
        <v>143.25</v>
      </c>
      <c r="AE278" s="157">
        <v>1384605</v>
      </c>
      <c r="AF278" s="398">
        <f t="shared" si="66"/>
        <v>9665.6544502617799</v>
      </c>
      <c r="AG278" s="398">
        <f t="shared" si="67"/>
        <v>10200.348621291449</v>
      </c>
      <c r="AH278" s="399">
        <f t="shared" si="68"/>
        <v>534.69000000000005</v>
      </c>
      <c r="AI278" s="157">
        <v>0</v>
      </c>
      <c r="AJ278" s="157">
        <v>0</v>
      </c>
      <c r="AK278" s="398">
        <f t="shared" si="69"/>
        <v>0</v>
      </c>
      <c r="AL278" s="398">
        <f t="shared" si="70"/>
        <v>0</v>
      </c>
      <c r="AM278" s="399">
        <f t="shared" si="71"/>
        <v>0</v>
      </c>
      <c r="AN278" s="397">
        <v>0</v>
      </c>
      <c r="AO278" s="397">
        <v>0</v>
      </c>
      <c r="AP278" s="46"/>
      <c r="AQ278" s="402">
        <v>38294.949999999983</v>
      </c>
      <c r="AR278" s="274">
        <v>256532.2</v>
      </c>
      <c r="AS278" s="413">
        <v>70748.84</v>
      </c>
      <c r="AX278" s="2"/>
      <c r="BA278" s="342"/>
      <c r="BB278" s="342"/>
      <c r="BC278" s="342"/>
      <c r="BD278" s="386"/>
      <c r="BE278" s="386"/>
      <c r="BF278" s="386"/>
      <c r="BG278" s="386"/>
      <c r="BH278" s="386"/>
      <c r="BI278" s="386"/>
      <c r="BJ278" s="386"/>
      <c r="BK278" s="386"/>
      <c r="BL278" s="386"/>
      <c r="BM278" s="386"/>
      <c r="BN278" s="387"/>
      <c r="BO278" s="265"/>
      <c r="BP278" s="386"/>
      <c r="BQ278" s="388"/>
      <c r="BR278" s="388"/>
      <c r="BS278" s="389"/>
      <c r="BT278" s="389"/>
      <c r="BU278" s="389"/>
      <c r="BV278" s="386"/>
      <c r="BW278" s="389"/>
      <c r="BX278" s="389"/>
      <c r="BY278" s="386"/>
      <c r="BZ278" s="386"/>
      <c r="CA278" s="386"/>
      <c r="CB278" s="386"/>
      <c r="CC278" s="386"/>
      <c r="CD278" s="386"/>
      <c r="CE278" s="386"/>
      <c r="CF278" s="390"/>
      <c r="CG278" s="390"/>
      <c r="CH278" s="391"/>
      <c r="CI278" s="386"/>
      <c r="CJ278" s="386"/>
      <c r="CK278" s="390"/>
      <c r="CL278" s="390"/>
      <c r="CM278" s="391"/>
      <c r="CN278" s="389"/>
      <c r="CO278" s="389"/>
      <c r="CP278" s="135"/>
      <c r="CQ278" s="135"/>
      <c r="CR278" s="135"/>
      <c r="CS278" s="135"/>
      <c r="CT278" s="135"/>
      <c r="CU278" s="135"/>
    </row>
    <row r="279" spans="1:99">
      <c r="A279" s="342" t="s">
        <v>580</v>
      </c>
      <c r="B279" s="342" t="s">
        <v>579</v>
      </c>
      <c r="C279" s="342" t="s">
        <v>1109</v>
      </c>
      <c r="D279" s="157">
        <v>0</v>
      </c>
      <c r="E279" s="157">
        <v>0</v>
      </c>
      <c r="F279" s="157">
        <v>0</v>
      </c>
      <c r="G279" s="157">
        <v>99116.98</v>
      </c>
      <c r="H279" s="157">
        <v>20207.89</v>
      </c>
      <c r="I279" s="157">
        <v>21310.52</v>
      </c>
      <c r="J279" s="157">
        <v>39414.120000000003</v>
      </c>
      <c r="K279" s="157">
        <v>0</v>
      </c>
      <c r="L279" s="157">
        <v>2275.89</v>
      </c>
      <c r="M279" s="157">
        <v>0</v>
      </c>
      <c r="N279" s="264">
        <v>4.9700000000000001E-2</v>
      </c>
      <c r="O279" s="266">
        <v>0.29649999999999999</v>
      </c>
      <c r="P279" s="157">
        <v>0</v>
      </c>
      <c r="Q279" s="396">
        <v>0</v>
      </c>
      <c r="R279" s="396">
        <v>0</v>
      </c>
      <c r="S279" s="397">
        <v>0</v>
      </c>
      <c r="T279" s="397">
        <v>0</v>
      </c>
      <c r="U279" s="397">
        <v>0</v>
      </c>
      <c r="V279" s="157">
        <v>0</v>
      </c>
      <c r="W279" s="397">
        <v>0</v>
      </c>
      <c r="X279" s="397">
        <v>0</v>
      </c>
      <c r="Y279" s="157">
        <v>0</v>
      </c>
      <c r="Z279" s="157">
        <v>0</v>
      </c>
      <c r="AA279" s="157">
        <v>0</v>
      </c>
      <c r="AB279" s="157">
        <v>0</v>
      </c>
      <c r="AC279" s="157">
        <v>0</v>
      </c>
      <c r="AD279" s="157">
        <v>0</v>
      </c>
      <c r="AE279" s="157">
        <v>0</v>
      </c>
      <c r="AF279" s="398">
        <f t="shared" si="66"/>
        <v>0</v>
      </c>
      <c r="AG279" s="398">
        <f t="shared" si="67"/>
        <v>0</v>
      </c>
      <c r="AH279" s="399">
        <f t="shared" si="68"/>
        <v>0</v>
      </c>
      <c r="AI279" s="157">
        <v>0</v>
      </c>
      <c r="AJ279" s="157">
        <v>0</v>
      </c>
      <c r="AK279" s="398">
        <f t="shared" si="69"/>
        <v>0</v>
      </c>
      <c r="AL279" s="398">
        <f t="shared" si="70"/>
        <v>0</v>
      </c>
      <c r="AM279" s="399">
        <f t="shared" si="71"/>
        <v>0</v>
      </c>
      <c r="AN279" s="397">
        <v>0</v>
      </c>
      <c r="AO279" s="397">
        <v>0</v>
      </c>
      <c r="AP279" s="46"/>
      <c r="AQ279" s="402">
        <v>0</v>
      </c>
      <c r="AR279" s="274">
        <v>9771.33</v>
      </c>
      <c r="AS279" s="413">
        <v>12529.91</v>
      </c>
      <c r="AX279" s="2"/>
      <c r="BA279" s="342"/>
      <c r="BB279" s="342"/>
      <c r="BC279" s="342"/>
      <c r="BD279" s="386"/>
      <c r="BE279" s="386"/>
      <c r="BF279" s="386"/>
      <c r="BG279" s="386"/>
      <c r="BH279" s="386"/>
      <c r="BI279" s="386"/>
      <c r="BJ279" s="386"/>
      <c r="BK279" s="386"/>
      <c r="BL279" s="386"/>
      <c r="BM279" s="386"/>
      <c r="BN279" s="387"/>
      <c r="BO279" s="265"/>
      <c r="BP279" s="386"/>
      <c r="BQ279" s="388"/>
      <c r="BR279" s="388"/>
      <c r="BS279" s="389"/>
      <c r="BT279" s="389"/>
      <c r="BU279" s="389"/>
      <c r="BV279" s="386"/>
      <c r="BW279" s="389"/>
      <c r="BX279" s="389"/>
      <c r="BY279" s="386"/>
      <c r="BZ279" s="386"/>
      <c r="CA279" s="386"/>
      <c r="CB279" s="386"/>
      <c r="CC279" s="386"/>
      <c r="CD279" s="386"/>
      <c r="CE279" s="386"/>
      <c r="CF279" s="390"/>
      <c r="CG279" s="390"/>
      <c r="CH279" s="391"/>
      <c r="CI279" s="386"/>
      <c r="CJ279" s="386"/>
      <c r="CK279" s="390"/>
      <c r="CL279" s="390"/>
      <c r="CM279" s="391"/>
      <c r="CN279" s="389"/>
      <c r="CO279" s="389"/>
      <c r="CP279" s="135"/>
      <c r="CQ279" s="135"/>
      <c r="CR279" s="135"/>
      <c r="CS279" s="135"/>
      <c r="CT279" s="135"/>
      <c r="CU279" s="135"/>
    </row>
    <row r="280" spans="1:99">
      <c r="A280" s="342" t="s">
        <v>1110</v>
      </c>
      <c r="B280" s="343" t="s">
        <v>581</v>
      </c>
      <c r="C280" s="343" t="s">
        <v>1111</v>
      </c>
      <c r="D280" s="157">
        <v>0</v>
      </c>
      <c r="E280" s="157">
        <v>0</v>
      </c>
      <c r="F280" s="157">
        <v>0</v>
      </c>
      <c r="G280" s="157">
        <v>626448.4</v>
      </c>
      <c r="H280" s="157">
        <v>98687.51</v>
      </c>
      <c r="I280" s="157">
        <v>0</v>
      </c>
      <c r="J280" s="157">
        <v>130712.17</v>
      </c>
      <c r="K280" s="157">
        <v>143184.53</v>
      </c>
      <c r="L280" s="157">
        <v>16174.28</v>
      </c>
      <c r="M280" s="157">
        <v>523445.24</v>
      </c>
      <c r="N280" s="264">
        <v>0.08</v>
      </c>
      <c r="O280" s="265">
        <v>0.1</v>
      </c>
      <c r="P280" s="157">
        <v>0</v>
      </c>
      <c r="Q280" s="396">
        <v>0</v>
      </c>
      <c r="R280" s="396">
        <v>0</v>
      </c>
      <c r="S280" s="397">
        <v>0</v>
      </c>
      <c r="T280" s="397">
        <v>0</v>
      </c>
      <c r="U280" s="397">
        <v>0</v>
      </c>
      <c r="V280" s="157">
        <v>0</v>
      </c>
      <c r="W280" s="397">
        <v>0</v>
      </c>
      <c r="X280" s="397">
        <v>0</v>
      </c>
      <c r="Y280" s="157">
        <v>0</v>
      </c>
      <c r="Z280" s="157">
        <v>0</v>
      </c>
      <c r="AA280" s="157">
        <v>0</v>
      </c>
      <c r="AB280" s="157">
        <v>0</v>
      </c>
      <c r="AC280" s="157">
        <v>1052.08</v>
      </c>
      <c r="AD280" s="157">
        <v>0</v>
      </c>
      <c r="AE280" s="157">
        <v>0</v>
      </c>
      <c r="AF280" s="398">
        <f t="shared" si="66"/>
        <v>0</v>
      </c>
      <c r="AG280" s="398">
        <f t="shared" si="67"/>
        <v>0</v>
      </c>
      <c r="AH280" s="399">
        <f t="shared" si="68"/>
        <v>0</v>
      </c>
      <c r="AI280" s="157">
        <v>0</v>
      </c>
      <c r="AJ280" s="157">
        <v>0</v>
      </c>
      <c r="AK280" s="398">
        <f t="shared" si="69"/>
        <v>0</v>
      </c>
      <c r="AL280" s="398">
        <f t="shared" si="70"/>
        <v>0</v>
      </c>
      <c r="AM280" s="399">
        <f t="shared" si="71"/>
        <v>0</v>
      </c>
      <c r="AN280" s="397">
        <v>0</v>
      </c>
      <c r="AO280" s="397">
        <v>0</v>
      </c>
      <c r="AP280" s="46"/>
      <c r="AQ280" s="402">
        <v>55627.4</v>
      </c>
      <c r="AR280" s="274">
        <v>46259.96</v>
      </c>
      <c r="AS280" s="413">
        <v>24373.21</v>
      </c>
      <c r="AX280" s="2"/>
      <c r="BA280" s="342"/>
      <c r="BB280" s="342"/>
      <c r="BC280" s="342"/>
      <c r="BD280" s="386"/>
      <c r="BE280" s="386"/>
      <c r="BF280" s="386"/>
      <c r="BG280" s="386"/>
      <c r="BH280" s="386"/>
      <c r="BI280" s="386"/>
      <c r="BJ280" s="386"/>
      <c r="BK280" s="386"/>
      <c r="BL280" s="386"/>
      <c r="BM280" s="386"/>
      <c r="BN280" s="387"/>
      <c r="BO280" s="265"/>
      <c r="BP280" s="386"/>
      <c r="BQ280" s="388"/>
      <c r="BR280" s="388"/>
      <c r="BS280" s="389"/>
      <c r="BT280" s="389"/>
      <c r="BU280" s="389"/>
      <c r="BV280" s="386"/>
      <c r="BW280" s="389"/>
      <c r="BX280" s="389"/>
      <c r="BY280" s="386"/>
      <c r="BZ280" s="386"/>
      <c r="CA280" s="386"/>
      <c r="CB280" s="386"/>
      <c r="CC280" s="386"/>
      <c r="CD280" s="386"/>
      <c r="CE280" s="386"/>
      <c r="CF280" s="390"/>
      <c r="CG280" s="390"/>
      <c r="CH280" s="391"/>
      <c r="CI280" s="386"/>
      <c r="CJ280" s="386"/>
      <c r="CK280" s="390"/>
      <c r="CL280" s="390"/>
      <c r="CM280" s="391"/>
      <c r="CN280" s="389"/>
      <c r="CO280" s="389"/>
      <c r="CP280" s="135"/>
      <c r="CQ280" s="135"/>
      <c r="CR280" s="135"/>
      <c r="CS280" s="135"/>
      <c r="CT280" s="135"/>
      <c r="CU280" s="135"/>
    </row>
    <row r="281" spans="1:99">
      <c r="A281" s="342" t="s">
        <v>1112</v>
      </c>
      <c r="B281" s="343" t="s">
        <v>583</v>
      </c>
      <c r="C281" s="343" t="s">
        <v>1113</v>
      </c>
      <c r="D281" s="157">
        <v>0</v>
      </c>
      <c r="E281" s="157">
        <v>0</v>
      </c>
      <c r="F281" s="157">
        <v>0</v>
      </c>
      <c r="G281" s="157">
        <v>195375.71</v>
      </c>
      <c r="H281" s="157">
        <v>21471.759999999998</v>
      </c>
      <c r="I281" s="157">
        <v>59122.080000000002</v>
      </c>
      <c r="J281" s="157">
        <v>76161.13</v>
      </c>
      <c r="K281" s="157">
        <v>20533.73</v>
      </c>
      <c r="L281" s="157">
        <v>5031.66</v>
      </c>
      <c r="M281" s="157">
        <v>142493.68</v>
      </c>
      <c r="N281" s="264">
        <v>0.1346</v>
      </c>
      <c r="O281" s="265">
        <v>0.36520000000000002</v>
      </c>
      <c r="P281" s="157">
        <v>0</v>
      </c>
      <c r="Q281" s="396">
        <v>0</v>
      </c>
      <c r="R281" s="396">
        <v>0</v>
      </c>
      <c r="S281" s="397">
        <v>0</v>
      </c>
      <c r="T281" s="397">
        <v>0</v>
      </c>
      <c r="U281" s="397">
        <v>0</v>
      </c>
      <c r="V281" s="157">
        <v>0</v>
      </c>
      <c r="W281" s="397">
        <v>0</v>
      </c>
      <c r="X281" s="397">
        <v>0</v>
      </c>
      <c r="Y281" s="157">
        <v>0</v>
      </c>
      <c r="Z281" s="157">
        <v>0</v>
      </c>
      <c r="AA281" s="157">
        <v>0</v>
      </c>
      <c r="AB281" s="157">
        <v>0</v>
      </c>
      <c r="AC281" s="157">
        <v>0</v>
      </c>
      <c r="AD281" s="157">
        <v>0</v>
      </c>
      <c r="AE281" s="157">
        <v>0</v>
      </c>
      <c r="AF281" s="398">
        <f t="shared" si="66"/>
        <v>0</v>
      </c>
      <c r="AG281" s="398">
        <f t="shared" si="67"/>
        <v>0</v>
      </c>
      <c r="AH281" s="399">
        <f t="shared" si="68"/>
        <v>0</v>
      </c>
      <c r="AI281" s="157">
        <v>0</v>
      </c>
      <c r="AJ281" s="157">
        <v>0</v>
      </c>
      <c r="AK281" s="398">
        <f t="shared" si="69"/>
        <v>0</v>
      </c>
      <c r="AL281" s="398">
        <f t="shared" si="70"/>
        <v>0</v>
      </c>
      <c r="AM281" s="399">
        <f t="shared" si="71"/>
        <v>0</v>
      </c>
      <c r="AN281" s="397">
        <v>0</v>
      </c>
      <c r="AO281" s="397">
        <v>0</v>
      </c>
      <c r="AP281" s="46"/>
      <c r="AQ281" s="402">
        <v>27035.64</v>
      </c>
      <c r="AR281" s="274">
        <v>20866.95</v>
      </c>
      <c r="AS281" s="413">
        <v>15550.27</v>
      </c>
      <c r="AX281" s="2"/>
      <c r="BA281" s="342"/>
      <c r="BB281" s="342"/>
      <c r="BC281" s="342"/>
      <c r="BD281" s="386"/>
      <c r="BE281" s="386"/>
      <c r="BF281" s="386"/>
      <c r="BG281" s="386"/>
      <c r="BH281" s="386"/>
      <c r="BI281" s="386"/>
      <c r="BJ281" s="386"/>
      <c r="BK281" s="386"/>
      <c r="BL281" s="386"/>
      <c r="BM281" s="386"/>
      <c r="BN281" s="387"/>
      <c r="BO281" s="265"/>
      <c r="BP281" s="386"/>
      <c r="BQ281" s="388"/>
      <c r="BR281" s="388"/>
      <c r="BS281" s="389"/>
      <c r="BT281" s="389"/>
      <c r="BU281" s="389"/>
      <c r="BV281" s="386"/>
      <c r="BW281" s="389"/>
      <c r="BX281" s="389"/>
      <c r="BY281" s="386"/>
      <c r="BZ281" s="386"/>
      <c r="CA281" s="386"/>
      <c r="CB281" s="386"/>
      <c r="CC281" s="386"/>
      <c r="CD281" s="386"/>
      <c r="CE281" s="386"/>
      <c r="CF281" s="390"/>
      <c r="CG281" s="390"/>
      <c r="CH281" s="391"/>
      <c r="CI281" s="386"/>
      <c r="CJ281" s="386"/>
      <c r="CK281" s="390"/>
      <c r="CL281" s="390"/>
      <c r="CM281" s="391"/>
      <c r="CN281" s="389"/>
      <c r="CO281" s="389"/>
      <c r="CP281" s="135"/>
      <c r="CQ281" s="135"/>
      <c r="CR281" s="135"/>
      <c r="CS281" s="135"/>
      <c r="CT281" s="135"/>
      <c r="CU281" s="135"/>
    </row>
    <row r="282" spans="1:99">
      <c r="A282" s="342" t="s">
        <v>1114</v>
      </c>
      <c r="B282" s="343" t="s">
        <v>585</v>
      </c>
      <c r="C282" s="343" t="s">
        <v>1115</v>
      </c>
      <c r="D282" s="157">
        <v>0</v>
      </c>
      <c r="E282" s="157">
        <v>0</v>
      </c>
      <c r="F282" s="157">
        <v>0</v>
      </c>
      <c r="G282" s="157">
        <v>379340.46</v>
      </c>
      <c r="H282" s="157">
        <v>54735.74</v>
      </c>
      <c r="I282" s="157">
        <v>0</v>
      </c>
      <c r="J282" s="157">
        <v>73443.22</v>
      </c>
      <c r="K282" s="157">
        <v>73943.41</v>
      </c>
      <c r="L282" s="157">
        <v>8147.04</v>
      </c>
      <c r="M282" s="157">
        <v>289872.03999999998</v>
      </c>
      <c r="N282" s="264">
        <v>0.1638</v>
      </c>
      <c r="O282" s="266">
        <v>0.30520000000000003</v>
      </c>
      <c r="P282" s="157">
        <v>0</v>
      </c>
      <c r="Q282" s="396">
        <v>0</v>
      </c>
      <c r="R282" s="396">
        <v>0</v>
      </c>
      <c r="S282" s="397">
        <v>0</v>
      </c>
      <c r="T282" s="397">
        <v>0</v>
      </c>
      <c r="U282" s="397">
        <v>0</v>
      </c>
      <c r="V282" s="157">
        <v>0</v>
      </c>
      <c r="W282" s="397">
        <v>0</v>
      </c>
      <c r="X282" s="397">
        <v>0</v>
      </c>
      <c r="Y282" s="157">
        <v>0</v>
      </c>
      <c r="Z282" s="157">
        <v>0</v>
      </c>
      <c r="AA282" s="157">
        <v>0</v>
      </c>
      <c r="AB282" s="157">
        <v>0</v>
      </c>
      <c r="AC282" s="157">
        <v>2104.17</v>
      </c>
      <c r="AD282" s="157">
        <v>0</v>
      </c>
      <c r="AE282" s="157">
        <v>0</v>
      </c>
      <c r="AF282" s="398">
        <f t="shared" si="66"/>
        <v>0</v>
      </c>
      <c r="AG282" s="398">
        <f t="shared" si="67"/>
        <v>0</v>
      </c>
      <c r="AH282" s="399">
        <f t="shared" si="68"/>
        <v>0</v>
      </c>
      <c r="AI282" s="157">
        <v>0</v>
      </c>
      <c r="AJ282" s="157">
        <v>0</v>
      </c>
      <c r="AK282" s="398">
        <f t="shared" si="69"/>
        <v>0</v>
      </c>
      <c r="AL282" s="398">
        <f t="shared" si="70"/>
        <v>0</v>
      </c>
      <c r="AM282" s="399">
        <f t="shared" si="71"/>
        <v>0</v>
      </c>
      <c r="AN282" s="397">
        <v>0</v>
      </c>
      <c r="AO282" s="397">
        <v>0</v>
      </c>
      <c r="AP282" s="46"/>
      <c r="AQ282" s="402">
        <v>44134.939999999995</v>
      </c>
      <c r="AR282" s="274">
        <v>24868.440000000002</v>
      </c>
      <c r="AS282" s="413">
        <v>18510.54</v>
      </c>
      <c r="AX282" s="2"/>
      <c r="BA282" s="342"/>
      <c r="BB282" s="342"/>
      <c r="BC282" s="342"/>
      <c r="BD282" s="386"/>
      <c r="BE282" s="386"/>
      <c r="BF282" s="386"/>
      <c r="BG282" s="386"/>
      <c r="BH282" s="386"/>
      <c r="BI282" s="386"/>
      <c r="BJ282" s="386"/>
      <c r="BK282" s="386"/>
      <c r="BL282" s="386"/>
      <c r="BM282" s="386"/>
      <c r="BN282" s="387"/>
      <c r="BO282" s="265"/>
      <c r="BP282" s="386"/>
      <c r="BQ282" s="388"/>
      <c r="BR282" s="388"/>
      <c r="BS282" s="389"/>
      <c r="BT282" s="389"/>
      <c r="BU282" s="389"/>
      <c r="BV282" s="386"/>
      <c r="BW282" s="389"/>
      <c r="BX282" s="389"/>
      <c r="BY282" s="386"/>
      <c r="BZ282" s="386"/>
      <c r="CA282" s="386"/>
      <c r="CB282" s="386"/>
      <c r="CC282" s="386"/>
      <c r="CD282" s="386"/>
      <c r="CE282" s="386"/>
      <c r="CF282" s="390"/>
      <c r="CG282" s="390"/>
      <c r="CH282" s="391"/>
      <c r="CI282" s="386"/>
      <c r="CJ282" s="386"/>
      <c r="CK282" s="390"/>
      <c r="CL282" s="390"/>
      <c r="CM282" s="391"/>
      <c r="CN282" s="389"/>
      <c r="CO282" s="389"/>
      <c r="CP282" s="135"/>
      <c r="CQ282" s="135"/>
      <c r="CR282" s="135"/>
      <c r="CS282" s="135"/>
      <c r="CT282" s="135"/>
      <c r="CU282" s="135"/>
    </row>
    <row r="283" spans="1:99">
      <c r="A283" s="342" t="s">
        <v>1116</v>
      </c>
      <c r="B283" s="342" t="s">
        <v>587</v>
      </c>
      <c r="C283" s="342" t="s">
        <v>1117</v>
      </c>
      <c r="D283" s="157">
        <v>0</v>
      </c>
      <c r="E283" s="157">
        <v>62590.67</v>
      </c>
      <c r="F283" s="157">
        <v>10910.35</v>
      </c>
      <c r="G283" s="157">
        <v>14950880.93</v>
      </c>
      <c r="H283" s="157">
        <v>2795345.01</v>
      </c>
      <c r="I283" s="157">
        <v>141115.37</v>
      </c>
      <c r="J283" s="157">
        <v>2082194.97</v>
      </c>
      <c r="K283" s="157">
        <v>969461.2</v>
      </c>
      <c r="L283" s="157">
        <v>334034.03999999998</v>
      </c>
      <c r="M283" s="157">
        <v>5162869.4800000004</v>
      </c>
      <c r="N283" s="264">
        <v>3.7699999999999997E-2</v>
      </c>
      <c r="O283" s="265">
        <v>0.1348</v>
      </c>
      <c r="P283" s="157">
        <v>0</v>
      </c>
      <c r="Q283" s="396">
        <v>0</v>
      </c>
      <c r="R283" s="396">
        <v>0</v>
      </c>
      <c r="S283" s="397">
        <v>0</v>
      </c>
      <c r="T283" s="397">
        <v>0</v>
      </c>
      <c r="U283" s="397">
        <v>0</v>
      </c>
      <c r="V283" s="157">
        <v>0</v>
      </c>
      <c r="W283" s="397">
        <v>0</v>
      </c>
      <c r="X283" s="397">
        <v>0</v>
      </c>
      <c r="Y283" s="157">
        <v>7867.28</v>
      </c>
      <c r="Z283" s="157">
        <v>71253.61</v>
      </c>
      <c r="AA283" s="157">
        <v>133950.03</v>
      </c>
      <c r="AB283" s="157">
        <v>1116537.9099999999</v>
      </c>
      <c r="AC283" s="157">
        <v>5711842.5300000003</v>
      </c>
      <c r="AD283" s="157">
        <v>568.65</v>
      </c>
      <c r="AE283" s="157">
        <v>5292836.8</v>
      </c>
      <c r="AF283" s="398">
        <f t="shared" si="66"/>
        <v>9307.723204079839</v>
      </c>
      <c r="AG283" s="398">
        <f t="shared" si="67"/>
        <v>10044.566130308627</v>
      </c>
      <c r="AH283" s="399">
        <f t="shared" si="68"/>
        <v>736.84</v>
      </c>
      <c r="AI283" s="157">
        <v>114.64</v>
      </c>
      <c r="AJ283" s="157">
        <v>1037131.32</v>
      </c>
      <c r="AK283" s="398">
        <f t="shared" si="69"/>
        <v>9046.8538032100478</v>
      </c>
      <c r="AL283" s="398">
        <f t="shared" si="70"/>
        <v>9739.514218422888</v>
      </c>
      <c r="AM283" s="399">
        <f t="shared" si="71"/>
        <v>692.66</v>
      </c>
      <c r="AN283" s="397">
        <v>0</v>
      </c>
      <c r="AO283" s="397">
        <v>0</v>
      </c>
      <c r="AP283" s="46"/>
      <c r="AQ283" s="402">
        <v>0</v>
      </c>
      <c r="AR283" s="274">
        <v>1086196.46</v>
      </c>
      <c r="AS283" s="413">
        <v>318669.26</v>
      </c>
      <c r="AX283" s="2"/>
      <c r="BB283" s="342"/>
      <c r="BC283" s="342"/>
      <c r="BD283" s="386"/>
      <c r="BE283" s="386"/>
      <c r="BF283" s="386"/>
      <c r="BG283" s="386"/>
      <c r="BH283" s="386"/>
      <c r="BI283" s="386"/>
      <c r="BJ283" s="386"/>
      <c r="BK283" s="386"/>
      <c r="BL283" s="386"/>
      <c r="BM283" s="386"/>
      <c r="BN283" s="387"/>
      <c r="BO283" s="265"/>
      <c r="BP283" s="386"/>
      <c r="BQ283" s="388"/>
      <c r="BR283" s="388"/>
      <c r="BS283" s="389"/>
      <c r="BT283" s="389"/>
      <c r="BU283" s="389"/>
      <c r="BV283" s="386"/>
      <c r="BW283" s="389"/>
      <c r="BX283" s="389"/>
      <c r="BY283" s="386"/>
      <c r="BZ283" s="386"/>
      <c r="CA283" s="386"/>
      <c r="CB283" s="386"/>
      <c r="CC283" s="386"/>
      <c r="CD283" s="386"/>
      <c r="CE283" s="386"/>
      <c r="CF283" s="390"/>
      <c r="CG283" s="390"/>
      <c r="CH283" s="391"/>
      <c r="CI283" s="386"/>
      <c r="CJ283" s="386"/>
      <c r="CK283" s="390"/>
      <c r="CL283" s="390"/>
      <c r="CM283" s="391"/>
      <c r="CN283" s="389"/>
      <c r="CO283" s="389"/>
      <c r="CP283" s="135"/>
      <c r="CQ283" s="135"/>
      <c r="CR283" s="135"/>
      <c r="CS283" s="135"/>
      <c r="CT283" s="135"/>
      <c r="CU283" s="135"/>
    </row>
    <row r="284" spans="1:99">
      <c r="A284" s="342" t="s">
        <v>590</v>
      </c>
      <c r="B284" s="342" t="s">
        <v>589</v>
      </c>
      <c r="C284" s="342" t="s">
        <v>1118</v>
      </c>
      <c r="D284" s="157">
        <v>0</v>
      </c>
      <c r="E284" s="157">
        <v>217101.39</v>
      </c>
      <c r="F284" s="157">
        <v>189143.99</v>
      </c>
      <c r="G284" s="157">
        <v>8412819.4100000001</v>
      </c>
      <c r="H284" s="157">
        <v>2230353.9</v>
      </c>
      <c r="I284" s="157">
        <v>1952809.48</v>
      </c>
      <c r="J284" s="157">
        <v>3998516.29</v>
      </c>
      <c r="K284" s="157">
        <v>3199111.01</v>
      </c>
      <c r="L284" s="157">
        <v>186622.25</v>
      </c>
      <c r="M284" s="157">
        <v>3492346.21</v>
      </c>
      <c r="N284" s="264">
        <v>3.39E-2</v>
      </c>
      <c r="O284" s="265">
        <v>0.15479999999999999</v>
      </c>
      <c r="P284" s="157">
        <v>0</v>
      </c>
      <c r="Q284" s="396">
        <v>0</v>
      </c>
      <c r="R284" s="396">
        <v>0</v>
      </c>
      <c r="S284" s="397">
        <v>0</v>
      </c>
      <c r="T284" s="397">
        <v>0</v>
      </c>
      <c r="U284" s="397">
        <v>0</v>
      </c>
      <c r="V284" s="157">
        <v>0</v>
      </c>
      <c r="W284" s="397">
        <v>0</v>
      </c>
      <c r="X284" s="397">
        <v>0</v>
      </c>
      <c r="Y284" s="157">
        <v>508.62</v>
      </c>
      <c r="Z284" s="157">
        <v>0</v>
      </c>
      <c r="AA284" s="157">
        <v>160551.76</v>
      </c>
      <c r="AB284" s="157">
        <v>303201.77</v>
      </c>
      <c r="AC284" s="157">
        <v>2609706.66</v>
      </c>
      <c r="AD284" s="157">
        <v>277.39</v>
      </c>
      <c r="AE284" s="157">
        <v>2382836.23</v>
      </c>
      <c r="AF284" s="398">
        <f t="shared" si="66"/>
        <v>8590.2023504812714</v>
      </c>
      <c r="AG284" s="398">
        <f t="shared" si="67"/>
        <v>9408.0776524027551</v>
      </c>
      <c r="AH284" s="399">
        <f t="shared" si="68"/>
        <v>817.88</v>
      </c>
      <c r="AI284" s="157">
        <v>33.79</v>
      </c>
      <c r="AJ284" s="157">
        <v>281666.06</v>
      </c>
      <c r="AK284" s="398">
        <f t="shared" si="69"/>
        <v>8335.7815921870369</v>
      </c>
      <c r="AL284" s="398">
        <f t="shared" si="70"/>
        <v>8973.1213376738688</v>
      </c>
      <c r="AM284" s="399">
        <f t="shared" si="71"/>
        <v>637.34</v>
      </c>
      <c r="AN284" s="397">
        <v>5583</v>
      </c>
      <c r="AO284" s="397">
        <v>0</v>
      </c>
      <c r="AP284" s="46"/>
      <c r="AQ284" s="402">
        <v>117222.90000000002</v>
      </c>
      <c r="AR284" s="274">
        <v>716430.34000000008</v>
      </c>
      <c r="AS284" s="413">
        <v>207041.14</v>
      </c>
      <c r="AX284" s="2"/>
      <c r="BB284" s="342"/>
      <c r="BC284" s="342"/>
      <c r="BD284" s="386"/>
      <c r="BE284" s="386"/>
      <c r="BF284" s="386"/>
      <c r="BG284" s="386"/>
      <c r="BH284" s="386"/>
      <c r="BI284" s="386"/>
      <c r="BJ284" s="386"/>
      <c r="BK284" s="386"/>
      <c r="BL284" s="386"/>
      <c r="BM284" s="386"/>
      <c r="BN284" s="387"/>
      <c r="BO284" s="265"/>
      <c r="BP284" s="386"/>
      <c r="BQ284" s="388"/>
      <c r="BR284" s="388"/>
      <c r="BS284" s="389"/>
      <c r="BT284" s="389"/>
      <c r="BU284" s="389"/>
      <c r="BV284" s="386"/>
      <c r="BW284" s="389"/>
      <c r="BX284" s="389"/>
      <c r="BY284" s="386"/>
      <c r="BZ284" s="386"/>
      <c r="CA284" s="386"/>
      <c r="CB284" s="386"/>
      <c r="CC284" s="386"/>
      <c r="CD284" s="386"/>
      <c r="CE284" s="386"/>
      <c r="CF284" s="390"/>
      <c r="CG284" s="390"/>
      <c r="CH284" s="391"/>
      <c r="CI284" s="386"/>
      <c r="CJ284" s="386"/>
      <c r="CK284" s="390"/>
      <c r="CL284" s="390"/>
      <c r="CM284" s="391"/>
      <c r="CN284" s="389"/>
      <c r="CO284" s="389"/>
      <c r="CP284" s="135"/>
      <c r="CQ284" s="135"/>
      <c r="CR284" s="135"/>
      <c r="CS284" s="135"/>
      <c r="CT284" s="135"/>
      <c r="CU284" s="135"/>
    </row>
    <row r="285" spans="1:99">
      <c r="A285" s="342" t="s">
        <v>1119</v>
      </c>
      <c r="B285" s="342" t="s">
        <v>591</v>
      </c>
      <c r="C285" s="345" t="s">
        <v>1120</v>
      </c>
      <c r="D285" s="157">
        <v>0</v>
      </c>
      <c r="E285" s="157">
        <v>0</v>
      </c>
      <c r="F285" s="157">
        <v>2934.79</v>
      </c>
      <c r="G285" s="157">
        <v>100254.76</v>
      </c>
      <c r="H285" s="157">
        <v>24449.75</v>
      </c>
      <c r="I285" s="157">
        <v>29592.94</v>
      </c>
      <c r="J285" s="157">
        <v>40974.85</v>
      </c>
      <c r="K285" s="157">
        <v>0</v>
      </c>
      <c r="L285" s="157">
        <v>0</v>
      </c>
      <c r="M285" s="157">
        <v>61507.11</v>
      </c>
      <c r="N285" s="264">
        <v>0.08</v>
      </c>
      <c r="O285" s="265">
        <v>0.1</v>
      </c>
      <c r="P285" s="157">
        <v>0</v>
      </c>
      <c r="Q285" s="396">
        <v>0</v>
      </c>
      <c r="R285" s="396">
        <v>0</v>
      </c>
      <c r="S285" s="397">
        <v>0</v>
      </c>
      <c r="T285" s="397">
        <v>0</v>
      </c>
      <c r="U285" s="397">
        <v>0</v>
      </c>
      <c r="V285" s="157">
        <v>0</v>
      </c>
      <c r="W285" s="397">
        <v>0</v>
      </c>
      <c r="X285" s="397">
        <v>0</v>
      </c>
      <c r="Y285" s="157">
        <v>0</v>
      </c>
      <c r="Z285" s="157">
        <v>0</v>
      </c>
      <c r="AA285" s="157">
        <v>0</v>
      </c>
      <c r="AB285" s="157">
        <v>0</v>
      </c>
      <c r="AC285" s="157">
        <v>15828.2</v>
      </c>
      <c r="AD285" s="157">
        <v>1.56</v>
      </c>
      <c r="AE285" s="157">
        <v>14982.7</v>
      </c>
      <c r="AF285" s="398">
        <f t="shared" si="66"/>
        <v>9604.2948717948711</v>
      </c>
      <c r="AG285" s="398">
        <f t="shared" si="67"/>
        <v>10146.282051282051</v>
      </c>
      <c r="AH285" s="399">
        <f t="shared" si="68"/>
        <v>541.99</v>
      </c>
      <c r="AI285" s="157">
        <v>0</v>
      </c>
      <c r="AJ285" s="157">
        <v>0</v>
      </c>
      <c r="AK285" s="398">
        <f t="shared" si="69"/>
        <v>0</v>
      </c>
      <c r="AL285" s="398">
        <f t="shared" si="70"/>
        <v>0</v>
      </c>
      <c r="AM285" s="399">
        <f t="shared" si="71"/>
        <v>0</v>
      </c>
      <c r="AN285" s="397">
        <v>0</v>
      </c>
      <c r="AO285" s="397">
        <v>0</v>
      </c>
      <c r="AP285" s="46"/>
      <c r="AQ285" s="402">
        <v>68692.58</v>
      </c>
      <c r="AR285" s="274">
        <v>24323.24</v>
      </c>
      <c r="AS285" s="413"/>
      <c r="AX285" s="2"/>
      <c r="BA285" s="342"/>
      <c r="BB285" s="342"/>
      <c r="BC285" s="342"/>
      <c r="BD285" s="386"/>
      <c r="BE285" s="386"/>
      <c r="BF285" s="386"/>
      <c r="BG285" s="386"/>
      <c r="BH285" s="386"/>
      <c r="BI285" s="386"/>
      <c r="BJ285" s="386"/>
      <c r="BK285" s="386"/>
      <c r="BL285" s="386"/>
      <c r="BM285" s="386"/>
      <c r="BN285" s="387"/>
      <c r="BO285" s="265"/>
      <c r="BP285" s="386"/>
      <c r="BQ285" s="388"/>
      <c r="BR285" s="388"/>
      <c r="BS285" s="389"/>
      <c r="BT285" s="389"/>
      <c r="BU285" s="389"/>
      <c r="BV285" s="386"/>
      <c r="BW285" s="389"/>
      <c r="BX285" s="389"/>
      <c r="BY285" s="386"/>
      <c r="BZ285" s="386"/>
      <c r="CA285" s="386"/>
      <c r="CB285" s="386"/>
      <c r="CC285" s="386"/>
      <c r="CD285" s="386"/>
      <c r="CE285" s="386"/>
      <c r="CF285" s="390"/>
      <c r="CG285" s="390"/>
      <c r="CH285" s="391"/>
      <c r="CI285" s="386"/>
      <c r="CJ285" s="386"/>
      <c r="CK285" s="390"/>
      <c r="CL285" s="390"/>
      <c r="CM285" s="391"/>
      <c r="CN285" s="389"/>
      <c r="CO285" s="389"/>
      <c r="CP285" s="135"/>
      <c r="CQ285" s="135"/>
      <c r="CR285" s="135"/>
      <c r="CS285" s="135"/>
      <c r="CT285" s="135"/>
      <c r="CU285" s="135"/>
    </row>
    <row r="286" spans="1:99">
      <c r="A286" s="342" t="s">
        <v>594</v>
      </c>
      <c r="B286" s="342" t="s">
        <v>593</v>
      </c>
      <c r="C286" s="342" t="s">
        <v>1121</v>
      </c>
      <c r="D286" s="157">
        <v>0</v>
      </c>
      <c r="E286" s="157">
        <v>904742.11</v>
      </c>
      <c r="F286" s="157">
        <v>406621.32</v>
      </c>
      <c r="G286" s="157">
        <v>47351034.039999999</v>
      </c>
      <c r="H286" s="157">
        <v>10051120.630000001</v>
      </c>
      <c r="I286" s="157">
        <v>5921470.7000000002</v>
      </c>
      <c r="J286" s="157">
        <v>11395694.880000001</v>
      </c>
      <c r="K286" s="157">
        <v>5502365.5599999996</v>
      </c>
      <c r="L286" s="157">
        <v>881456.44</v>
      </c>
      <c r="M286" s="157">
        <v>14775769.41</v>
      </c>
      <c r="N286" s="264">
        <v>4.8099999999999997E-2</v>
      </c>
      <c r="O286" s="265">
        <v>0.12540000000000001</v>
      </c>
      <c r="P286" s="157">
        <v>177260.61000000002</v>
      </c>
      <c r="Q286" s="396">
        <v>17010.38</v>
      </c>
      <c r="R286" s="396">
        <v>7392.58</v>
      </c>
      <c r="S286" s="397">
        <v>447212.28</v>
      </c>
      <c r="T286" s="397">
        <v>0</v>
      </c>
      <c r="U286" s="397">
        <v>14463.77</v>
      </c>
      <c r="V286" s="157">
        <v>0</v>
      </c>
      <c r="W286" s="397">
        <v>0</v>
      </c>
      <c r="X286" s="397">
        <v>0</v>
      </c>
      <c r="Y286" s="157">
        <v>0</v>
      </c>
      <c r="Z286" s="157">
        <v>0</v>
      </c>
      <c r="AA286" s="157">
        <v>0</v>
      </c>
      <c r="AB286" s="157">
        <v>2642823.69</v>
      </c>
      <c r="AC286" s="157">
        <v>14190866.73</v>
      </c>
      <c r="AD286" s="157">
        <v>1434.42</v>
      </c>
      <c r="AE286" s="157">
        <v>13351005.560000001</v>
      </c>
      <c r="AF286" s="398">
        <f t="shared" si="66"/>
        <v>9307.5985833995619</v>
      </c>
      <c r="AG286" s="398">
        <f t="shared" si="67"/>
        <v>9893.1043418245699</v>
      </c>
      <c r="AH286" s="399">
        <f t="shared" si="68"/>
        <v>585.51</v>
      </c>
      <c r="AI286" s="157">
        <v>271.33999999999997</v>
      </c>
      <c r="AJ286" s="157">
        <v>2454736.2999999998</v>
      </c>
      <c r="AK286" s="398">
        <f t="shared" si="69"/>
        <v>9046.7174025208224</v>
      </c>
      <c r="AL286" s="398">
        <f t="shared" si="70"/>
        <v>9739.8971401194085</v>
      </c>
      <c r="AM286" s="399">
        <f t="shared" si="71"/>
        <v>693.18</v>
      </c>
      <c r="AN286" s="397">
        <v>0</v>
      </c>
      <c r="AO286" s="397">
        <v>0</v>
      </c>
      <c r="AP286" s="46"/>
      <c r="AQ286" s="402">
        <v>0</v>
      </c>
      <c r="AR286" s="274">
        <v>3091582.64</v>
      </c>
      <c r="AS286" s="413">
        <v>858022.23</v>
      </c>
      <c r="AX286" s="2"/>
      <c r="BA286" s="342"/>
      <c r="BB286" s="342"/>
      <c r="BC286" s="342"/>
      <c r="BD286" s="386"/>
      <c r="BE286" s="386"/>
      <c r="BF286" s="386"/>
      <c r="BG286" s="386"/>
      <c r="BH286" s="386"/>
      <c r="BI286" s="386"/>
      <c r="BJ286" s="386"/>
      <c r="BK286" s="386"/>
      <c r="BL286" s="386"/>
      <c r="BM286" s="386"/>
      <c r="BN286" s="387"/>
      <c r="BO286" s="265"/>
      <c r="BP286" s="386"/>
      <c r="BQ286" s="388"/>
      <c r="BR286" s="388"/>
      <c r="BS286" s="389"/>
      <c r="BT286" s="389"/>
      <c r="BU286" s="389"/>
      <c r="BV286" s="386"/>
      <c r="BW286" s="389"/>
      <c r="BX286" s="389"/>
      <c r="BY286" s="386"/>
      <c r="BZ286" s="386"/>
      <c r="CA286" s="386"/>
      <c r="CB286" s="386"/>
      <c r="CC286" s="386"/>
      <c r="CD286" s="386"/>
      <c r="CE286" s="386"/>
      <c r="CF286" s="390"/>
      <c r="CG286" s="390"/>
      <c r="CH286" s="391"/>
      <c r="CI286" s="386"/>
      <c r="CJ286" s="386"/>
      <c r="CK286" s="390"/>
      <c r="CL286" s="390"/>
      <c r="CM286" s="391"/>
      <c r="CN286" s="389"/>
      <c r="CO286" s="389"/>
      <c r="CP286" s="135"/>
      <c r="CQ286" s="135"/>
      <c r="CR286" s="135"/>
      <c r="CS286" s="135"/>
      <c r="CT286" s="135"/>
      <c r="CU286" s="135"/>
    </row>
    <row r="287" spans="1:99">
      <c r="A287" s="342" t="s">
        <v>596</v>
      </c>
      <c r="B287" s="342" t="s">
        <v>595</v>
      </c>
      <c r="C287" s="342" t="s">
        <v>1122</v>
      </c>
      <c r="D287" s="157">
        <v>0</v>
      </c>
      <c r="E287" s="157">
        <v>4141.87</v>
      </c>
      <c r="F287" s="157">
        <v>0</v>
      </c>
      <c r="G287" s="157">
        <v>215439.94</v>
      </c>
      <c r="H287" s="157">
        <v>38733.14</v>
      </c>
      <c r="I287" s="157">
        <v>48414.2</v>
      </c>
      <c r="J287" s="157">
        <v>81621.37</v>
      </c>
      <c r="K287" s="157">
        <v>0</v>
      </c>
      <c r="L287" s="157">
        <v>0</v>
      </c>
      <c r="M287" s="157">
        <v>111534.62</v>
      </c>
      <c r="N287" s="264">
        <v>0.13780000000000001</v>
      </c>
      <c r="O287" s="265">
        <v>0.34920000000000001</v>
      </c>
      <c r="P287" s="157">
        <v>0</v>
      </c>
      <c r="Q287" s="396">
        <v>0</v>
      </c>
      <c r="R287" s="396">
        <v>0</v>
      </c>
      <c r="S287" s="397">
        <v>0</v>
      </c>
      <c r="T287" s="397">
        <v>0</v>
      </c>
      <c r="U287" s="397">
        <v>0</v>
      </c>
      <c r="V287" s="157">
        <v>0</v>
      </c>
      <c r="W287" s="397">
        <v>0</v>
      </c>
      <c r="X287" s="397">
        <v>0</v>
      </c>
      <c r="Y287" s="157">
        <v>0</v>
      </c>
      <c r="Z287" s="157">
        <v>0</v>
      </c>
      <c r="AA287" s="157">
        <v>0</v>
      </c>
      <c r="AB287" s="157">
        <v>20684.45</v>
      </c>
      <c r="AC287" s="157">
        <v>47218.38</v>
      </c>
      <c r="AD287" s="157">
        <v>5.0199999999999996</v>
      </c>
      <c r="AE287" s="157">
        <v>43223.18</v>
      </c>
      <c r="AF287" s="398">
        <f t="shared" si="66"/>
        <v>8610.1952191235068</v>
      </c>
      <c r="AG287" s="398">
        <f t="shared" si="67"/>
        <v>9406.0517928286863</v>
      </c>
      <c r="AH287" s="399">
        <f t="shared" si="68"/>
        <v>795.86</v>
      </c>
      <c r="AI287" s="157">
        <v>2.31</v>
      </c>
      <c r="AJ287" s="157">
        <v>19149.18</v>
      </c>
      <c r="AK287" s="398">
        <f t="shared" si="69"/>
        <v>8289.6883116883109</v>
      </c>
      <c r="AL287" s="398">
        <f t="shared" si="70"/>
        <v>8954.3073593073586</v>
      </c>
      <c r="AM287" s="399">
        <f t="shared" si="71"/>
        <v>664.62</v>
      </c>
      <c r="AN287" s="397">
        <v>0</v>
      </c>
      <c r="AO287" s="397">
        <v>85</v>
      </c>
      <c r="AP287" s="46"/>
      <c r="AQ287" s="402">
        <v>0</v>
      </c>
      <c r="AR287" s="274">
        <v>26195.059999999998</v>
      </c>
      <c r="AS287" s="413">
        <v>15018.48</v>
      </c>
      <c r="AX287" s="2"/>
      <c r="BA287" s="342"/>
      <c r="BB287" s="342"/>
      <c r="BC287" s="342"/>
      <c r="BD287" s="386"/>
      <c r="BE287" s="386"/>
      <c r="BF287" s="386"/>
      <c r="BG287" s="386"/>
      <c r="BH287" s="386"/>
      <c r="BI287" s="386"/>
      <c r="BJ287" s="386"/>
      <c r="BK287" s="386"/>
      <c r="BL287" s="386"/>
      <c r="BM287" s="386"/>
      <c r="BN287" s="387"/>
      <c r="BO287" s="265"/>
      <c r="BP287" s="386"/>
      <c r="BQ287" s="388"/>
      <c r="BR287" s="388"/>
      <c r="BS287" s="389"/>
      <c r="BT287" s="389"/>
      <c r="BU287" s="389"/>
      <c r="BV287" s="386"/>
      <c r="BW287" s="389"/>
      <c r="BX287" s="389"/>
      <c r="BY287" s="386"/>
      <c r="BZ287" s="386"/>
      <c r="CA287" s="386"/>
      <c r="CB287" s="386"/>
      <c r="CC287" s="386"/>
      <c r="CD287" s="386"/>
      <c r="CE287" s="386"/>
      <c r="CF287" s="390"/>
      <c r="CG287" s="390"/>
      <c r="CH287" s="391"/>
      <c r="CI287" s="386"/>
      <c r="CJ287" s="386"/>
      <c r="CK287" s="390"/>
      <c r="CL287" s="390"/>
      <c r="CM287" s="391"/>
      <c r="CN287" s="389"/>
      <c r="CO287" s="389"/>
      <c r="CP287" s="135"/>
      <c r="CQ287" s="135"/>
      <c r="CR287" s="135"/>
      <c r="CS287" s="135"/>
      <c r="CT287" s="135"/>
      <c r="CU287" s="135"/>
    </row>
    <row r="288" spans="1:99">
      <c r="A288" s="342" t="s">
        <v>598</v>
      </c>
      <c r="B288" s="342" t="s">
        <v>597</v>
      </c>
      <c r="C288" s="342" t="s">
        <v>1123</v>
      </c>
      <c r="D288" s="157">
        <v>0</v>
      </c>
      <c r="E288" s="157">
        <v>0</v>
      </c>
      <c r="F288" s="157">
        <v>0</v>
      </c>
      <c r="G288" s="157">
        <v>15553398.810000001</v>
      </c>
      <c r="H288" s="157">
        <v>2482324.5699999998</v>
      </c>
      <c r="I288" s="157">
        <v>0</v>
      </c>
      <c r="J288" s="157">
        <v>900406.11</v>
      </c>
      <c r="K288" s="157">
        <v>898859.09</v>
      </c>
      <c r="L288" s="157">
        <v>313506.71999999997</v>
      </c>
      <c r="M288" s="157">
        <v>5874846.0599999996</v>
      </c>
      <c r="N288" s="264">
        <v>3.0300000000000001E-2</v>
      </c>
      <c r="O288" s="265">
        <v>0.14829999999999999</v>
      </c>
      <c r="P288" s="157">
        <v>0</v>
      </c>
      <c r="Q288" s="396">
        <v>0</v>
      </c>
      <c r="R288" s="396">
        <v>0</v>
      </c>
      <c r="S288" s="397">
        <v>0</v>
      </c>
      <c r="T288" s="397">
        <v>0</v>
      </c>
      <c r="U288" s="397">
        <v>0</v>
      </c>
      <c r="V288" s="157">
        <v>0</v>
      </c>
      <c r="W288" s="397">
        <v>0</v>
      </c>
      <c r="X288" s="397">
        <v>0</v>
      </c>
      <c r="Y288" s="157">
        <v>10313.4</v>
      </c>
      <c r="Z288" s="157">
        <v>36335.300000000003</v>
      </c>
      <c r="AA288" s="157">
        <v>522192.09</v>
      </c>
      <c r="AB288" s="157">
        <v>439816.75</v>
      </c>
      <c r="AC288" s="157">
        <v>5347357.95</v>
      </c>
      <c r="AD288" s="157">
        <v>497.67</v>
      </c>
      <c r="AE288" s="157">
        <v>4896794.22</v>
      </c>
      <c r="AF288" s="398">
        <f t="shared" si="66"/>
        <v>9839.4402314786894</v>
      </c>
      <c r="AG288" s="398">
        <f t="shared" si="67"/>
        <v>10744.786605582012</v>
      </c>
      <c r="AH288" s="399">
        <f t="shared" si="68"/>
        <v>905.35</v>
      </c>
      <c r="AI288" s="157">
        <v>42.65</v>
      </c>
      <c r="AJ288" s="157">
        <v>408296.93</v>
      </c>
      <c r="AK288" s="398">
        <f t="shared" si="69"/>
        <v>9573.1988276670581</v>
      </c>
      <c r="AL288" s="398">
        <f t="shared" si="70"/>
        <v>10312.233294255569</v>
      </c>
      <c r="AM288" s="399">
        <f t="shared" si="71"/>
        <v>739.03</v>
      </c>
      <c r="AN288" s="397">
        <v>95.31</v>
      </c>
      <c r="AO288" s="397">
        <v>0</v>
      </c>
      <c r="AP288" s="46"/>
      <c r="AQ288" s="402">
        <v>294794.8400000002</v>
      </c>
      <c r="AR288" s="274">
        <v>1023404.6699999999</v>
      </c>
      <c r="AS288" s="413">
        <v>280353.07</v>
      </c>
      <c r="AX288" s="2"/>
      <c r="BA288" s="342"/>
      <c r="BB288" s="342"/>
      <c r="BC288" s="342"/>
      <c r="BD288" s="386"/>
      <c r="BE288" s="386"/>
      <c r="BF288" s="386"/>
      <c r="BG288" s="386"/>
      <c r="BH288" s="386"/>
      <c r="BI288" s="386"/>
      <c r="BJ288" s="386"/>
      <c r="BK288" s="386"/>
      <c r="BL288" s="386"/>
      <c r="BM288" s="386"/>
      <c r="BN288" s="387"/>
      <c r="BO288" s="265"/>
      <c r="BP288" s="386"/>
      <c r="BQ288" s="388"/>
      <c r="BR288" s="388"/>
      <c r="BS288" s="389"/>
      <c r="BT288" s="389"/>
      <c r="BU288" s="389"/>
      <c r="BV288" s="386"/>
      <c r="BW288" s="389"/>
      <c r="BX288" s="389"/>
      <c r="BY288" s="386"/>
      <c r="BZ288" s="386"/>
      <c r="CA288" s="386"/>
      <c r="CB288" s="386"/>
      <c r="CC288" s="386"/>
      <c r="CD288" s="386"/>
      <c r="CE288" s="386"/>
      <c r="CF288" s="390"/>
      <c r="CG288" s="390"/>
      <c r="CH288" s="391"/>
      <c r="CI288" s="386"/>
      <c r="CJ288" s="386"/>
      <c r="CK288" s="390"/>
      <c r="CL288" s="390"/>
      <c r="CM288" s="391"/>
      <c r="CN288" s="389"/>
      <c r="CO288" s="389"/>
      <c r="CP288" s="135"/>
      <c r="CQ288" s="135"/>
      <c r="CR288" s="135"/>
      <c r="CS288" s="135"/>
      <c r="CT288" s="135"/>
      <c r="CU288" s="135"/>
    </row>
    <row r="289" spans="1:99">
      <c r="A289" s="342" t="s">
        <v>600</v>
      </c>
      <c r="B289" s="342" t="s">
        <v>599</v>
      </c>
      <c r="C289" s="342" t="s">
        <v>1124</v>
      </c>
      <c r="D289" s="157">
        <v>0</v>
      </c>
      <c r="E289" s="157">
        <v>7057.61</v>
      </c>
      <c r="F289" s="157">
        <v>5042.6000000000004</v>
      </c>
      <c r="G289" s="157">
        <v>258720.15</v>
      </c>
      <c r="H289" s="157">
        <v>50664.53</v>
      </c>
      <c r="I289" s="157">
        <v>59636.59</v>
      </c>
      <c r="J289" s="157">
        <v>85332.77</v>
      </c>
      <c r="K289" s="157">
        <v>0</v>
      </c>
      <c r="L289" s="157">
        <v>6102.85</v>
      </c>
      <c r="M289" s="157">
        <v>249511.73</v>
      </c>
      <c r="N289" s="264">
        <v>2.5399999999999999E-2</v>
      </c>
      <c r="O289" s="265">
        <v>0.17180000000000001</v>
      </c>
      <c r="P289" s="157">
        <v>0</v>
      </c>
      <c r="Q289" s="396">
        <v>0</v>
      </c>
      <c r="R289" s="396">
        <v>0</v>
      </c>
      <c r="S289" s="397">
        <v>0</v>
      </c>
      <c r="T289" s="397">
        <v>0</v>
      </c>
      <c r="U289" s="397">
        <v>0</v>
      </c>
      <c r="V289" s="157">
        <v>0</v>
      </c>
      <c r="W289" s="397">
        <v>0</v>
      </c>
      <c r="X289" s="397">
        <v>0</v>
      </c>
      <c r="Y289" s="157">
        <v>0</v>
      </c>
      <c r="Z289" s="157">
        <v>0</v>
      </c>
      <c r="AA289" s="157">
        <v>7108.33</v>
      </c>
      <c r="AB289" s="157">
        <v>19696.189999999999</v>
      </c>
      <c r="AC289" s="157">
        <v>156228.72</v>
      </c>
      <c r="AD289" s="157">
        <v>16.97</v>
      </c>
      <c r="AE289" s="157">
        <v>148711.82</v>
      </c>
      <c r="AF289" s="398">
        <f t="shared" si="66"/>
        <v>8763.2186210960535</v>
      </c>
      <c r="AG289" s="398">
        <f t="shared" si="67"/>
        <v>9206.1708898055404</v>
      </c>
      <c r="AH289" s="399">
        <f t="shared" si="68"/>
        <v>442.95</v>
      </c>
      <c r="AI289" s="157">
        <v>2.15</v>
      </c>
      <c r="AJ289" s="157">
        <v>18289.330000000002</v>
      </c>
      <c r="AK289" s="398">
        <f t="shared" si="69"/>
        <v>8506.6651162790713</v>
      </c>
      <c r="AL289" s="398">
        <f t="shared" si="70"/>
        <v>9161.0186046511626</v>
      </c>
      <c r="AM289" s="399">
        <f t="shared" si="71"/>
        <v>654.35</v>
      </c>
      <c r="AN289" s="397">
        <v>0</v>
      </c>
      <c r="AO289" s="397">
        <v>0</v>
      </c>
      <c r="AP289" s="46"/>
      <c r="AQ289" s="402">
        <v>0</v>
      </c>
      <c r="AR289" s="274">
        <v>29907.15</v>
      </c>
      <c r="AS289" s="413">
        <v>17012.02</v>
      </c>
      <c r="AX289" s="2"/>
      <c r="BA289" s="342"/>
      <c r="BB289" s="342"/>
      <c r="BC289" s="342"/>
      <c r="BD289" s="386"/>
      <c r="BE289" s="386"/>
      <c r="BF289" s="386"/>
      <c r="BG289" s="386"/>
      <c r="BH289" s="386"/>
      <c r="BI289" s="386"/>
      <c r="BJ289" s="386"/>
      <c r="BK289" s="386"/>
      <c r="BL289" s="386"/>
      <c r="BM289" s="386"/>
      <c r="BN289" s="387"/>
      <c r="BO289" s="265"/>
      <c r="BP289" s="386"/>
      <c r="BQ289" s="388"/>
      <c r="BR289" s="388"/>
      <c r="BS289" s="389"/>
      <c r="BT289" s="389"/>
      <c r="BU289" s="389"/>
      <c r="BV289" s="386"/>
      <c r="BW289" s="389"/>
      <c r="BX289" s="389"/>
      <c r="BY289" s="386"/>
      <c r="BZ289" s="386"/>
      <c r="CA289" s="386"/>
      <c r="CB289" s="386"/>
      <c r="CC289" s="386"/>
      <c r="CD289" s="386"/>
      <c r="CE289" s="386"/>
      <c r="CF289" s="390"/>
      <c r="CG289" s="390"/>
      <c r="CH289" s="391"/>
      <c r="CI289" s="386"/>
      <c r="CJ289" s="386"/>
      <c r="CK289" s="390"/>
      <c r="CL289" s="390"/>
      <c r="CM289" s="391"/>
      <c r="CN289" s="389"/>
      <c r="CO289" s="389"/>
      <c r="CP289" s="135"/>
      <c r="CQ289" s="135"/>
      <c r="CR289" s="135"/>
      <c r="CS289" s="135"/>
      <c r="CT289" s="135"/>
      <c r="CU289" s="135"/>
    </row>
    <row r="290" spans="1:99">
      <c r="A290" s="342" t="s">
        <v>602</v>
      </c>
      <c r="B290" s="342" t="s">
        <v>601</v>
      </c>
      <c r="C290" s="342" t="s">
        <v>1125</v>
      </c>
      <c r="D290" s="157">
        <v>0</v>
      </c>
      <c r="E290" s="157">
        <v>0</v>
      </c>
      <c r="F290" s="157">
        <v>0</v>
      </c>
      <c r="G290" s="157">
        <v>1729935.19</v>
      </c>
      <c r="H290" s="157">
        <v>492656.14</v>
      </c>
      <c r="I290" s="157">
        <v>173380.77</v>
      </c>
      <c r="J290" s="157">
        <v>381520.44</v>
      </c>
      <c r="K290" s="157">
        <v>20808.38</v>
      </c>
      <c r="L290" s="157">
        <v>37448.589999999997</v>
      </c>
      <c r="M290" s="157">
        <v>993608.22</v>
      </c>
      <c r="N290" s="264">
        <v>4.7500000000000001E-2</v>
      </c>
      <c r="O290" s="265">
        <v>0.18990000000000001</v>
      </c>
      <c r="P290" s="157">
        <v>0</v>
      </c>
      <c r="Q290" s="396">
        <v>0</v>
      </c>
      <c r="R290" s="396">
        <v>0</v>
      </c>
      <c r="S290" s="397">
        <v>0</v>
      </c>
      <c r="T290" s="397">
        <v>0</v>
      </c>
      <c r="U290" s="397">
        <v>0</v>
      </c>
      <c r="V290" s="157">
        <v>0</v>
      </c>
      <c r="W290" s="397">
        <v>0</v>
      </c>
      <c r="X290" s="397">
        <v>0</v>
      </c>
      <c r="Y290" s="157">
        <v>1469.48</v>
      </c>
      <c r="Z290" s="157">
        <v>0</v>
      </c>
      <c r="AA290" s="157">
        <v>74331.77</v>
      </c>
      <c r="AB290" s="157">
        <v>295837.7</v>
      </c>
      <c r="AC290" s="157">
        <v>711752.04</v>
      </c>
      <c r="AD290" s="157">
        <v>78.41</v>
      </c>
      <c r="AE290" s="157">
        <v>673635.5</v>
      </c>
      <c r="AF290" s="398">
        <f t="shared" si="66"/>
        <v>8591.1937252901425</v>
      </c>
      <c r="AG290" s="398">
        <f t="shared" si="67"/>
        <v>9077.3120775411317</v>
      </c>
      <c r="AH290" s="399">
        <f t="shared" si="68"/>
        <v>486.12</v>
      </c>
      <c r="AI290" s="157">
        <v>32.96</v>
      </c>
      <c r="AJ290" s="157">
        <v>274692.3</v>
      </c>
      <c r="AK290" s="398">
        <f t="shared" si="69"/>
        <v>8334.1110436893196</v>
      </c>
      <c r="AL290" s="398">
        <f t="shared" si="70"/>
        <v>8975.6583737864075</v>
      </c>
      <c r="AM290" s="399">
        <f t="shared" si="71"/>
        <v>641.54999999999995</v>
      </c>
      <c r="AN290" s="397">
        <v>305.86</v>
      </c>
      <c r="AO290" s="397">
        <v>1923.06</v>
      </c>
      <c r="AP290" s="46"/>
      <c r="AQ290" s="402">
        <v>0</v>
      </c>
      <c r="AR290" s="274">
        <v>127686.73999999999</v>
      </c>
      <c r="AS290" s="413">
        <v>48261.979999999996</v>
      </c>
      <c r="AX290" s="2"/>
      <c r="BA290" s="342"/>
      <c r="BB290" s="342"/>
      <c r="BC290" s="342"/>
      <c r="BD290" s="386"/>
      <c r="BE290" s="386"/>
      <c r="BF290" s="386"/>
      <c r="BG290" s="386"/>
      <c r="BH290" s="386"/>
      <c r="BI290" s="386"/>
      <c r="BJ290" s="386"/>
      <c r="BK290" s="386"/>
      <c r="BL290" s="386"/>
      <c r="BM290" s="386"/>
      <c r="BN290" s="387"/>
      <c r="BO290" s="265"/>
      <c r="BP290" s="386"/>
      <c r="BQ290" s="388"/>
      <c r="BR290" s="388"/>
      <c r="BS290" s="389"/>
      <c r="BT290" s="389"/>
      <c r="BU290" s="389"/>
      <c r="BV290" s="386"/>
      <c r="BW290" s="389"/>
      <c r="BX290" s="389"/>
      <c r="BY290" s="386"/>
      <c r="BZ290" s="386"/>
      <c r="CA290" s="386"/>
      <c r="CB290" s="386"/>
      <c r="CC290" s="386"/>
      <c r="CD290" s="386"/>
      <c r="CE290" s="386"/>
      <c r="CF290" s="390"/>
      <c r="CG290" s="390"/>
      <c r="CH290" s="391"/>
      <c r="CI290" s="386"/>
      <c r="CJ290" s="386"/>
      <c r="CK290" s="390"/>
      <c r="CL290" s="390"/>
      <c r="CM290" s="391"/>
      <c r="CN290" s="389"/>
      <c r="CO290" s="389"/>
      <c r="CP290" s="135"/>
      <c r="CQ290" s="135"/>
      <c r="CR290" s="135"/>
      <c r="CS290" s="135"/>
      <c r="CT290" s="135"/>
      <c r="CU290" s="135"/>
    </row>
    <row r="291" spans="1:99">
      <c r="A291" s="342" t="s">
        <v>604</v>
      </c>
      <c r="B291" s="342" t="s">
        <v>603</v>
      </c>
      <c r="C291" s="342" t="s">
        <v>1126</v>
      </c>
      <c r="D291" s="157">
        <v>0</v>
      </c>
      <c r="E291" s="157">
        <v>0</v>
      </c>
      <c r="F291" s="157">
        <v>0</v>
      </c>
      <c r="G291" s="157">
        <v>371324.82</v>
      </c>
      <c r="H291" s="157">
        <v>31675.22</v>
      </c>
      <c r="I291" s="157">
        <v>0</v>
      </c>
      <c r="J291" s="157">
        <v>56172.88</v>
      </c>
      <c r="K291" s="157">
        <v>6800.79</v>
      </c>
      <c r="L291" s="157">
        <v>0</v>
      </c>
      <c r="M291" s="157">
        <v>199974.81</v>
      </c>
      <c r="N291" s="264">
        <v>6.25E-2</v>
      </c>
      <c r="O291" s="265">
        <v>0.28520000000000001</v>
      </c>
      <c r="P291" s="157">
        <v>0</v>
      </c>
      <c r="Q291" s="396">
        <v>0</v>
      </c>
      <c r="R291" s="396">
        <v>0</v>
      </c>
      <c r="S291" s="397">
        <v>0</v>
      </c>
      <c r="T291" s="397">
        <v>0</v>
      </c>
      <c r="U291" s="397">
        <v>0</v>
      </c>
      <c r="V291" s="157">
        <v>0</v>
      </c>
      <c r="W291" s="397">
        <v>0</v>
      </c>
      <c r="X291" s="397">
        <v>0</v>
      </c>
      <c r="Y291" s="157">
        <v>0</v>
      </c>
      <c r="Z291" s="157">
        <v>0</v>
      </c>
      <c r="AA291" s="157">
        <v>0</v>
      </c>
      <c r="AB291" s="157">
        <v>17887.330000000002</v>
      </c>
      <c r="AC291" s="157">
        <v>74908.710000000006</v>
      </c>
      <c r="AD291" s="157">
        <v>8.33</v>
      </c>
      <c r="AE291" s="157">
        <v>71701.62</v>
      </c>
      <c r="AF291" s="398">
        <f t="shared" si="66"/>
        <v>8607.6374549819921</v>
      </c>
      <c r="AG291" s="398">
        <f t="shared" si="67"/>
        <v>8992.6422569027618</v>
      </c>
      <c r="AH291" s="399">
        <f t="shared" si="68"/>
        <v>385</v>
      </c>
      <c r="AI291" s="157">
        <v>2</v>
      </c>
      <c r="AJ291" s="157">
        <v>16693.57</v>
      </c>
      <c r="AK291" s="398">
        <f t="shared" si="69"/>
        <v>8346.7849999999999</v>
      </c>
      <c r="AL291" s="398">
        <f t="shared" si="70"/>
        <v>8943.6650000000009</v>
      </c>
      <c r="AM291" s="399">
        <f t="shared" si="71"/>
        <v>596.88</v>
      </c>
      <c r="AN291" s="397">
        <v>0</v>
      </c>
      <c r="AO291" s="397">
        <v>0</v>
      </c>
      <c r="AP291" s="46"/>
      <c r="AQ291" s="402">
        <v>0</v>
      </c>
      <c r="AR291" s="274">
        <v>36164.959999999999</v>
      </c>
      <c r="AS291" s="413">
        <v>17617.27</v>
      </c>
      <c r="AX291" s="2"/>
      <c r="BA291" s="342"/>
      <c r="BB291" s="342"/>
      <c r="BC291" s="342"/>
      <c r="BD291" s="386"/>
      <c r="BE291" s="386"/>
      <c r="BF291" s="386"/>
      <c r="BG291" s="386"/>
      <c r="BH291" s="386"/>
      <c r="BI291" s="386"/>
      <c r="BJ291" s="386"/>
      <c r="BK291" s="386"/>
      <c r="BL291" s="386"/>
      <c r="BM291" s="386"/>
      <c r="BN291" s="387"/>
      <c r="BO291" s="265"/>
      <c r="BP291" s="386"/>
      <c r="BQ291" s="388"/>
      <c r="BR291" s="388"/>
      <c r="BS291" s="389"/>
      <c r="BT291" s="389"/>
      <c r="BU291" s="389"/>
      <c r="BV291" s="386"/>
      <c r="BW291" s="389"/>
      <c r="BX291" s="389"/>
      <c r="BY291" s="386"/>
      <c r="BZ291" s="386"/>
      <c r="CA291" s="386"/>
      <c r="CB291" s="386"/>
      <c r="CC291" s="386"/>
      <c r="CD291" s="386"/>
      <c r="CE291" s="386"/>
      <c r="CF291" s="390"/>
      <c r="CG291" s="390"/>
      <c r="CH291" s="391"/>
      <c r="CI291" s="386"/>
      <c r="CJ291" s="386"/>
      <c r="CK291" s="390"/>
      <c r="CL291" s="390"/>
      <c r="CM291" s="391"/>
      <c r="CN291" s="389"/>
      <c r="CO291" s="389"/>
      <c r="CP291" s="135"/>
      <c r="CQ291" s="135"/>
      <c r="CR291" s="135"/>
      <c r="CS291" s="135"/>
      <c r="CT291" s="135"/>
      <c r="CU291" s="135"/>
    </row>
    <row r="292" spans="1:99">
      <c r="A292" s="342" t="s">
        <v>606</v>
      </c>
      <c r="B292" s="342" t="s">
        <v>605</v>
      </c>
      <c r="C292" s="342" t="s">
        <v>1127</v>
      </c>
      <c r="D292" s="157">
        <v>0</v>
      </c>
      <c r="E292" s="157">
        <v>0</v>
      </c>
      <c r="F292" s="157">
        <v>15267.73</v>
      </c>
      <c r="G292" s="157">
        <v>1253936.56</v>
      </c>
      <c r="H292" s="157">
        <v>359642.74</v>
      </c>
      <c r="I292" s="157">
        <v>16274.25</v>
      </c>
      <c r="J292" s="157">
        <v>248503.64</v>
      </c>
      <c r="K292" s="157">
        <v>12186.35</v>
      </c>
      <c r="L292" s="157">
        <v>25589.13</v>
      </c>
      <c r="M292" s="157">
        <v>731776.4</v>
      </c>
      <c r="N292" s="264">
        <v>4.7899999999999998E-2</v>
      </c>
      <c r="O292" s="265">
        <v>0.20519999999999999</v>
      </c>
      <c r="P292" s="157">
        <v>0</v>
      </c>
      <c r="Q292" s="396">
        <v>0</v>
      </c>
      <c r="R292" s="396">
        <v>0</v>
      </c>
      <c r="S292" s="397">
        <v>0</v>
      </c>
      <c r="T292" s="397">
        <v>0</v>
      </c>
      <c r="U292" s="397">
        <v>0</v>
      </c>
      <c r="V292" s="157">
        <v>0</v>
      </c>
      <c r="W292" s="397">
        <v>0</v>
      </c>
      <c r="X292" s="397">
        <v>0</v>
      </c>
      <c r="Y292" s="157">
        <v>955.22</v>
      </c>
      <c r="Z292" s="157">
        <v>1275.55</v>
      </c>
      <c r="AA292" s="157">
        <v>20903.89</v>
      </c>
      <c r="AB292" s="157">
        <v>172573.34</v>
      </c>
      <c r="AC292" s="157">
        <v>523022.59</v>
      </c>
      <c r="AD292" s="157">
        <v>54.59</v>
      </c>
      <c r="AE292" s="157">
        <v>478251.9</v>
      </c>
      <c r="AF292" s="398">
        <f t="shared" si="66"/>
        <v>8760.7968492397868</v>
      </c>
      <c r="AG292" s="398">
        <f t="shared" si="67"/>
        <v>9580.9230628320202</v>
      </c>
      <c r="AH292" s="399">
        <f t="shared" si="68"/>
        <v>820.13</v>
      </c>
      <c r="AI292" s="157">
        <v>18.829999999999998</v>
      </c>
      <c r="AJ292" s="157">
        <v>160211.81</v>
      </c>
      <c r="AK292" s="398">
        <f t="shared" si="69"/>
        <v>8508.3276686139143</v>
      </c>
      <c r="AL292" s="398">
        <f t="shared" si="70"/>
        <v>9164.808284652152</v>
      </c>
      <c r="AM292" s="399">
        <f t="shared" si="71"/>
        <v>656.48</v>
      </c>
      <c r="AN292" s="397">
        <v>0</v>
      </c>
      <c r="AO292" s="397">
        <v>0</v>
      </c>
      <c r="AP292" s="46"/>
      <c r="AQ292" s="402">
        <v>33149.900000000023</v>
      </c>
      <c r="AR292" s="274">
        <v>81549.939999999988</v>
      </c>
      <c r="AS292" s="413">
        <v>34771.899999999994</v>
      </c>
      <c r="AX292" s="2"/>
      <c r="BA292" s="342"/>
      <c r="BB292" s="342"/>
      <c r="BC292" s="342"/>
      <c r="BD292" s="386"/>
      <c r="BE292" s="386"/>
      <c r="BF292" s="386"/>
      <c r="BG292" s="386"/>
      <c r="BH292" s="386"/>
      <c r="BI292" s="386"/>
      <c r="BJ292" s="386"/>
      <c r="BK292" s="386"/>
      <c r="BL292" s="386"/>
      <c r="BM292" s="386"/>
      <c r="BN292" s="387"/>
      <c r="BO292" s="265"/>
      <c r="BP292" s="386"/>
      <c r="BQ292" s="388"/>
      <c r="BR292" s="388"/>
      <c r="BS292" s="389"/>
      <c r="BT292" s="389"/>
      <c r="BU292" s="389"/>
      <c r="BV292" s="386"/>
      <c r="BW292" s="389"/>
      <c r="BX292" s="389"/>
      <c r="BY292" s="386"/>
      <c r="BZ292" s="386"/>
      <c r="CA292" s="386"/>
      <c r="CB292" s="386"/>
      <c r="CC292" s="386"/>
      <c r="CD292" s="386"/>
      <c r="CE292" s="386"/>
      <c r="CF292" s="390"/>
      <c r="CG292" s="390"/>
      <c r="CH292" s="391"/>
      <c r="CI292" s="386"/>
      <c r="CJ292" s="386"/>
      <c r="CK292" s="390"/>
      <c r="CL292" s="390"/>
      <c r="CM292" s="391"/>
      <c r="CN292" s="389"/>
      <c r="CO292" s="389"/>
      <c r="CP292" s="135"/>
      <c r="CQ292" s="135"/>
      <c r="CR292" s="135"/>
      <c r="CS292" s="135"/>
      <c r="CT292" s="135"/>
      <c r="CU292" s="135"/>
    </row>
    <row r="293" spans="1:99">
      <c r="A293" s="342" t="s">
        <v>608</v>
      </c>
      <c r="B293" s="342" t="s">
        <v>607</v>
      </c>
      <c r="C293" s="342" t="s">
        <v>1128</v>
      </c>
      <c r="D293" s="157">
        <v>36125.17</v>
      </c>
      <c r="E293" s="157">
        <v>38317.35</v>
      </c>
      <c r="F293" s="157">
        <v>31737.599999999999</v>
      </c>
      <c r="G293" s="157">
        <v>1228483.44</v>
      </c>
      <c r="H293" s="157">
        <v>207507.56</v>
      </c>
      <c r="I293" s="157">
        <v>341589.07</v>
      </c>
      <c r="J293" s="157">
        <v>571246.17000000004</v>
      </c>
      <c r="K293" s="157">
        <v>208591.32</v>
      </c>
      <c r="L293" s="157">
        <v>33517.519999999997</v>
      </c>
      <c r="M293" s="157">
        <v>1058041.24</v>
      </c>
      <c r="N293" s="264">
        <v>5.4300000000000001E-2</v>
      </c>
      <c r="O293" s="265">
        <v>0.1855</v>
      </c>
      <c r="P293" s="157">
        <v>0</v>
      </c>
      <c r="Q293" s="396">
        <v>0</v>
      </c>
      <c r="R293" s="396">
        <v>0</v>
      </c>
      <c r="S293" s="397">
        <v>0</v>
      </c>
      <c r="T293" s="397">
        <v>0</v>
      </c>
      <c r="U293" s="397">
        <v>0</v>
      </c>
      <c r="V293" s="157">
        <v>0</v>
      </c>
      <c r="W293" s="397">
        <v>0</v>
      </c>
      <c r="X293" s="397">
        <v>0</v>
      </c>
      <c r="Y293" s="157">
        <v>0</v>
      </c>
      <c r="Z293" s="157">
        <v>0</v>
      </c>
      <c r="AA293" s="157">
        <v>0</v>
      </c>
      <c r="AB293" s="157">
        <v>92166.67</v>
      </c>
      <c r="AC293" s="157">
        <v>526998.31999999995</v>
      </c>
      <c r="AD293" s="157">
        <v>55.36</v>
      </c>
      <c r="AE293" s="157">
        <v>475409.41</v>
      </c>
      <c r="AF293" s="398">
        <f t="shared" si="66"/>
        <v>8587.5977239884396</v>
      </c>
      <c r="AG293" s="398">
        <f t="shared" si="67"/>
        <v>9519.4783236994208</v>
      </c>
      <c r="AH293" s="399">
        <f t="shared" si="68"/>
        <v>931.88</v>
      </c>
      <c r="AI293" s="157">
        <v>10.28</v>
      </c>
      <c r="AJ293" s="157">
        <v>85569.39</v>
      </c>
      <c r="AK293" s="398">
        <f t="shared" si="69"/>
        <v>8323.8706225680944</v>
      </c>
      <c r="AL293" s="398">
        <f t="shared" si="70"/>
        <v>8965.6293774319074</v>
      </c>
      <c r="AM293" s="399">
        <f t="shared" si="71"/>
        <v>641.76</v>
      </c>
      <c r="AN293" s="397">
        <v>0</v>
      </c>
      <c r="AO293" s="397">
        <v>0</v>
      </c>
      <c r="AP293" s="46"/>
      <c r="AQ293" s="402">
        <v>0</v>
      </c>
      <c r="AR293" s="274">
        <v>110770.1</v>
      </c>
      <c r="AS293" s="413">
        <v>43793.340000000004</v>
      </c>
      <c r="AX293" s="2"/>
      <c r="BA293" s="342"/>
      <c r="BB293" s="342"/>
      <c r="BC293" s="342"/>
      <c r="BD293" s="386"/>
      <c r="BE293" s="386"/>
      <c r="BF293" s="386"/>
      <c r="BG293" s="386"/>
      <c r="BH293" s="386"/>
      <c r="BI293" s="386"/>
      <c r="BJ293" s="386"/>
      <c r="BK293" s="386"/>
      <c r="BL293" s="386"/>
      <c r="BM293" s="386"/>
      <c r="BN293" s="387"/>
      <c r="BO293" s="265"/>
      <c r="BP293" s="386"/>
      <c r="BQ293" s="388"/>
      <c r="BR293" s="388"/>
      <c r="BS293" s="389"/>
      <c r="BT293" s="389"/>
      <c r="BU293" s="389"/>
      <c r="BV293" s="386"/>
      <c r="BW293" s="389"/>
      <c r="BX293" s="389"/>
      <c r="BY293" s="386"/>
      <c r="BZ293" s="386"/>
      <c r="CA293" s="386"/>
      <c r="CB293" s="386"/>
      <c r="CC293" s="386"/>
      <c r="CD293" s="386"/>
      <c r="CE293" s="386"/>
      <c r="CF293" s="390"/>
      <c r="CG293" s="390"/>
      <c r="CH293" s="391"/>
      <c r="CI293" s="386"/>
      <c r="CJ293" s="386"/>
      <c r="CK293" s="390"/>
      <c r="CL293" s="390"/>
      <c r="CM293" s="391"/>
      <c r="CN293" s="389"/>
      <c r="CO293" s="389"/>
      <c r="CP293" s="135"/>
      <c r="CQ293" s="135"/>
      <c r="CR293" s="135"/>
      <c r="CS293" s="135"/>
      <c r="CT293" s="135"/>
      <c r="CU293" s="135"/>
    </row>
    <row r="294" spans="1:99">
      <c r="A294" s="342" t="s">
        <v>610</v>
      </c>
      <c r="B294" s="342" t="s">
        <v>609</v>
      </c>
      <c r="C294" s="342" t="s">
        <v>1129</v>
      </c>
      <c r="D294" s="157">
        <v>327555.83</v>
      </c>
      <c r="E294" s="157">
        <v>263751.84999999998</v>
      </c>
      <c r="F294" s="157">
        <v>19331.28</v>
      </c>
      <c r="G294" s="157">
        <v>5193216.1900000004</v>
      </c>
      <c r="H294" s="157">
        <v>606920.80000000005</v>
      </c>
      <c r="I294" s="157">
        <v>1093664.3400000001</v>
      </c>
      <c r="J294" s="157">
        <v>2660505.0699999998</v>
      </c>
      <c r="K294" s="157">
        <v>2080432.11</v>
      </c>
      <c r="L294" s="157">
        <v>128276.94</v>
      </c>
      <c r="M294" s="157">
        <v>1526435.43</v>
      </c>
      <c r="N294" s="264">
        <v>8.6099999999999996E-2</v>
      </c>
      <c r="O294" s="265">
        <v>0.17230000000000001</v>
      </c>
      <c r="P294" s="157">
        <v>0</v>
      </c>
      <c r="Q294" s="396">
        <v>0</v>
      </c>
      <c r="R294" s="396">
        <v>0</v>
      </c>
      <c r="S294" s="397">
        <v>0</v>
      </c>
      <c r="T294" s="397">
        <v>0</v>
      </c>
      <c r="U294" s="397">
        <v>0</v>
      </c>
      <c r="V294" s="157">
        <v>0</v>
      </c>
      <c r="W294" s="397">
        <v>0</v>
      </c>
      <c r="X294" s="397">
        <v>0</v>
      </c>
      <c r="Y294" s="157">
        <v>0</v>
      </c>
      <c r="Z294" s="157">
        <v>77736.34</v>
      </c>
      <c r="AA294" s="157">
        <v>67067.179999999993</v>
      </c>
      <c r="AB294" s="157">
        <v>1203358.94</v>
      </c>
      <c r="AC294" s="157">
        <v>4374129.41</v>
      </c>
      <c r="AD294" s="157">
        <v>482.39</v>
      </c>
      <c r="AE294" s="157">
        <v>4143729.41</v>
      </c>
      <c r="AF294" s="398">
        <f t="shared" si="66"/>
        <v>8589.9985696220901</v>
      </c>
      <c r="AG294" s="398">
        <f t="shared" si="67"/>
        <v>9067.6204108708735</v>
      </c>
      <c r="AH294" s="399">
        <f t="shared" si="68"/>
        <v>477.62</v>
      </c>
      <c r="AI294" s="157">
        <v>134.06</v>
      </c>
      <c r="AJ294" s="157">
        <v>1117644.4099999999</v>
      </c>
      <c r="AK294" s="398">
        <f t="shared" si="69"/>
        <v>8336.896986423988</v>
      </c>
      <c r="AL294" s="398">
        <f t="shared" si="70"/>
        <v>8976.2713710278967</v>
      </c>
      <c r="AM294" s="399">
        <f t="shared" si="71"/>
        <v>639.37</v>
      </c>
      <c r="AN294" s="397">
        <v>599.35</v>
      </c>
      <c r="AO294" s="397">
        <v>0</v>
      </c>
      <c r="AP294" s="46"/>
      <c r="AQ294" s="402">
        <v>227286.85000000009</v>
      </c>
      <c r="AR294" s="274">
        <v>416003.9</v>
      </c>
      <c r="AS294" s="413">
        <v>127908.84</v>
      </c>
      <c r="AX294" s="2"/>
      <c r="BA294" s="342"/>
      <c r="BB294" s="342"/>
      <c r="BC294" s="342"/>
      <c r="BD294" s="386"/>
      <c r="BE294" s="386"/>
      <c r="BF294" s="386"/>
      <c r="BG294" s="386"/>
      <c r="BH294" s="386"/>
      <c r="BI294" s="386"/>
      <c r="BJ294" s="386"/>
      <c r="BK294" s="386"/>
      <c r="BL294" s="386"/>
      <c r="BM294" s="386"/>
      <c r="BN294" s="387"/>
      <c r="BO294" s="265"/>
      <c r="BP294" s="386"/>
      <c r="BQ294" s="388"/>
      <c r="BR294" s="388"/>
      <c r="BS294" s="389"/>
      <c r="BT294" s="389"/>
      <c r="BU294" s="389"/>
      <c r="BV294" s="386"/>
      <c r="BW294" s="389"/>
      <c r="BX294" s="389"/>
      <c r="BY294" s="386"/>
      <c r="BZ294" s="386"/>
      <c r="CA294" s="386"/>
      <c r="CB294" s="386"/>
      <c r="CC294" s="386"/>
      <c r="CD294" s="386"/>
      <c r="CE294" s="386"/>
      <c r="CF294" s="390"/>
      <c r="CG294" s="390"/>
      <c r="CH294" s="391"/>
      <c r="CI294" s="386"/>
      <c r="CJ294" s="386"/>
      <c r="CK294" s="390"/>
      <c r="CL294" s="390"/>
      <c r="CM294" s="391"/>
      <c r="CN294" s="389"/>
      <c r="CO294" s="389"/>
      <c r="CP294" s="135"/>
      <c r="CQ294" s="135"/>
      <c r="CR294" s="135"/>
      <c r="CS294" s="135"/>
      <c r="CT294" s="135"/>
      <c r="CU294" s="135"/>
    </row>
    <row r="295" spans="1:99">
      <c r="A295" s="342" t="s">
        <v>612</v>
      </c>
      <c r="B295" s="342" t="s">
        <v>611</v>
      </c>
      <c r="C295" s="342" t="s">
        <v>1130</v>
      </c>
      <c r="D295" s="157">
        <v>0</v>
      </c>
      <c r="E295" s="157">
        <v>1302.17</v>
      </c>
      <c r="F295" s="157">
        <v>0</v>
      </c>
      <c r="G295" s="157">
        <v>205556.69</v>
      </c>
      <c r="H295" s="157">
        <v>14884.53</v>
      </c>
      <c r="I295" s="157">
        <v>60931.55</v>
      </c>
      <c r="J295" s="157">
        <v>66104</v>
      </c>
      <c r="K295" s="157">
        <v>51361.18</v>
      </c>
      <c r="L295" s="157">
        <v>6413.85</v>
      </c>
      <c r="M295" s="157">
        <v>194375.47</v>
      </c>
      <c r="N295" s="264">
        <v>7.7899999999999997E-2</v>
      </c>
      <c r="O295" s="265">
        <v>0.33779999999999999</v>
      </c>
      <c r="P295" s="157">
        <v>0</v>
      </c>
      <c r="Q295" s="396">
        <v>0</v>
      </c>
      <c r="R295" s="396">
        <v>0</v>
      </c>
      <c r="S295" s="397">
        <v>0</v>
      </c>
      <c r="T295" s="397">
        <v>0</v>
      </c>
      <c r="U295" s="397">
        <v>0</v>
      </c>
      <c r="V295" s="157">
        <v>0</v>
      </c>
      <c r="W295" s="397">
        <v>0</v>
      </c>
      <c r="X295" s="397">
        <v>0</v>
      </c>
      <c r="Y295" s="157">
        <v>243.6</v>
      </c>
      <c r="Z295" s="157">
        <v>0</v>
      </c>
      <c r="AA295" s="157">
        <v>0</v>
      </c>
      <c r="AB295" s="157">
        <v>47020.1</v>
      </c>
      <c r="AC295" s="157">
        <v>120524.66</v>
      </c>
      <c r="AD295" s="157">
        <v>12.6</v>
      </c>
      <c r="AE295" s="157">
        <v>108065.53</v>
      </c>
      <c r="AF295" s="398">
        <f t="shared" si="66"/>
        <v>8576.629365079365</v>
      </c>
      <c r="AG295" s="398">
        <f t="shared" si="67"/>
        <v>9565.4492063492071</v>
      </c>
      <c r="AH295" s="399">
        <f t="shared" si="68"/>
        <v>988.82</v>
      </c>
      <c r="AI295" s="157">
        <v>5.24</v>
      </c>
      <c r="AJ295" s="157">
        <v>43643.33</v>
      </c>
      <c r="AK295" s="398">
        <f t="shared" si="69"/>
        <v>8328.8797709923656</v>
      </c>
      <c r="AL295" s="398">
        <f t="shared" si="70"/>
        <v>8973.301526717556</v>
      </c>
      <c r="AM295" s="399">
        <f t="shared" si="71"/>
        <v>644.41999999999996</v>
      </c>
      <c r="AN295" s="397">
        <v>0</v>
      </c>
      <c r="AO295" s="397">
        <v>0</v>
      </c>
      <c r="AP295" s="46"/>
      <c r="AQ295" s="402">
        <v>15791.510000000009</v>
      </c>
      <c r="AR295" s="274">
        <v>30018.560000000001</v>
      </c>
      <c r="AS295" s="413">
        <v>16603.82</v>
      </c>
      <c r="AX295" s="2"/>
      <c r="BA295" s="342"/>
      <c r="BB295" s="342"/>
      <c r="BC295" s="342"/>
      <c r="BD295" s="386"/>
      <c r="BE295" s="386"/>
      <c r="BF295" s="386"/>
      <c r="BG295" s="386"/>
      <c r="BH295" s="386"/>
      <c r="BI295" s="386"/>
      <c r="BJ295" s="386"/>
      <c r="BK295" s="386"/>
      <c r="BL295" s="386"/>
      <c r="BM295" s="386"/>
      <c r="BN295" s="387"/>
      <c r="BO295" s="265"/>
      <c r="BP295" s="386"/>
      <c r="BQ295" s="388"/>
      <c r="BR295" s="388"/>
      <c r="BS295" s="389"/>
      <c r="BT295" s="389"/>
      <c r="BU295" s="389"/>
      <c r="BV295" s="386"/>
      <c r="BW295" s="389"/>
      <c r="BX295" s="389"/>
      <c r="BY295" s="386"/>
      <c r="BZ295" s="386"/>
      <c r="CA295" s="386"/>
      <c r="CB295" s="386"/>
      <c r="CC295" s="386"/>
      <c r="CD295" s="386"/>
      <c r="CE295" s="386"/>
      <c r="CF295" s="390"/>
      <c r="CG295" s="390"/>
      <c r="CH295" s="391"/>
      <c r="CI295" s="386"/>
      <c r="CJ295" s="386"/>
      <c r="CK295" s="390"/>
      <c r="CL295" s="390"/>
      <c r="CM295" s="391"/>
      <c r="CN295" s="389"/>
      <c r="CO295" s="389"/>
      <c r="CP295" s="135"/>
      <c r="CQ295" s="135"/>
      <c r="CR295" s="135"/>
      <c r="CS295" s="135"/>
      <c r="CT295" s="135"/>
      <c r="CU295" s="135"/>
    </row>
    <row r="296" spans="1:99">
      <c r="A296" s="342" t="s">
        <v>614</v>
      </c>
      <c r="B296" s="342" t="s">
        <v>613</v>
      </c>
      <c r="C296" s="342" t="s">
        <v>1131</v>
      </c>
      <c r="D296" s="157">
        <v>0</v>
      </c>
      <c r="E296" s="157">
        <v>16373.25</v>
      </c>
      <c r="F296" s="157">
        <v>0</v>
      </c>
      <c r="G296" s="157">
        <v>0</v>
      </c>
      <c r="H296" s="157">
        <v>0</v>
      </c>
      <c r="I296" s="157">
        <v>0</v>
      </c>
      <c r="J296" s="157">
        <v>177839.1</v>
      </c>
      <c r="K296" s="157">
        <v>0</v>
      </c>
      <c r="L296" s="157">
        <v>20771.09</v>
      </c>
      <c r="M296" s="157">
        <v>522970.92</v>
      </c>
      <c r="N296" s="264">
        <v>4.7699999999999999E-2</v>
      </c>
      <c r="O296" s="265">
        <v>0.15909999999999999</v>
      </c>
      <c r="P296" s="157">
        <v>0</v>
      </c>
      <c r="Q296" s="396">
        <v>0</v>
      </c>
      <c r="R296" s="396">
        <v>0</v>
      </c>
      <c r="S296" s="397">
        <v>0</v>
      </c>
      <c r="T296" s="397">
        <v>0</v>
      </c>
      <c r="U296" s="397">
        <v>0</v>
      </c>
      <c r="V296" s="157">
        <v>0</v>
      </c>
      <c r="W296" s="397">
        <v>0</v>
      </c>
      <c r="X296" s="397">
        <v>0</v>
      </c>
      <c r="Y296" s="157">
        <v>779.28</v>
      </c>
      <c r="Z296" s="157">
        <v>14340.89</v>
      </c>
      <c r="AA296" s="157">
        <v>3814.94</v>
      </c>
      <c r="AB296" s="157">
        <v>151559.75</v>
      </c>
      <c r="AC296" s="157">
        <v>304447.34999999998</v>
      </c>
      <c r="AD296" s="157">
        <v>30</v>
      </c>
      <c r="AE296" s="157">
        <v>262924.34000000003</v>
      </c>
      <c r="AF296" s="398">
        <f t="shared" si="66"/>
        <v>8764.144666666667</v>
      </c>
      <c r="AG296" s="398">
        <f t="shared" si="67"/>
        <v>10148.244999999999</v>
      </c>
      <c r="AH296" s="399">
        <f t="shared" si="68"/>
        <v>1384.1</v>
      </c>
      <c r="AI296" s="157">
        <v>16.55</v>
      </c>
      <c r="AJ296" s="157">
        <v>140819.07999999999</v>
      </c>
      <c r="AK296" s="398">
        <f t="shared" si="69"/>
        <v>8508.7057401812672</v>
      </c>
      <c r="AL296" s="398">
        <f t="shared" si="70"/>
        <v>9157.6888217522646</v>
      </c>
      <c r="AM296" s="399">
        <f t="shared" si="71"/>
        <v>648.98</v>
      </c>
      <c r="AN296" s="397">
        <v>0</v>
      </c>
      <c r="AO296" s="397">
        <v>0</v>
      </c>
      <c r="AP296" s="46"/>
      <c r="AQ296" s="402">
        <v>791.99000000000524</v>
      </c>
      <c r="AR296" s="274">
        <v>64575.170000000006</v>
      </c>
      <c r="AS296" s="413"/>
      <c r="AX296" s="2"/>
      <c r="BA296" s="342"/>
      <c r="BB296" s="342"/>
      <c r="BC296" s="342"/>
      <c r="BD296" s="386"/>
      <c r="BE296" s="386"/>
      <c r="BF296" s="386"/>
      <c r="BG296" s="386"/>
      <c r="BH296" s="386"/>
      <c r="BI296" s="386"/>
      <c r="BJ296" s="386"/>
      <c r="BK296" s="386"/>
      <c r="BL296" s="386"/>
      <c r="BM296" s="386"/>
      <c r="BN296" s="387"/>
      <c r="BO296" s="265"/>
      <c r="BP296" s="386"/>
      <c r="BQ296" s="388"/>
      <c r="BR296" s="388"/>
      <c r="BS296" s="389"/>
      <c r="BT296" s="389"/>
      <c r="BU296" s="389"/>
      <c r="BV296" s="386"/>
      <c r="BW296" s="389"/>
      <c r="BX296" s="389"/>
      <c r="BY296" s="386"/>
      <c r="BZ296" s="386"/>
      <c r="CA296" s="386"/>
      <c r="CB296" s="386"/>
      <c r="CC296" s="386"/>
      <c r="CD296" s="386"/>
      <c r="CE296" s="386"/>
      <c r="CF296" s="390"/>
      <c r="CG296" s="390"/>
      <c r="CH296" s="391"/>
      <c r="CI296" s="386"/>
      <c r="CJ296" s="386"/>
      <c r="CK296" s="390"/>
      <c r="CL296" s="390"/>
      <c r="CM296" s="391"/>
      <c r="CN296" s="389"/>
      <c r="CO296" s="389"/>
      <c r="CP296" s="135"/>
      <c r="CQ296" s="135"/>
      <c r="CR296" s="135"/>
      <c r="CS296" s="135"/>
      <c r="CT296" s="135"/>
      <c r="CU296" s="135"/>
    </row>
    <row r="297" spans="1:99">
      <c r="A297" s="342" t="s">
        <v>616</v>
      </c>
      <c r="B297" s="342" t="s">
        <v>615</v>
      </c>
      <c r="C297" s="342" t="s">
        <v>1132</v>
      </c>
      <c r="D297" s="157">
        <v>0</v>
      </c>
      <c r="E297" s="157">
        <v>0</v>
      </c>
      <c r="F297" s="157">
        <v>0</v>
      </c>
      <c r="G297" s="157">
        <v>0</v>
      </c>
      <c r="H297" s="157">
        <v>0</v>
      </c>
      <c r="I297" s="157">
        <v>0</v>
      </c>
      <c r="J297" s="157">
        <v>0</v>
      </c>
      <c r="K297" s="157">
        <v>18169.259999999998</v>
      </c>
      <c r="L297" s="157">
        <v>5793.15</v>
      </c>
      <c r="M297" s="157">
        <v>124015.03</v>
      </c>
      <c r="N297" s="264">
        <v>5.1999999999999998E-2</v>
      </c>
      <c r="O297" s="265">
        <v>0.30730000000000002</v>
      </c>
      <c r="P297" s="157">
        <v>0</v>
      </c>
      <c r="Q297" s="396">
        <v>0</v>
      </c>
      <c r="R297" s="396">
        <v>0</v>
      </c>
      <c r="S297" s="397">
        <v>0</v>
      </c>
      <c r="T297" s="397">
        <v>0</v>
      </c>
      <c r="U297" s="397">
        <v>0</v>
      </c>
      <c r="V297" s="157">
        <v>0</v>
      </c>
      <c r="W297" s="397">
        <v>0</v>
      </c>
      <c r="X297" s="397">
        <v>0</v>
      </c>
      <c r="Y297" s="157">
        <v>226.68</v>
      </c>
      <c r="Z297" s="157">
        <v>0</v>
      </c>
      <c r="AA297" s="157">
        <v>0</v>
      </c>
      <c r="AB297" s="157">
        <v>0</v>
      </c>
      <c r="AC297" s="157">
        <v>0</v>
      </c>
      <c r="AD297" s="157">
        <v>0</v>
      </c>
      <c r="AE297" s="157">
        <v>0</v>
      </c>
      <c r="AF297" s="398">
        <f t="shared" si="66"/>
        <v>0</v>
      </c>
      <c r="AG297" s="398">
        <f t="shared" si="67"/>
        <v>0</v>
      </c>
      <c r="AH297" s="399">
        <f t="shared" si="68"/>
        <v>0</v>
      </c>
      <c r="AI297" s="157">
        <v>0</v>
      </c>
      <c r="AJ297" s="157">
        <v>0</v>
      </c>
      <c r="AK297" s="398">
        <f t="shared" si="69"/>
        <v>0</v>
      </c>
      <c r="AL297" s="398">
        <f t="shared" si="70"/>
        <v>0</v>
      </c>
      <c r="AM297" s="399">
        <f t="shared" si="71"/>
        <v>0</v>
      </c>
      <c r="AN297" s="397">
        <v>0</v>
      </c>
      <c r="AO297" s="397">
        <v>0</v>
      </c>
      <c r="AP297" s="46"/>
      <c r="AQ297" s="402">
        <v>0</v>
      </c>
      <c r="AR297" s="274">
        <v>24577.98</v>
      </c>
      <c r="AS297" s="413"/>
      <c r="AX297" s="2"/>
      <c r="BA297" s="342"/>
      <c r="BB297" s="342"/>
      <c r="BC297" s="342"/>
      <c r="BD297" s="386"/>
      <c r="BE297" s="386"/>
      <c r="BF297" s="386"/>
      <c r="BG297" s="386"/>
      <c r="BH297" s="386"/>
      <c r="BI297" s="386"/>
      <c r="BJ297" s="386"/>
      <c r="BK297" s="386"/>
      <c r="BL297" s="386"/>
      <c r="BM297" s="386"/>
      <c r="BN297" s="387"/>
      <c r="BO297" s="265"/>
      <c r="BP297" s="386"/>
      <c r="BQ297" s="388"/>
      <c r="BR297" s="388"/>
      <c r="BS297" s="389"/>
      <c r="BT297" s="389"/>
      <c r="BU297" s="389"/>
      <c r="BV297" s="386"/>
      <c r="BW297" s="389"/>
      <c r="BX297" s="389"/>
      <c r="BY297" s="386"/>
      <c r="BZ297" s="386"/>
      <c r="CA297" s="386"/>
      <c r="CB297" s="386"/>
      <c r="CC297" s="386"/>
      <c r="CD297" s="386"/>
      <c r="CE297" s="386"/>
      <c r="CF297" s="390"/>
      <c r="CG297" s="390"/>
      <c r="CH297" s="391"/>
      <c r="CI297" s="386"/>
      <c r="CJ297" s="386"/>
      <c r="CK297" s="390"/>
      <c r="CL297" s="390"/>
      <c r="CM297" s="391"/>
      <c r="CN297" s="389"/>
      <c r="CO297" s="389"/>
      <c r="CP297" s="135"/>
      <c r="CQ297" s="135"/>
      <c r="CR297" s="135"/>
      <c r="CS297" s="135"/>
      <c r="CT297" s="135"/>
      <c r="CU297" s="135"/>
    </row>
    <row r="298" spans="1:99">
      <c r="A298" s="342" t="s">
        <v>1133</v>
      </c>
      <c r="B298" s="342" t="s">
        <v>617</v>
      </c>
      <c r="C298" s="342" t="s">
        <v>1134</v>
      </c>
      <c r="D298" s="157">
        <v>0</v>
      </c>
      <c r="E298" s="157">
        <v>0</v>
      </c>
      <c r="F298" s="157">
        <v>88292.98</v>
      </c>
      <c r="G298" s="157">
        <v>4333624.12</v>
      </c>
      <c r="H298" s="157">
        <v>876850.88</v>
      </c>
      <c r="I298" s="157">
        <v>880959.29</v>
      </c>
      <c r="J298" s="157">
        <v>1438313.12</v>
      </c>
      <c r="K298" s="157">
        <v>1862221.82</v>
      </c>
      <c r="L298" s="157">
        <v>86622.28</v>
      </c>
      <c r="M298" s="157">
        <v>1001470.15</v>
      </c>
      <c r="N298" s="264">
        <v>2.9100000000000001E-2</v>
      </c>
      <c r="O298" s="265">
        <v>0.18110000000000001</v>
      </c>
      <c r="P298" s="157">
        <v>0</v>
      </c>
      <c r="Q298" s="396">
        <v>0</v>
      </c>
      <c r="R298" s="396">
        <v>0</v>
      </c>
      <c r="S298" s="397">
        <v>0</v>
      </c>
      <c r="T298" s="397">
        <v>0</v>
      </c>
      <c r="U298" s="397">
        <v>0</v>
      </c>
      <c r="V298" s="157">
        <v>0</v>
      </c>
      <c r="W298" s="397">
        <v>0</v>
      </c>
      <c r="X298" s="397">
        <v>0</v>
      </c>
      <c r="Y298" s="157">
        <v>0</v>
      </c>
      <c r="Z298" s="157">
        <v>0</v>
      </c>
      <c r="AA298" s="157">
        <v>3824.52</v>
      </c>
      <c r="AB298" s="157">
        <v>0</v>
      </c>
      <c r="AC298" s="157">
        <v>1345792.41</v>
      </c>
      <c r="AD298" s="157">
        <v>128.1</v>
      </c>
      <c r="AE298" s="157">
        <v>1238296.05</v>
      </c>
      <c r="AF298" s="398">
        <f t="shared" si="66"/>
        <v>9666.6358313817345</v>
      </c>
      <c r="AG298" s="398">
        <f t="shared" si="67"/>
        <v>10505.795550351288</v>
      </c>
      <c r="AH298" s="399">
        <f t="shared" si="68"/>
        <v>839.16</v>
      </c>
      <c r="AI298" s="157">
        <v>0</v>
      </c>
      <c r="AJ298" s="157">
        <v>0</v>
      </c>
      <c r="AK298" s="398">
        <f t="shared" si="69"/>
        <v>0</v>
      </c>
      <c r="AL298" s="398">
        <f t="shared" si="70"/>
        <v>0</v>
      </c>
      <c r="AM298" s="399">
        <f t="shared" si="71"/>
        <v>0</v>
      </c>
      <c r="AN298" s="397">
        <v>0</v>
      </c>
      <c r="AO298" s="397">
        <v>0</v>
      </c>
      <c r="AP298" s="46"/>
      <c r="AQ298" s="402">
        <v>739030.12</v>
      </c>
      <c r="AR298" s="274">
        <v>338246.55000000005</v>
      </c>
      <c r="AS298" s="413">
        <v>90201.459999999992</v>
      </c>
      <c r="AX298" s="2"/>
      <c r="BA298" s="342"/>
      <c r="BB298" s="342"/>
      <c r="BC298" s="342"/>
      <c r="BD298" s="386"/>
      <c r="BE298" s="386"/>
      <c r="BF298" s="386"/>
      <c r="BG298" s="386"/>
      <c r="BH298" s="386"/>
      <c r="BI298" s="386"/>
      <c r="BJ298" s="386"/>
      <c r="BK298" s="386"/>
      <c r="BL298" s="386"/>
      <c r="BM298" s="386"/>
      <c r="BN298" s="387"/>
      <c r="BO298" s="265"/>
      <c r="BP298" s="386"/>
      <c r="BQ298" s="388"/>
      <c r="BR298" s="388"/>
      <c r="BS298" s="389"/>
      <c r="BT298" s="389"/>
      <c r="BU298" s="389"/>
      <c r="BV298" s="386"/>
      <c r="BW298" s="389"/>
      <c r="BX298" s="389"/>
      <c r="BY298" s="386"/>
      <c r="BZ298" s="386"/>
      <c r="CA298" s="386"/>
      <c r="CB298" s="386"/>
      <c r="CC298" s="386"/>
      <c r="CD298" s="386"/>
      <c r="CE298" s="386"/>
      <c r="CF298" s="390"/>
      <c r="CG298" s="390"/>
      <c r="CH298" s="391"/>
      <c r="CI298" s="386"/>
      <c r="CJ298" s="386"/>
      <c r="CK298" s="390"/>
      <c r="CL298" s="390"/>
      <c r="CM298" s="391"/>
      <c r="CN298" s="389"/>
      <c r="CO298" s="389"/>
      <c r="CP298" s="135"/>
      <c r="CQ298" s="135"/>
      <c r="CR298" s="135"/>
      <c r="CS298" s="135"/>
      <c r="CT298" s="135"/>
      <c r="CU298" s="135"/>
    </row>
    <row r="299" spans="1:99">
      <c r="A299" s="342" t="s">
        <v>620</v>
      </c>
      <c r="B299" s="342" t="s">
        <v>619</v>
      </c>
      <c r="C299" s="342" t="s">
        <v>1135</v>
      </c>
      <c r="D299" s="157">
        <v>0</v>
      </c>
      <c r="E299" s="157">
        <v>126148.17</v>
      </c>
      <c r="F299" s="157">
        <v>0</v>
      </c>
      <c r="G299" s="157">
        <v>9673008.2100000009</v>
      </c>
      <c r="H299" s="157">
        <v>1767667.11</v>
      </c>
      <c r="I299" s="157">
        <v>0</v>
      </c>
      <c r="J299" s="157">
        <v>1365632.15</v>
      </c>
      <c r="K299" s="157">
        <v>234677.94</v>
      </c>
      <c r="L299" s="157">
        <v>198518.9</v>
      </c>
      <c r="M299" s="157">
        <v>4274328.51</v>
      </c>
      <c r="N299" s="264">
        <v>2.3599999999999999E-2</v>
      </c>
      <c r="O299" s="265">
        <v>0.14610000000000001</v>
      </c>
      <c r="P299" s="157">
        <v>0</v>
      </c>
      <c r="Q299" s="396">
        <v>0</v>
      </c>
      <c r="R299" s="396">
        <v>0</v>
      </c>
      <c r="S299" s="397">
        <v>161691.4</v>
      </c>
      <c r="T299" s="397">
        <v>16433.520000000015</v>
      </c>
      <c r="U299" s="397">
        <v>6149.15</v>
      </c>
      <c r="V299" s="157">
        <v>0</v>
      </c>
      <c r="W299" s="397">
        <v>0</v>
      </c>
      <c r="X299" s="397">
        <v>0</v>
      </c>
      <c r="Y299" s="157">
        <v>1081.53</v>
      </c>
      <c r="Z299" s="157">
        <v>91741.14</v>
      </c>
      <c r="AA299" s="157">
        <v>261032.39</v>
      </c>
      <c r="AB299" s="157">
        <v>1171319.75</v>
      </c>
      <c r="AC299" s="157">
        <v>3817348.21</v>
      </c>
      <c r="AD299" s="157">
        <v>404.1</v>
      </c>
      <c r="AE299" s="157">
        <v>3471222.15</v>
      </c>
      <c r="AF299" s="398">
        <f t="shared" si="66"/>
        <v>8590.0077951002222</v>
      </c>
      <c r="AG299" s="398">
        <f t="shared" si="67"/>
        <v>9446.5434545904482</v>
      </c>
      <c r="AH299" s="399">
        <f t="shared" si="68"/>
        <v>856.54</v>
      </c>
      <c r="AI299" s="157">
        <v>130.49</v>
      </c>
      <c r="AJ299" s="157">
        <v>1087775.92</v>
      </c>
      <c r="AK299" s="398">
        <f t="shared" si="69"/>
        <v>8336.0864434056239</v>
      </c>
      <c r="AL299" s="398">
        <f t="shared" si="70"/>
        <v>8976.3181086673303</v>
      </c>
      <c r="AM299" s="399">
        <f t="shared" si="71"/>
        <v>640.23</v>
      </c>
      <c r="AN299" s="397">
        <v>3071.85</v>
      </c>
      <c r="AO299" s="397">
        <v>9979.52</v>
      </c>
      <c r="AP299" s="46"/>
      <c r="AQ299" s="402">
        <v>381374.53999999992</v>
      </c>
      <c r="AR299" s="274">
        <v>622898.16</v>
      </c>
      <c r="AS299" s="413">
        <v>185370.74</v>
      </c>
      <c r="AX299" s="2"/>
      <c r="BA299" s="342"/>
      <c r="BB299" s="342"/>
      <c r="BC299" s="342"/>
      <c r="BD299" s="386"/>
      <c r="BE299" s="386"/>
      <c r="BF299" s="386"/>
      <c r="BG299" s="386"/>
      <c r="BH299" s="386"/>
      <c r="BI299" s="386"/>
      <c r="BJ299" s="386"/>
      <c r="BK299" s="386"/>
      <c r="BL299" s="386"/>
      <c r="BM299" s="386"/>
      <c r="BN299" s="387"/>
      <c r="BO299" s="265"/>
      <c r="BP299" s="386"/>
      <c r="BQ299" s="388"/>
      <c r="BR299" s="388"/>
      <c r="BS299" s="389"/>
      <c r="BT299" s="389"/>
      <c r="BU299" s="389"/>
      <c r="BV299" s="386"/>
      <c r="BW299" s="389"/>
      <c r="BX299" s="389"/>
      <c r="BY299" s="386"/>
      <c r="BZ299" s="386"/>
      <c r="CA299" s="386"/>
      <c r="CB299" s="386"/>
      <c r="CC299" s="386"/>
      <c r="CD299" s="386"/>
      <c r="CE299" s="386"/>
      <c r="CF299" s="390"/>
      <c r="CG299" s="390"/>
      <c r="CH299" s="391"/>
      <c r="CI299" s="386"/>
      <c r="CJ299" s="386"/>
      <c r="CK299" s="390"/>
      <c r="CL299" s="390"/>
      <c r="CM299" s="391"/>
      <c r="CN299" s="389"/>
      <c r="CO299" s="389"/>
      <c r="CP299" s="135"/>
      <c r="CQ299" s="135"/>
      <c r="CR299" s="135"/>
      <c r="CS299" s="135"/>
      <c r="CT299" s="135"/>
      <c r="CU299" s="135"/>
    </row>
    <row r="300" spans="1:99">
      <c r="A300" s="342" t="s">
        <v>622</v>
      </c>
      <c r="B300" s="342" t="s">
        <v>621</v>
      </c>
      <c r="C300" s="342" t="s">
        <v>1136</v>
      </c>
      <c r="D300" s="157">
        <v>71255.899999999994</v>
      </c>
      <c r="E300" s="157">
        <v>0</v>
      </c>
      <c r="F300" s="157">
        <v>16514.509999999998</v>
      </c>
      <c r="G300" s="157">
        <v>728884.26</v>
      </c>
      <c r="H300" s="157">
        <v>96012.43</v>
      </c>
      <c r="I300" s="157">
        <v>175242.84</v>
      </c>
      <c r="J300" s="157">
        <v>353071.92</v>
      </c>
      <c r="K300" s="157">
        <v>257414.91</v>
      </c>
      <c r="L300" s="157">
        <v>16655.32</v>
      </c>
      <c r="M300" s="157">
        <v>105916.67</v>
      </c>
      <c r="N300" s="264">
        <v>5.0900000000000001E-2</v>
      </c>
      <c r="O300" s="265">
        <v>0.2185</v>
      </c>
      <c r="P300" s="157">
        <v>0</v>
      </c>
      <c r="Q300" s="396">
        <v>0</v>
      </c>
      <c r="R300" s="396">
        <v>0</v>
      </c>
      <c r="S300" s="397">
        <v>0</v>
      </c>
      <c r="T300" s="397">
        <v>0</v>
      </c>
      <c r="U300" s="397">
        <v>0</v>
      </c>
      <c r="V300" s="157">
        <v>0</v>
      </c>
      <c r="W300" s="397">
        <v>0</v>
      </c>
      <c r="X300" s="397">
        <v>0</v>
      </c>
      <c r="Y300" s="157">
        <v>650.72</v>
      </c>
      <c r="Z300" s="157">
        <v>0</v>
      </c>
      <c r="AA300" s="157">
        <v>0</v>
      </c>
      <c r="AB300" s="157">
        <v>0</v>
      </c>
      <c r="AC300" s="157">
        <v>0</v>
      </c>
      <c r="AD300" s="157">
        <v>0</v>
      </c>
      <c r="AE300" s="157">
        <v>0</v>
      </c>
      <c r="AF300" s="398">
        <f t="shared" si="66"/>
        <v>0</v>
      </c>
      <c r="AG300" s="398">
        <f t="shared" si="67"/>
        <v>0</v>
      </c>
      <c r="AH300" s="399">
        <f t="shared" si="68"/>
        <v>0</v>
      </c>
      <c r="AI300" s="157">
        <v>0</v>
      </c>
      <c r="AJ300" s="157">
        <v>0</v>
      </c>
      <c r="AK300" s="398">
        <f t="shared" si="69"/>
        <v>0</v>
      </c>
      <c r="AL300" s="398">
        <f t="shared" si="70"/>
        <v>0</v>
      </c>
      <c r="AM300" s="399">
        <f t="shared" si="71"/>
        <v>0</v>
      </c>
      <c r="AN300" s="397">
        <v>0</v>
      </c>
      <c r="AO300" s="397">
        <v>0</v>
      </c>
      <c r="AP300" s="46"/>
      <c r="AQ300" s="402">
        <v>24296.350000000006</v>
      </c>
      <c r="AR300" s="274">
        <v>67429.75</v>
      </c>
      <c r="AS300" s="413">
        <v>27940.440000000002</v>
      </c>
      <c r="AX300" s="2"/>
      <c r="BA300" s="342"/>
      <c r="BB300" s="342"/>
      <c r="BC300" s="342"/>
      <c r="BD300" s="386"/>
      <c r="BE300" s="386"/>
      <c r="BF300" s="386"/>
      <c r="BG300" s="386"/>
      <c r="BH300" s="386"/>
      <c r="BI300" s="386"/>
      <c r="BJ300" s="386"/>
      <c r="BK300" s="386"/>
      <c r="BL300" s="386"/>
      <c r="BM300" s="386"/>
      <c r="BN300" s="387"/>
      <c r="BO300" s="265"/>
      <c r="BP300" s="386"/>
      <c r="BQ300" s="388"/>
      <c r="BR300" s="388"/>
      <c r="BS300" s="389"/>
      <c r="BT300" s="389"/>
      <c r="BU300" s="389"/>
      <c r="BV300" s="386"/>
      <c r="BW300" s="389"/>
      <c r="BX300" s="389"/>
      <c r="BY300" s="386"/>
      <c r="BZ300" s="386"/>
      <c r="CA300" s="386"/>
      <c r="CB300" s="386"/>
      <c r="CC300" s="386"/>
      <c r="CD300" s="386"/>
      <c r="CE300" s="386"/>
      <c r="CF300" s="390"/>
      <c r="CG300" s="390"/>
      <c r="CH300" s="391"/>
      <c r="CI300" s="386"/>
      <c r="CJ300" s="386"/>
      <c r="CK300" s="390"/>
      <c r="CL300" s="390"/>
      <c r="CM300" s="391"/>
      <c r="CN300" s="389"/>
      <c r="CO300" s="389"/>
      <c r="CP300" s="135"/>
      <c r="CQ300" s="135"/>
      <c r="CR300" s="135"/>
      <c r="CS300" s="135"/>
      <c r="CT300" s="135"/>
      <c r="CU300" s="135"/>
    </row>
    <row r="301" spans="1:99">
      <c r="A301" s="342" t="s">
        <v>624</v>
      </c>
      <c r="B301" s="342" t="s">
        <v>623</v>
      </c>
      <c r="C301" s="342" t="s">
        <v>1137</v>
      </c>
      <c r="D301" s="157">
        <v>0</v>
      </c>
      <c r="E301" s="157">
        <v>0</v>
      </c>
      <c r="F301" s="157">
        <v>0</v>
      </c>
      <c r="G301" s="157">
        <v>6278940.3899999997</v>
      </c>
      <c r="H301" s="157">
        <v>1438639.45</v>
      </c>
      <c r="I301" s="157">
        <v>0</v>
      </c>
      <c r="J301" s="157">
        <v>1451632.54</v>
      </c>
      <c r="K301" s="157">
        <v>596189.91</v>
      </c>
      <c r="L301" s="157">
        <v>178458.2</v>
      </c>
      <c r="M301" s="157">
        <v>2712669.82</v>
      </c>
      <c r="N301" s="264">
        <v>3.9100000000000003E-2</v>
      </c>
      <c r="O301" s="265">
        <v>0.15390000000000001</v>
      </c>
      <c r="P301" s="157">
        <v>0</v>
      </c>
      <c r="Q301" s="396">
        <v>0</v>
      </c>
      <c r="R301" s="396">
        <v>0</v>
      </c>
      <c r="S301" s="397">
        <v>0</v>
      </c>
      <c r="T301" s="397">
        <v>0</v>
      </c>
      <c r="U301" s="397">
        <v>0</v>
      </c>
      <c r="V301" s="157">
        <v>0</v>
      </c>
      <c r="W301" s="397">
        <v>0</v>
      </c>
      <c r="X301" s="397">
        <v>0</v>
      </c>
      <c r="Y301" s="157">
        <v>6372.99</v>
      </c>
      <c r="Z301" s="157">
        <v>0</v>
      </c>
      <c r="AA301" s="157">
        <v>97843.25</v>
      </c>
      <c r="AB301" s="157">
        <v>0</v>
      </c>
      <c r="AC301" s="157">
        <v>2811832.62</v>
      </c>
      <c r="AD301" s="157">
        <v>282.23</v>
      </c>
      <c r="AE301" s="157">
        <v>2574393.7400000002</v>
      </c>
      <c r="AF301" s="398">
        <f t="shared" si="66"/>
        <v>9121.6161995535549</v>
      </c>
      <c r="AG301" s="398">
        <f t="shared" si="67"/>
        <v>9962.9118803812489</v>
      </c>
      <c r="AH301" s="399">
        <f t="shared" si="68"/>
        <v>841.3</v>
      </c>
      <c r="AI301" s="157">
        <v>0</v>
      </c>
      <c r="AJ301" s="157">
        <v>0</v>
      </c>
      <c r="AK301" s="398">
        <f t="shared" si="69"/>
        <v>0</v>
      </c>
      <c r="AL301" s="398">
        <f t="shared" si="70"/>
        <v>0</v>
      </c>
      <c r="AM301" s="399">
        <f t="shared" si="71"/>
        <v>0</v>
      </c>
      <c r="AN301" s="397">
        <v>0</v>
      </c>
      <c r="AO301" s="397">
        <v>0</v>
      </c>
      <c r="AP301" s="46"/>
      <c r="AQ301" s="402">
        <v>0</v>
      </c>
      <c r="AR301" s="274">
        <v>560815.62</v>
      </c>
      <c r="AS301" s="413">
        <v>180077.8</v>
      </c>
      <c r="AX301" s="2"/>
      <c r="BA301" s="342"/>
      <c r="BB301" s="342"/>
      <c r="BC301" s="342"/>
      <c r="BD301" s="386"/>
      <c r="BE301" s="386"/>
      <c r="BF301" s="386"/>
      <c r="BG301" s="386"/>
      <c r="BH301" s="386"/>
      <c r="BI301" s="386"/>
      <c r="BJ301" s="386"/>
      <c r="BK301" s="386"/>
      <c r="BL301" s="386"/>
      <c r="BM301" s="386"/>
      <c r="BN301" s="387"/>
      <c r="BO301" s="265"/>
      <c r="BP301" s="386"/>
      <c r="BQ301" s="388"/>
      <c r="BR301" s="388"/>
      <c r="BS301" s="389"/>
      <c r="BT301" s="389"/>
      <c r="BU301" s="389"/>
      <c r="BV301" s="386"/>
      <c r="BW301" s="389"/>
      <c r="BX301" s="389"/>
      <c r="BY301" s="386"/>
      <c r="BZ301" s="386"/>
      <c r="CA301" s="386"/>
      <c r="CB301" s="386"/>
      <c r="CC301" s="386"/>
      <c r="CD301" s="386"/>
      <c r="CE301" s="386"/>
      <c r="CF301" s="390"/>
      <c r="CG301" s="390"/>
      <c r="CH301" s="391"/>
      <c r="CI301" s="386"/>
      <c r="CJ301" s="386"/>
      <c r="CK301" s="390"/>
      <c r="CL301" s="390"/>
      <c r="CM301" s="391"/>
      <c r="CN301" s="389"/>
      <c r="CO301" s="389"/>
      <c r="CP301" s="135"/>
      <c r="CQ301" s="135"/>
      <c r="CR301" s="135"/>
      <c r="CS301" s="135"/>
      <c r="CT301" s="135"/>
      <c r="CU301" s="135"/>
    </row>
    <row r="302" spans="1:99">
      <c r="A302" s="342" t="s">
        <v>626</v>
      </c>
      <c r="B302" s="342" t="s">
        <v>625</v>
      </c>
      <c r="C302" s="342" t="s">
        <v>1138</v>
      </c>
      <c r="D302" s="157">
        <v>0</v>
      </c>
      <c r="E302" s="157">
        <v>0</v>
      </c>
      <c r="F302" s="157">
        <v>6779.95</v>
      </c>
      <c r="G302" s="157">
        <v>973544.42</v>
      </c>
      <c r="H302" s="157">
        <v>98066.84</v>
      </c>
      <c r="I302" s="157">
        <v>76345.45</v>
      </c>
      <c r="J302" s="157">
        <v>164484.13</v>
      </c>
      <c r="K302" s="157">
        <v>79680.87</v>
      </c>
      <c r="L302" s="157">
        <v>28862.31</v>
      </c>
      <c r="M302" s="157">
        <v>1280610.1100000001</v>
      </c>
      <c r="N302" s="264">
        <v>5.6099999999999997E-2</v>
      </c>
      <c r="O302" s="265">
        <v>0.2079</v>
      </c>
      <c r="P302" s="157">
        <v>0</v>
      </c>
      <c r="Q302" s="396">
        <v>0</v>
      </c>
      <c r="R302" s="396">
        <v>0</v>
      </c>
      <c r="S302" s="397">
        <v>0</v>
      </c>
      <c r="T302" s="397">
        <v>0</v>
      </c>
      <c r="U302" s="397">
        <v>0</v>
      </c>
      <c r="V302" s="157">
        <v>0</v>
      </c>
      <c r="W302" s="397">
        <v>0</v>
      </c>
      <c r="X302" s="397">
        <v>0</v>
      </c>
      <c r="Y302" s="157">
        <v>1221.3699999999999</v>
      </c>
      <c r="Z302" s="157">
        <v>0</v>
      </c>
      <c r="AA302" s="157">
        <v>0</v>
      </c>
      <c r="AB302" s="157">
        <v>0</v>
      </c>
      <c r="AC302" s="157">
        <v>0</v>
      </c>
      <c r="AD302" s="157">
        <v>0</v>
      </c>
      <c r="AE302" s="157">
        <v>0</v>
      </c>
      <c r="AF302" s="398">
        <f t="shared" si="66"/>
        <v>0</v>
      </c>
      <c r="AG302" s="398">
        <f t="shared" si="67"/>
        <v>0</v>
      </c>
      <c r="AH302" s="399">
        <f t="shared" si="68"/>
        <v>0</v>
      </c>
      <c r="AI302" s="157">
        <v>0</v>
      </c>
      <c r="AJ302" s="157">
        <v>0</v>
      </c>
      <c r="AK302" s="398">
        <f t="shared" si="69"/>
        <v>0</v>
      </c>
      <c r="AL302" s="398">
        <f t="shared" si="70"/>
        <v>0</v>
      </c>
      <c r="AM302" s="399">
        <f t="shared" si="71"/>
        <v>0</v>
      </c>
      <c r="AN302" s="397">
        <v>0</v>
      </c>
      <c r="AO302" s="397">
        <v>0</v>
      </c>
      <c r="AP302" s="46"/>
      <c r="AQ302" s="402">
        <v>2107.1899999999951</v>
      </c>
      <c r="AR302" s="274">
        <v>43134.21</v>
      </c>
      <c r="AS302" s="413">
        <v>17723.48</v>
      </c>
      <c r="AX302" s="2"/>
      <c r="BA302" s="342"/>
      <c r="BB302" s="342"/>
      <c r="BC302" s="342"/>
      <c r="BD302" s="386"/>
      <c r="BE302" s="386"/>
      <c r="BF302" s="386"/>
      <c r="BG302" s="386"/>
      <c r="BH302" s="386"/>
      <c r="BI302" s="386"/>
      <c r="BJ302" s="386"/>
      <c r="BK302" s="386"/>
      <c r="BL302" s="386"/>
      <c r="BM302" s="386"/>
      <c r="BN302" s="387"/>
      <c r="BO302" s="265"/>
      <c r="BP302" s="386"/>
      <c r="BQ302" s="388"/>
      <c r="BR302" s="388"/>
      <c r="BS302" s="389"/>
      <c r="BT302" s="389"/>
      <c r="BU302" s="389"/>
      <c r="BV302" s="386"/>
      <c r="BW302" s="389"/>
      <c r="BX302" s="389"/>
      <c r="BY302" s="386"/>
      <c r="BZ302" s="386"/>
      <c r="CA302" s="386"/>
      <c r="CB302" s="386"/>
      <c r="CC302" s="386"/>
      <c r="CD302" s="386"/>
      <c r="CE302" s="386"/>
      <c r="CF302" s="390"/>
      <c r="CG302" s="390"/>
      <c r="CH302" s="391"/>
      <c r="CI302" s="386"/>
      <c r="CJ302" s="386"/>
      <c r="CK302" s="390"/>
      <c r="CL302" s="390"/>
      <c r="CM302" s="391"/>
      <c r="CN302" s="389"/>
      <c r="CO302" s="389"/>
      <c r="CP302" s="135"/>
      <c r="CQ302" s="135"/>
      <c r="CR302" s="135"/>
      <c r="CS302" s="135"/>
      <c r="CT302" s="135"/>
      <c r="CU302" s="135"/>
    </row>
    <row r="303" spans="1:99">
      <c r="A303" s="342" t="s">
        <v>628</v>
      </c>
      <c r="B303" s="342" t="s">
        <v>627</v>
      </c>
      <c r="C303" s="342" t="s">
        <v>1139</v>
      </c>
      <c r="D303" s="157">
        <v>0</v>
      </c>
      <c r="E303" s="157">
        <v>0</v>
      </c>
      <c r="F303" s="157">
        <v>276762.01</v>
      </c>
      <c r="G303" s="157">
        <v>34563939.479999997</v>
      </c>
      <c r="H303" s="157">
        <v>7561681.0800000001</v>
      </c>
      <c r="I303" s="157">
        <v>3933017.3</v>
      </c>
      <c r="J303" s="157">
        <v>7219806.5999999996</v>
      </c>
      <c r="K303" s="157">
        <v>5513836.6399999997</v>
      </c>
      <c r="L303" s="157">
        <v>677374.16</v>
      </c>
      <c r="M303" s="157">
        <v>11382573.689999999</v>
      </c>
      <c r="N303" s="264">
        <v>6.2600000000000003E-2</v>
      </c>
      <c r="O303" s="265">
        <v>0.1734</v>
      </c>
      <c r="P303" s="157">
        <v>0</v>
      </c>
      <c r="Q303" s="396">
        <v>0</v>
      </c>
      <c r="R303" s="396">
        <v>0</v>
      </c>
      <c r="S303" s="397">
        <v>0</v>
      </c>
      <c r="T303" s="397">
        <v>0</v>
      </c>
      <c r="U303" s="397">
        <v>0</v>
      </c>
      <c r="V303" s="157">
        <v>0</v>
      </c>
      <c r="W303" s="397">
        <v>0</v>
      </c>
      <c r="X303" s="397">
        <v>0</v>
      </c>
      <c r="Y303" s="157">
        <v>12522.69</v>
      </c>
      <c r="Z303" s="157">
        <v>230460.22</v>
      </c>
      <c r="AA303" s="157">
        <v>530247.75</v>
      </c>
      <c r="AB303" s="157">
        <v>2652899.87</v>
      </c>
      <c r="AC303" s="157">
        <v>12386578.810000001</v>
      </c>
      <c r="AD303" s="157">
        <v>1313.57</v>
      </c>
      <c r="AE303" s="157">
        <v>11754747.380000001</v>
      </c>
      <c r="AF303" s="398">
        <f t="shared" si="66"/>
        <v>8948.7026804814377</v>
      </c>
      <c r="AG303" s="398">
        <f t="shared" si="67"/>
        <v>9429.7059235518482</v>
      </c>
      <c r="AH303" s="399">
        <f t="shared" si="68"/>
        <v>481</v>
      </c>
      <c r="AI303" s="157">
        <v>283.48</v>
      </c>
      <c r="AJ303" s="157">
        <v>2463741.84</v>
      </c>
      <c r="AK303" s="398">
        <f t="shared" si="69"/>
        <v>8691.0605333709591</v>
      </c>
      <c r="AL303" s="398">
        <f t="shared" si="70"/>
        <v>9358.3316988852821</v>
      </c>
      <c r="AM303" s="399">
        <f t="shared" si="71"/>
        <v>667.27</v>
      </c>
      <c r="AN303" s="397">
        <v>0</v>
      </c>
      <c r="AO303" s="397">
        <v>29.31</v>
      </c>
      <c r="AP303" s="46"/>
      <c r="AQ303" s="402">
        <v>0</v>
      </c>
      <c r="AR303" s="274">
        <v>2320771.23</v>
      </c>
      <c r="AS303" s="413">
        <v>642500.81000000006</v>
      </c>
      <c r="AX303" s="2"/>
      <c r="BA303" s="342"/>
      <c r="BB303" s="342"/>
      <c r="BC303" s="342"/>
      <c r="BD303" s="386"/>
      <c r="BE303" s="386"/>
      <c r="BF303" s="386"/>
      <c r="BG303" s="386"/>
      <c r="BH303" s="386"/>
      <c r="BI303" s="386"/>
      <c r="BJ303" s="386"/>
      <c r="BK303" s="386"/>
      <c r="BL303" s="386"/>
      <c r="BM303" s="386"/>
      <c r="BN303" s="387"/>
      <c r="BO303" s="265"/>
      <c r="BP303" s="386"/>
      <c r="BQ303" s="388"/>
      <c r="BR303" s="388"/>
      <c r="BS303" s="389"/>
      <c r="BT303" s="389"/>
      <c r="BU303" s="389"/>
      <c r="BV303" s="386"/>
      <c r="BW303" s="389"/>
      <c r="BX303" s="389"/>
      <c r="BY303" s="386"/>
      <c r="BZ303" s="386"/>
      <c r="CA303" s="386"/>
      <c r="CB303" s="386"/>
      <c r="CC303" s="386"/>
      <c r="CD303" s="386"/>
      <c r="CE303" s="386"/>
      <c r="CF303" s="390"/>
      <c r="CG303" s="390"/>
      <c r="CH303" s="391"/>
      <c r="CI303" s="386"/>
      <c r="CJ303" s="386"/>
      <c r="CK303" s="390"/>
      <c r="CL303" s="390"/>
      <c r="CM303" s="391"/>
      <c r="CN303" s="389"/>
      <c r="CO303" s="389"/>
      <c r="CP303" s="135"/>
      <c r="CQ303" s="135"/>
      <c r="CR303" s="135"/>
      <c r="CS303" s="135"/>
      <c r="CT303" s="135"/>
      <c r="CU303" s="135"/>
    </row>
    <row r="304" spans="1:99">
      <c r="A304" s="342" t="s">
        <v>630</v>
      </c>
      <c r="B304" s="342" t="s">
        <v>629</v>
      </c>
      <c r="C304" s="342" t="s">
        <v>1140</v>
      </c>
      <c r="D304" s="157">
        <v>0</v>
      </c>
      <c r="E304" s="157">
        <v>4615.38</v>
      </c>
      <c r="F304" s="157">
        <v>0</v>
      </c>
      <c r="G304" s="157">
        <v>2018781.72</v>
      </c>
      <c r="H304" s="157">
        <v>252190.16</v>
      </c>
      <c r="I304" s="157">
        <v>16238.57</v>
      </c>
      <c r="J304" s="157">
        <v>251697.67</v>
      </c>
      <c r="K304" s="157">
        <v>134535.19</v>
      </c>
      <c r="L304" s="157">
        <v>48486.96</v>
      </c>
      <c r="M304" s="157">
        <v>1238289.56</v>
      </c>
      <c r="N304" s="264">
        <v>4.4900000000000002E-2</v>
      </c>
      <c r="O304" s="265">
        <v>0.21510000000000001</v>
      </c>
      <c r="P304" s="157">
        <v>0</v>
      </c>
      <c r="Q304" s="396">
        <v>0</v>
      </c>
      <c r="R304" s="396">
        <v>0</v>
      </c>
      <c r="S304" s="397">
        <v>0</v>
      </c>
      <c r="T304" s="397">
        <v>0</v>
      </c>
      <c r="U304" s="397">
        <v>0</v>
      </c>
      <c r="V304" s="157">
        <v>0</v>
      </c>
      <c r="W304" s="397">
        <v>0</v>
      </c>
      <c r="X304" s="397">
        <v>0</v>
      </c>
      <c r="Y304" s="157">
        <v>1670.22</v>
      </c>
      <c r="Z304" s="157">
        <v>13942.29</v>
      </c>
      <c r="AA304" s="157">
        <v>50304.74</v>
      </c>
      <c r="AB304" s="157">
        <v>415753.13</v>
      </c>
      <c r="AC304" s="157">
        <v>814784.64</v>
      </c>
      <c r="AD304" s="157">
        <v>83.3</v>
      </c>
      <c r="AE304" s="157">
        <v>775219.57</v>
      </c>
      <c r="AF304" s="398">
        <f t="shared" si="66"/>
        <v>9306.3573829531815</v>
      </c>
      <c r="AG304" s="398">
        <f t="shared" si="67"/>
        <v>9781.3282112845136</v>
      </c>
      <c r="AH304" s="399">
        <f t="shared" si="68"/>
        <v>474.97</v>
      </c>
      <c r="AI304" s="157">
        <v>42.68</v>
      </c>
      <c r="AJ304" s="157">
        <v>386074.53</v>
      </c>
      <c r="AK304" s="398">
        <f t="shared" si="69"/>
        <v>9045.7949859418932</v>
      </c>
      <c r="AL304" s="398">
        <f t="shared" si="70"/>
        <v>9741.169868791003</v>
      </c>
      <c r="AM304" s="399">
        <f t="shared" si="71"/>
        <v>695.37</v>
      </c>
      <c r="AN304" s="397">
        <v>0</v>
      </c>
      <c r="AO304" s="397">
        <v>0</v>
      </c>
      <c r="AP304" s="46"/>
      <c r="AQ304" s="402">
        <v>0</v>
      </c>
      <c r="AR304" s="274">
        <v>143000.65</v>
      </c>
      <c r="AS304" s="413">
        <v>56893.25</v>
      </c>
      <c r="AX304" s="2"/>
      <c r="BA304" s="342"/>
      <c r="BB304" s="342"/>
      <c r="BC304" s="342"/>
      <c r="BD304" s="386"/>
      <c r="BE304" s="386"/>
      <c r="BF304" s="386"/>
      <c r="BG304" s="386"/>
      <c r="BH304" s="386"/>
      <c r="BI304" s="386"/>
      <c r="BJ304" s="386"/>
      <c r="BK304" s="386"/>
      <c r="BL304" s="386"/>
      <c r="BM304" s="386"/>
      <c r="BN304" s="387"/>
      <c r="BO304" s="265"/>
      <c r="BP304" s="386"/>
      <c r="BQ304" s="388"/>
      <c r="BR304" s="388"/>
      <c r="BS304" s="389"/>
      <c r="BT304" s="389"/>
      <c r="BU304" s="389"/>
      <c r="BV304" s="386"/>
      <c r="BW304" s="389"/>
      <c r="BX304" s="389"/>
      <c r="BY304" s="386"/>
      <c r="BZ304" s="386"/>
      <c r="CA304" s="386"/>
      <c r="CB304" s="386"/>
      <c r="CC304" s="386"/>
      <c r="CD304" s="386"/>
      <c r="CE304" s="386"/>
      <c r="CF304" s="390"/>
      <c r="CG304" s="390"/>
      <c r="CH304" s="391"/>
      <c r="CI304" s="386"/>
      <c r="CJ304" s="386"/>
      <c r="CK304" s="390"/>
      <c r="CL304" s="390"/>
      <c r="CM304" s="391"/>
      <c r="CN304" s="389"/>
      <c r="CO304" s="389"/>
      <c r="CP304" s="135"/>
      <c r="CQ304" s="135"/>
      <c r="CR304" s="135"/>
      <c r="CS304" s="135"/>
      <c r="CT304" s="135"/>
      <c r="CU304" s="135"/>
    </row>
    <row r="305" spans="1:99">
      <c r="A305" s="342" t="s">
        <v>632</v>
      </c>
      <c r="B305" s="342" t="s">
        <v>631</v>
      </c>
      <c r="C305" s="345" t="s">
        <v>1141</v>
      </c>
      <c r="D305" s="157">
        <v>12366.22</v>
      </c>
      <c r="E305" s="157">
        <v>3706.5</v>
      </c>
      <c r="F305" s="157">
        <v>2197.0100000000002</v>
      </c>
      <c r="G305" s="157">
        <v>180132.22</v>
      </c>
      <c r="H305" s="157">
        <v>23129.48</v>
      </c>
      <c r="I305" s="157">
        <v>39709.769999999997</v>
      </c>
      <c r="J305" s="157">
        <v>85790.11</v>
      </c>
      <c r="K305" s="157">
        <v>0</v>
      </c>
      <c r="L305" s="157">
        <v>0</v>
      </c>
      <c r="M305" s="157">
        <v>245525.46</v>
      </c>
      <c r="N305" s="264">
        <v>0.08</v>
      </c>
      <c r="O305" s="266">
        <v>0.1</v>
      </c>
      <c r="P305" s="157">
        <v>0</v>
      </c>
      <c r="Q305" s="396">
        <v>0</v>
      </c>
      <c r="R305" s="396">
        <v>0</v>
      </c>
      <c r="S305" s="397">
        <v>0</v>
      </c>
      <c r="T305" s="397">
        <v>0</v>
      </c>
      <c r="U305" s="397">
        <v>0</v>
      </c>
      <c r="V305" s="157">
        <v>0</v>
      </c>
      <c r="W305" s="397">
        <v>0</v>
      </c>
      <c r="X305" s="397">
        <v>0</v>
      </c>
      <c r="Y305" s="157">
        <v>0</v>
      </c>
      <c r="Z305" s="157">
        <v>0</v>
      </c>
      <c r="AA305" s="157">
        <v>0</v>
      </c>
      <c r="AB305" s="157">
        <v>0</v>
      </c>
      <c r="AC305" s="157">
        <v>0</v>
      </c>
      <c r="AD305" s="157">
        <v>0</v>
      </c>
      <c r="AE305" s="157">
        <v>0</v>
      </c>
      <c r="AF305" s="398">
        <f t="shared" si="66"/>
        <v>0</v>
      </c>
      <c r="AG305" s="398">
        <f t="shared" si="67"/>
        <v>0</v>
      </c>
      <c r="AH305" s="399">
        <f t="shared" si="68"/>
        <v>0</v>
      </c>
      <c r="AI305" s="157">
        <v>0</v>
      </c>
      <c r="AJ305" s="157">
        <v>0</v>
      </c>
      <c r="AK305" s="398">
        <f t="shared" si="69"/>
        <v>0</v>
      </c>
      <c r="AL305" s="398">
        <f t="shared" si="70"/>
        <v>0</v>
      </c>
      <c r="AM305" s="399">
        <f t="shared" si="71"/>
        <v>0</v>
      </c>
      <c r="AN305" s="397">
        <v>0</v>
      </c>
      <c r="AO305" s="397">
        <v>0</v>
      </c>
      <c r="AP305" s="46"/>
      <c r="AQ305" s="402">
        <v>0</v>
      </c>
      <c r="AR305" s="274">
        <v>16373.829999999998</v>
      </c>
      <c r="AS305" s="413">
        <v>7127.38</v>
      </c>
      <c r="AX305" s="2"/>
      <c r="BA305" s="342"/>
      <c r="BB305" s="342"/>
      <c r="BC305" s="342"/>
      <c r="BD305" s="386"/>
      <c r="BE305" s="386"/>
      <c r="BF305" s="386"/>
      <c r="BG305" s="386"/>
      <c r="BH305" s="386"/>
      <c r="BI305" s="386"/>
      <c r="BJ305" s="386"/>
      <c r="BK305" s="386"/>
      <c r="BL305" s="386"/>
      <c r="BM305" s="386"/>
      <c r="BN305" s="387"/>
      <c r="BO305" s="265"/>
      <c r="BP305" s="386"/>
      <c r="BQ305" s="388"/>
      <c r="BR305" s="388"/>
      <c r="BS305" s="389"/>
      <c r="BT305" s="389"/>
      <c r="BU305" s="389"/>
      <c r="BV305" s="386"/>
      <c r="BW305" s="389"/>
      <c r="BX305" s="389"/>
      <c r="BY305" s="386"/>
      <c r="BZ305" s="386"/>
      <c r="CA305" s="386"/>
      <c r="CB305" s="386"/>
      <c r="CC305" s="386"/>
      <c r="CD305" s="386"/>
      <c r="CE305" s="386"/>
      <c r="CF305" s="390"/>
      <c r="CG305" s="390"/>
      <c r="CH305" s="391"/>
      <c r="CI305" s="386"/>
      <c r="CJ305" s="386"/>
      <c r="CK305" s="390"/>
      <c r="CL305" s="390"/>
      <c r="CM305" s="391"/>
      <c r="CN305" s="389"/>
      <c r="CO305" s="389"/>
      <c r="CP305" s="135"/>
      <c r="CQ305" s="135"/>
      <c r="CR305" s="135"/>
      <c r="CS305" s="135"/>
      <c r="CT305" s="135"/>
      <c r="CU305" s="135"/>
    </row>
    <row r="306" spans="1:99">
      <c r="A306" s="342" t="s">
        <v>634</v>
      </c>
      <c r="B306" s="344" t="s">
        <v>633</v>
      </c>
      <c r="C306" s="342" t="s">
        <v>1142</v>
      </c>
      <c r="D306" s="157">
        <v>0</v>
      </c>
      <c r="E306" s="157">
        <v>17021.29</v>
      </c>
      <c r="F306" s="157">
        <v>11641.2</v>
      </c>
      <c r="G306" s="157">
        <v>0</v>
      </c>
      <c r="H306" s="157">
        <v>0</v>
      </c>
      <c r="I306" s="157">
        <v>140579.6</v>
      </c>
      <c r="J306" s="157">
        <v>177089.61</v>
      </c>
      <c r="K306" s="157">
        <v>0</v>
      </c>
      <c r="L306" s="157">
        <v>13276.37</v>
      </c>
      <c r="M306" s="157">
        <v>370495.99</v>
      </c>
      <c r="N306" s="264">
        <v>5.6899999999999999E-2</v>
      </c>
      <c r="O306" s="265">
        <v>0.25080000000000002</v>
      </c>
      <c r="P306" s="157">
        <v>0</v>
      </c>
      <c r="Q306" s="396">
        <v>0</v>
      </c>
      <c r="R306" s="396">
        <v>0</v>
      </c>
      <c r="S306" s="397">
        <v>0</v>
      </c>
      <c r="T306" s="397">
        <v>0</v>
      </c>
      <c r="U306" s="397">
        <v>0</v>
      </c>
      <c r="V306" s="157">
        <v>0</v>
      </c>
      <c r="W306" s="397">
        <v>0</v>
      </c>
      <c r="X306" s="397">
        <v>0</v>
      </c>
      <c r="Y306" s="157">
        <v>0</v>
      </c>
      <c r="Z306" s="157">
        <v>0</v>
      </c>
      <c r="AA306" s="157">
        <v>0</v>
      </c>
      <c r="AB306" s="157">
        <v>0</v>
      </c>
      <c r="AC306" s="157">
        <v>236741.9</v>
      </c>
      <c r="AD306" s="157">
        <v>25.47</v>
      </c>
      <c r="AE306" s="157">
        <v>223196.42</v>
      </c>
      <c r="AF306" s="398">
        <f t="shared" si="66"/>
        <v>8763.1103258735784</v>
      </c>
      <c r="AG306" s="398">
        <f t="shared" si="67"/>
        <v>9294.931291715744</v>
      </c>
      <c r="AH306" s="399">
        <f t="shared" si="68"/>
        <v>531.82000000000005</v>
      </c>
      <c r="AI306" s="157">
        <v>0</v>
      </c>
      <c r="AJ306" s="157">
        <v>0</v>
      </c>
      <c r="AK306" s="398">
        <f t="shared" si="69"/>
        <v>0</v>
      </c>
      <c r="AL306" s="398">
        <f t="shared" si="70"/>
        <v>0</v>
      </c>
      <c r="AM306" s="399">
        <f t="shared" si="71"/>
        <v>0</v>
      </c>
      <c r="AN306" s="397">
        <v>0</v>
      </c>
      <c r="AO306" s="397">
        <v>5387.4</v>
      </c>
      <c r="AP306" s="46"/>
      <c r="AQ306" s="402">
        <v>0</v>
      </c>
      <c r="AR306" s="274">
        <v>45608.68</v>
      </c>
      <c r="AS306" s="413">
        <v>23205.67</v>
      </c>
      <c r="AX306" s="2"/>
      <c r="BA306" s="342"/>
      <c r="BB306" s="344"/>
      <c r="BC306" s="342"/>
      <c r="BD306" s="386"/>
      <c r="BE306" s="386"/>
      <c r="BF306" s="386"/>
      <c r="BG306" s="386"/>
      <c r="BH306" s="386"/>
      <c r="BI306" s="386"/>
      <c r="BJ306" s="386"/>
      <c r="BK306" s="386"/>
      <c r="BL306" s="386"/>
      <c r="BM306" s="386"/>
      <c r="BN306" s="387"/>
      <c r="BO306" s="265"/>
      <c r="BP306" s="386"/>
      <c r="BQ306" s="388"/>
      <c r="BR306" s="388"/>
      <c r="BS306" s="389"/>
      <c r="BT306" s="389"/>
      <c r="BU306" s="389"/>
      <c r="BV306" s="386"/>
      <c r="BW306" s="389"/>
      <c r="BX306" s="389"/>
      <c r="BY306" s="386"/>
      <c r="BZ306" s="386"/>
      <c r="CA306" s="386"/>
      <c r="CB306" s="386"/>
      <c r="CC306" s="386"/>
      <c r="CD306" s="386"/>
      <c r="CE306" s="386"/>
      <c r="CF306" s="390"/>
      <c r="CG306" s="390"/>
      <c r="CH306" s="391"/>
      <c r="CI306" s="386"/>
      <c r="CJ306" s="386"/>
      <c r="CK306" s="390"/>
      <c r="CL306" s="390"/>
      <c r="CM306" s="391"/>
      <c r="CN306" s="389"/>
      <c r="CO306" s="389"/>
      <c r="CP306" s="135"/>
      <c r="CQ306" s="135"/>
      <c r="CR306" s="135"/>
      <c r="CS306" s="135"/>
      <c r="CT306" s="135"/>
      <c r="CU306" s="135"/>
    </row>
    <row r="307" spans="1:99">
      <c r="A307" s="342" t="s">
        <v>636</v>
      </c>
      <c r="B307" s="342" t="s">
        <v>635</v>
      </c>
      <c r="C307" s="342" t="s">
        <v>1143</v>
      </c>
      <c r="D307" s="157">
        <v>0</v>
      </c>
      <c r="E307" s="157">
        <v>140853.53</v>
      </c>
      <c r="F307" s="157">
        <v>0</v>
      </c>
      <c r="G307" s="157">
        <v>3182920.78</v>
      </c>
      <c r="H307" s="157">
        <v>540223.34</v>
      </c>
      <c r="I307" s="157">
        <v>725178.48</v>
      </c>
      <c r="J307" s="157">
        <v>1530840.42</v>
      </c>
      <c r="K307" s="157">
        <v>1984713.56</v>
      </c>
      <c r="L307" s="157">
        <v>70241.960000000006</v>
      </c>
      <c r="M307" s="157">
        <v>1372318.59</v>
      </c>
      <c r="N307" s="264">
        <v>5.16E-2</v>
      </c>
      <c r="O307" s="265">
        <v>0.159</v>
      </c>
      <c r="P307" s="157">
        <v>0</v>
      </c>
      <c r="Q307" s="396">
        <v>0</v>
      </c>
      <c r="R307" s="396">
        <v>0</v>
      </c>
      <c r="S307" s="397">
        <v>0</v>
      </c>
      <c r="T307" s="397">
        <v>0</v>
      </c>
      <c r="U307" s="397">
        <v>0</v>
      </c>
      <c r="V307" s="157">
        <v>0</v>
      </c>
      <c r="W307" s="397">
        <v>0</v>
      </c>
      <c r="X307" s="397">
        <v>0</v>
      </c>
      <c r="Y307" s="157">
        <v>2864.52</v>
      </c>
      <c r="Z307" s="157">
        <v>0</v>
      </c>
      <c r="AA307" s="157">
        <v>166364.06</v>
      </c>
      <c r="AB307" s="157">
        <v>473134.11</v>
      </c>
      <c r="AC307" s="157">
        <v>1793777.44</v>
      </c>
      <c r="AD307" s="157">
        <v>196.75</v>
      </c>
      <c r="AE307" s="157">
        <v>1690046.34</v>
      </c>
      <c r="AF307" s="398">
        <f t="shared" si="66"/>
        <v>8589.81621346887</v>
      </c>
      <c r="AG307" s="398">
        <f t="shared" si="67"/>
        <v>9117.0390851334178</v>
      </c>
      <c r="AH307" s="399">
        <f t="shared" si="68"/>
        <v>527.22</v>
      </c>
      <c r="AI307" s="157">
        <v>52.71</v>
      </c>
      <c r="AJ307" s="157">
        <v>439239.46</v>
      </c>
      <c r="AK307" s="398">
        <f t="shared" si="69"/>
        <v>8333.1333712767973</v>
      </c>
      <c r="AL307" s="398">
        <f t="shared" si="70"/>
        <v>8976.1735913488901</v>
      </c>
      <c r="AM307" s="399">
        <f t="shared" si="71"/>
        <v>643.04</v>
      </c>
      <c r="AN307" s="397">
        <v>2190.7800000000002</v>
      </c>
      <c r="AO307" s="397">
        <v>475000</v>
      </c>
      <c r="AP307" s="46"/>
      <c r="AQ307" s="402">
        <v>218473.37999999989</v>
      </c>
      <c r="AR307" s="274">
        <v>277857.38</v>
      </c>
      <c r="AS307" s="413">
        <v>85607.37</v>
      </c>
      <c r="AX307" s="2"/>
      <c r="BA307" s="342"/>
      <c r="BB307" s="342"/>
      <c r="BC307" s="342"/>
      <c r="BD307" s="386"/>
      <c r="BE307" s="386"/>
      <c r="BF307" s="386"/>
      <c r="BG307" s="386"/>
      <c r="BH307" s="386"/>
      <c r="BI307" s="386"/>
      <c r="BJ307" s="386"/>
      <c r="BK307" s="386"/>
      <c r="BL307" s="386"/>
      <c r="BM307" s="386"/>
      <c r="BN307" s="387"/>
      <c r="BO307" s="265"/>
      <c r="BP307" s="386"/>
      <c r="BQ307" s="388"/>
      <c r="BR307" s="388"/>
      <c r="BS307" s="389"/>
      <c r="BT307" s="389"/>
      <c r="BU307" s="389"/>
      <c r="BV307" s="386"/>
      <c r="BW307" s="389"/>
      <c r="BX307" s="389"/>
      <c r="BY307" s="386"/>
      <c r="BZ307" s="386"/>
      <c r="CA307" s="386"/>
      <c r="CB307" s="386"/>
      <c r="CC307" s="386"/>
      <c r="CD307" s="386"/>
      <c r="CE307" s="386"/>
      <c r="CF307" s="390"/>
      <c r="CG307" s="390"/>
      <c r="CH307" s="391"/>
      <c r="CI307" s="386"/>
      <c r="CJ307" s="386"/>
      <c r="CK307" s="390"/>
      <c r="CL307" s="390"/>
      <c r="CM307" s="391"/>
      <c r="CN307" s="389"/>
      <c r="CO307" s="389"/>
      <c r="CP307" s="135"/>
      <c r="CQ307" s="135"/>
      <c r="CR307" s="135"/>
      <c r="CS307" s="135"/>
      <c r="CT307" s="135"/>
      <c r="CU307" s="135"/>
    </row>
    <row r="308" spans="1:99">
      <c r="A308" s="342" t="s">
        <v>638</v>
      </c>
      <c r="B308" s="342" t="s">
        <v>637</v>
      </c>
      <c r="C308" s="342" t="s">
        <v>1144</v>
      </c>
      <c r="D308" s="157">
        <v>0</v>
      </c>
      <c r="E308" s="157">
        <v>5961.54</v>
      </c>
      <c r="F308" s="157">
        <v>0</v>
      </c>
      <c r="G308" s="157">
        <v>0</v>
      </c>
      <c r="H308" s="157">
        <v>0</v>
      </c>
      <c r="I308" s="157">
        <v>78621.350000000006</v>
      </c>
      <c r="J308" s="157">
        <v>97345.64</v>
      </c>
      <c r="K308" s="157">
        <v>0</v>
      </c>
      <c r="L308" s="157">
        <v>0</v>
      </c>
      <c r="M308" s="157">
        <v>153961.76999999999</v>
      </c>
      <c r="N308" s="264">
        <v>7.4800000000000005E-2</v>
      </c>
      <c r="O308" s="265">
        <v>0.3256</v>
      </c>
      <c r="P308" s="157">
        <v>0</v>
      </c>
      <c r="Q308" s="396">
        <v>0</v>
      </c>
      <c r="R308" s="396">
        <v>0</v>
      </c>
      <c r="S308" s="397">
        <v>0</v>
      </c>
      <c r="T308" s="397">
        <v>0</v>
      </c>
      <c r="U308" s="397">
        <v>0</v>
      </c>
      <c r="V308" s="157">
        <v>0</v>
      </c>
      <c r="W308" s="397">
        <v>0</v>
      </c>
      <c r="X308" s="397">
        <v>0</v>
      </c>
      <c r="Y308" s="157">
        <v>0</v>
      </c>
      <c r="Z308" s="157">
        <v>0</v>
      </c>
      <c r="AA308" s="157">
        <v>0</v>
      </c>
      <c r="AB308" s="157">
        <v>36366.21</v>
      </c>
      <c r="AC308" s="157">
        <v>93611.17</v>
      </c>
      <c r="AD308" s="157">
        <v>9.57</v>
      </c>
      <c r="AE308" s="157">
        <v>82302.039999999994</v>
      </c>
      <c r="AF308" s="398">
        <f t="shared" si="66"/>
        <v>8600.0041797283175</v>
      </c>
      <c r="AG308" s="398">
        <f t="shared" si="67"/>
        <v>9781.7314524555895</v>
      </c>
      <c r="AH308" s="399">
        <f t="shared" si="68"/>
        <v>1181.73</v>
      </c>
      <c r="AI308" s="157">
        <v>4.05</v>
      </c>
      <c r="AJ308" s="157">
        <v>33790.67</v>
      </c>
      <c r="AK308" s="398">
        <f t="shared" si="69"/>
        <v>8343.3753086419747</v>
      </c>
      <c r="AL308" s="398">
        <f t="shared" si="70"/>
        <v>8979.311111111112</v>
      </c>
      <c r="AM308" s="399">
        <f t="shared" si="71"/>
        <v>635.94000000000005</v>
      </c>
      <c r="AN308" s="397">
        <v>0</v>
      </c>
      <c r="AO308" s="397">
        <v>0</v>
      </c>
      <c r="AP308" s="46"/>
      <c r="AQ308" s="402">
        <v>25532.730000000003</v>
      </c>
      <c r="AR308" s="274">
        <v>31102.84</v>
      </c>
      <c r="AS308" s="413">
        <v>16895.310000000001</v>
      </c>
      <c r="AX308" s="2"/>
      <c r="BA308" s="342"/>
      <c r="BB308" s="342"/>
      <c r="BC308" s="342"/>
      <c r="BD308" s="386"/>
      <c r="BE308" s="386"/>
      <c r="BF308" s="386"/>
      <c r="BG308" s="386"/>
      <c r="BH308" s="386"/>
      <c r="BI308" s="386"/>
      <c r="BJ308" s="386"/>
      <c r="BK308" s="386"/>
      <c r="BL308" s="386"/>
      <c r="BM308" s="386"/>
      <c r="BN308" s="387"/>
      <c r="BO308" s="265"/>
      <c r="BP308" s="386"/>
      <c r="BQ308" s="388"/>
      <c r="BR308" s="388"/>
      <c r="BS308" s="389"/>
      <c r="BT308" s="389"/>
      <c r="BU308" s="389"/>
      <c r="BV308" s="386"/>
      <c r="BW308" s="389"/>
      <c r="BX308" s="389"/>
      <c r="BY308" s="386"/>
      <c r="BZ308" s="386"/>
      <c r="CA308" s="386"/>
      <c r="CB308" s="386"/>
      <c r="CC308" s="386"/>
      <c r="CD308" s="386"/>
      <c r="CE308" s="386"/>
      <c r="CF308" s="390"/>
      <c r="CG308" s="390"/>
      <c r="CH308" s="391"/>
      <c r="CI308" s="386"/>
      <c r="CJ308" s="386"/>
      <c r="CK308" s="390"/>
      <c r="CL308" s="390"/>
      <c r="CM308" s="391"/>
      <c r="CN308" s="389"/>
      <c r="CO308" s="389"/>
      <c r="CP308" s="135"/>
      <c r="CQ308" s="135"/>
      <c r="CR308" s="135"/>
      <c r="CS308" s="135"/>
      <c r="CT308" s="135"/>
      <c r="CU308" s="135"/>
    </row>
    <row r="309" spans="1:99">
      <c r="A309" s="342" t="s">
        <v>640</v>
      </c>
      <c r="B309" s="342" t="s">
        <v>639</v>
      </c>
      <c r="C309" s="342" t="s">
        <v>1145</v>
      </c>
      <c r="D309" s="157">
        <v>0</v>
      </c>
      <c r="E309" s="157">
        <v>192003.41</v>
      </c>
      <c r="F309" s="157">
        <v>0</v>
      </c>
      <c r="G309" s="157">
        <v>7669402.0599999996</v>
      </c>
      <c r="H309" s="157">
        <v>1728407.12</v>
      </c>
      <c r="I309" s="157">
        <v>840265.58</v>
      </c>
      <c r="J309" s="157">
        <v>2072076.88</v>
      </c>
      <c r="K309" s="157">
        <v>1339761.42</v>
      </c>
      <c r="L309" s="157">
        <v>167774.74</v>
      </c>
      <c r="M309" s="157">
        <v>1998988.29</v>
      </c>
      <c r="N309" s="264">
        <v>6.7400000000000002E-2</v>
      </c>
      <c r="O309" s="265">
        <v>0.20680000000000001</v>
      </c>
      <c r="P309" s="157">
        <v>0</v>
      </c>
      <c r="Q309" s="396">
        <v>0</v>
      </c>
      <c r="R309" s="396">
        <v>0</v>
      </c>
      <c r="S309" s="397">
        <v>162168.32000000001</v>
      </c>
      <c r="T309" s="397">
        <v>0</v>
      </c>
      <c r="U309" s="397">
        <v>5759.52</v>
      </c>
      <c r="V309" s="157">
        <v>0</v>
      </c>
      <c r="W309" s="397">
        <v>0</v>
      </c>
      <c r="X309" s="397">
        <v>0</v>
      </c>
      <c r="Y309" s="157">
        <v>1964.56</v>
      </c>
      <c r="Z309" s="157">
        <v>44039.32</v>
      </c>
      <c r="AA309" s="157">
        <v>248220.15</v>
      </c>
      <c r="AB309" s="157">
        <v>540840.81000000006</v>
      </c>
      <c r="AC309" s="157">
        <v>2646086.85</v>
      </c>
      <c r="AD309" s="157">
        <v>278.12</v>
      </c>
      <c r="AE309" s="157">
        <v>2437250.42</v>
      </c>
      <c r="AF309" s="398">
        <f t="shared" si="66"/>
        <v>8763.3051200920454</v>
      </c>
      <c r="AG309" s="398">
        <f t="shared" si="67"/>
        <v>9514.1911764705892</v>
      </c>
      <c r="AH309" s="399">
        <f t="shared" si="68"/>
        <v>750.89</v>
      </c>
      <c r="AI309" s="157">
        <v>59</v>
      </c>
      <c r="AJ309" s="157">
        <v>501976.49</v>
      </c>
      <c r="AK309" s="398">
        <f t="shared" si="69"/>
        <v>8508.0761016949145</v>
      </c>
      <c r="AL309" s="398">
        <f t="shared" si="70"/>
        <v>9166.7933898305091</v>
      </c>
      <c r="AM309" s="399">
        <f t="shared" si="71"/>
        <v>658.72</v>
      </c>
      <c r="AN309" s="397">
        <v>0</v>
      </c>
      <c r="AO309" s="397">
        <v>0</v>
      </c>
      <c r="AP309" s="46"/>
      <c r="AQ309" s="402">
        <v>323682.99999999977</v>
      </c>
      <c r="AR309" s="274">
        <v>557309.52</v>
      </c>
      <c r="AS309" s="413">
        <v>177528.24</v>
      </c>
      <c r="AX309" s="2"/>
      <c r="BA309" s="342"/>
      <c r="BB309" s="342"/>
      <c r="BC309" s="342"/>
      <c r="BD309" s="386"/>
      <c r="BE309" s="386"/>
      <c r="BF309" s="386"/>
      <c r="BG309" s="386"/>
      <c r="BH309" s="386"/>
      <c r="BI309" s="386"/>
      <c r="BJ309" s="386"/>
      <c r="BK309" s="386"/>
      <c r="BL309" s="386"/>
      <c r="BM309" s="386"/>
      <c r="BN309" s="387"/>
      <c r="BO309" s="265"/>
      <c r="BP309" s="386"/>
      <c r="BQ309" s="388"/>
      <c r="BR309" s="388"/>
      <c r="BS309" s="389"/>
      <c r="BT309" s="389"/>
      <c r="BU309" s="389"/>
      <c r="BV309" s="386"/>
      <c r="BW309" s="389"/>
      <c r="BX309" s="389"/>
      <c r="BY309" s="386"/>
      <c r="BZ309" s="386"/>
      <c r="CA309" s="386"/>
      <c r="CB309" s="386"/>
      <c r="CC309" s="386"/>
      <c r="CD309" s="386"/>
      <c r="CE309" s="386"/>
      <c r="CF309" s="390"/>
      <c r="CG309" s="390"/>
      <c r="CH309" s="391"/>
      <c r="CI309" s="386"/>
      <c r="CJ309" s="386"/>
      <c r="CK309" s="390"/>
      <c r="CL309" s="390"/>
      <c r="CM309" s="391"/>
      <c r="CN309" s="389"/>
      <c r="CO309" s="389"/>
      <c r="CP309" s="135"/>
      <c r="CQ309" s="135"/>
      <c r="CR309" s="135"/>
      <c r="CS309" s="135"/>
      <c r="CT309" s="135"/>
      <c r="CU309" s="135"/>
    </row>
    <row r="310" spans="1:99">
      <c r="A310" s="342" t="s">
        <v>642</v>
      </c>
      <c r="B310" s="342" t="s">
        <v>641</v>
      </c>
      <c r="C310" s="342" t="s">
        <v>1146</v>
      </c>
      <c r="D310" s="157">
        <v>0</v>
      </c>
      <c r="E310" s="157">
        <v>0</v>
      </c>
      <c r="F310" s="157">
        <v>46538.55</v>
      </c>
      <c r="G310" s="157">
        <v>4124027.27</v>
      </c>
      <c r="H310" s="157">
        <v>714154.65</v>
      </c>
      <c r="I310" s="157">
        <v>939835.47</v>
      </c>
      <c r="J310" s="157">
        <v>1866429.45</v>
      </c>
      <c r="K310" s="157">
        <v>1668426.18</v>
      </c>
      <c r="L310" s="157">
        <v>93828.37</v>
      </c>
      <c r="M310" s="157">
        <v>1635991.88</v>
      </c>
      <c r="N310" s="264">
        <v>5.6599999999999998E-2</v>
      </c>
      <c r="O310" s="265">
        <v>0.20430000000000001</v>
      </c>
      <c r="P310" s="157">
        <v>0</v>
      </c>
      <c r="Q310" s="396">
        <v>0</v>
      </c>
      <c r="R310" s="396">
        <v>0</v>
      </c>
      <c r="S310" s="397">
        <v>0</v>
      </c>
      <c r="T310" s="397">
        <v>0</v>
      </c>
      <c r="U310" s="397">
        <v>0</v>
      </c>
      <c r="V310" s="157">
        <v>0</v>
      </c>
      <c r="W310" s="397">
        <v>0</v>
      </c>
      <c r="X310" s="397">
        <v>0</v>
      </c>
      <c r="Y310" s="157">
        <v>0</v>
      </c>
      <c r="Z310" s="157">
        <v>50359.42</v>
      </c>
      <c r="AA310" s="157">
        <v>122351.22</v>
      </c>
      <c r="AB310" s="157">
        <v>640454.85</v>
      </c>
      <c r="AC310" s="157">
        <v>2217050.6800000002</v>
      </c>
      <c r="AD310" s="157">
        <v>242.03</v>
      </c>
      <c r="AE310" s="157">
        <v>2079131.18</v>
      </c>
      <c r="AF310" s="398">
        <f t="shared" si="66"/>
        <v>8590.3862331115979</v>
      </c>
      <c r="AG310" s="398">
        <f t="shared" si="67"/>
        <v>9160.2308804693639</v>
      </c>
      <c r="AH310" s="399">
        <f t="shared" si="68"/>
        <v>569.84</v>
      </c>
      <c r="AI310" s="157">
        <v>71.349999999999994</v>
      </c>
      <c r="AJ310" s="157">
        <v>594731.37</v>
      </c>
      <c r="AK310" s="398">
        <f t="shared" si="69"/>
        <v>8335.4081289418373</v>
      </c>
      <c r="AL310" s="398">
        <f t="shared" si="70"/>
        <v>8976.2417659425373</v>
      </c>
      <c r="AM310" s="399">
        <f t="shared" si="71"/>
        <v>640.83000000000004</v>
      </c>
      <c r="AN310" s="397">
        <v>942.17</v>
      </c>
      <c r="AO310" s="397">
        <v>0</v>
      </c>
      <c r="AP310" s="46"/>
      <c r="AQ310" s="402">
        <v>374738.96000000008</v>
      </c>
      <c r="AR310" s="274">
        <v>360228.74</v>
      </c>
      <c r="AS310" s="413">
        <v>108059.81</v>
      </c>
      <c r="AX310" s="2"/>
      <c r="BA310" s="342"/>
      <c r="BB310" s="342"/>
      <c r="BC310" s="342"/>
      <c r="BD310" s="386"/>
      <c r="BE310" s="386"/>
      <c r="BF310" s="386"/>
      <c r="BG310" s="386"/>
      <c r="BH310" s="386"/>
      <c r="BI310" s="386"/>
      <c r="BJ310" s="386"/>
      <c r="BK310" s="386"/>
      <c r="BL310" s="386"/>
      <c r="BM310" s="386"/>
      <c r="BN310" s="387"/>
      <c r="BO310" s="265"/>
      <c r="BP310" s="386"/>
      <c r="BQ310" s="388"/>
      <c r="BR310" s="388"/>
      <c r="BS310" s="389"/>
      <c r="BT310" s="389"/>
      <c r="BU310" s="389"/>
      <c r="BV310" s="386"/>
      <c r="BW310" s="389"/>
      <c r="BX310" s="389"/>
      <c r="BY310" s="386"/>
      <c r="BZ310" s="386"/>
      <c r="CA310" s="386"/>
      <c r="CB310" s="386"/>
      <c r="CC310" s="386"/>
      <c r="CD310" s="386"/>
      <c r="CE310" s="386"/>
      <c r="CF310" s="390"/>
      <c r="CG310" s="390"/>
      <c r="CH310" s="391"/>
      <c r="CI310" s="386"/>
      <c r="CJ310" s="386"/>
      <c r="CK310" s="390"/>
      <c r="CL310" s="390"/>
      <c r="CM310" s="391"/>
      <c r="CN310" s="389"/>
      <c r="CO310" s="389"/>
      <c r="CP310" s="135"/>
      <c r="CQ310" s="135"/>
      <c r="CR310" s="135"/>
      <c r="CS310" s="135"/>
      <c r="CT310" s="135"/>
      <c r="CU310" s="135"/>
    </row>
    <row r="311" spans="1:99">
      <c r="A311" s="342" t="s">
        <v>644</v>
      </c>
      <c r="B311" s="342" t="s">
        <v>643</v>
      </c>
      <c r="C311" s="342" t="s">
        <v>1147</v>
      </c>
      <c r="D311" s="157">
        <v>0</v>
      </c>
      <c r="E311" s="157">
        <v>12563.24</v>
      </c>
      <c r="F311" s="157">
        <v>9591.41</v>
      </c>
      <c r="G311" s="157">
        <v>1195919.18</v>
      </c>
      <c r="H311" s="157">
        <v>321908.15999999997</v>
      </c>
      <c r="I311" s="157">
        <v>267416.02</v>
      </c>
      <c r="J311" s="157">
        <v>480107.48</v>
      </c>
      <c r="K311" s="157">
        <v>395460.74</v>
      </c>
      <c r="L311" s="157">
        <v>25655.39</v>
      </c>
      <c r="M311" s="157">
        <v>411542.28</v>
      </c>
      <c r="N311" s="264">
        <v>4.2200000000000001E-2</v>
      </c>
      <c r="O311" s="265">
        <v>0.17780000000000001</v>
      </c>
      <c r="P311" s="157">
        <v>0</v>
      </c>
      <c r="Q311" s="396">
        <v>0</v>
      </c>
      <c r="R311" s="396">
        <v>0</v>
      </c>
      <c r="S311" s="397">
        <v>0</v>
      </c>
      <c r="T311" s="397">
        <v>0</v>
      </c>
      <c r="U311" s="397">
        <v>0</v>
      </c>
      <c r="V311" s="157">
        <v>0</v>
      </c>
      <c r="W311" s="397">
        <v>0</v>
      </c>
      <c r="X311" s="397">
        <v>0</v>
      </c>
      <c r="Y311" s="157">
        <v>1025.1400000000001</v>
      </c>
      <c r="Z311" s="157">
        <v>2792.33</v>
      </c>
      <c r="AA311" s="157">
        <v>46988.61</v>
      </c>
      <c r="AB311" s="157">
        <v>91342.54</v>
      </c>
      <c r="AC311" s="157">
        <v>557055.43999999994</v>
      </c>
      <c r="AD311" s="157">
        <v>60.59</v>
      </c>
      <c r="AE311" s="157">
        <v>520590.68</v>
      </c>
      <c r="AF311" s="398">
        <f t="shared" si="66"/>
        <v>8592.0231061231225</v>
      </c>
      <c r="AG311" s="398">
        <f t="shared" si="67"/>
        <v>9193.851130549594</v>
      </c>
      <c r="AH311" s="399">
        <f t="shared" si="68"/>
        <v>601.83000000000004</v>
      </c>
      <c r="AI311" s="157">
        <v>10.17</v>
      </c>
      <c r="AJ311" s="157">
        <v>84831.66</v>
      </c>
      <c r="AK311" s="398">
        <f t="shared" si="69"/>
        <v>8341.3628318584069</v>
      </c>
      <c r="AL311" s="398">
        <f t="shared" si="70"/>
        <v>8981.5673549655839</v>
      </c>
      <c r="AM311" s="399">
        <f t="shared" si="71"/>
        <v>640.20000000000005</v>
      </c>
      <c r="AN311" s="397">
        <v>1552.9</v>
      </c>
      <c r="AO311" s="397">
        <v>0</v>
      </c>
      <c r="AP311" s="46"/>
      <c r="AQ311" s="402">
        <v>31150.21</v>
      </c>
      <c r="AR311" s="274">
        <v>97975.09</v>
      </c>
      <c r="AS311" s="413">
        <v>37134.36</v>
      </c>
      <c r="AX311" s="2"/>
      <c r="BA311" s="342"/>
      <c r="BB311" s="342"/>
      <c r="BC311" s="342"/>
      <c r="BD311" s="386"/>
      <c r="BE311" s="386"/>
      <c r="BF311" s="386"/>
      <c r="BG311" s="386"/>
      <c r="BH311" s="386"/>
      <c r="BI311" s="386"/>
      <c r="BJ311" s="386"/>
      <c r="BK311" s="386"/>
      <c r="BL311" s="386"/>
      <c r="BM311" s="386"/>
      <c r="BN311" s="387"/>
      <c r="BO311" s="265"/>
      <c r="BP311" s="386"/>
      <c r="BQ311" s="388"/>
      <c r="BR311" s="388"/>
      <c r="BS311" s="389"/>
      <c r="BT311" s="389"/>
      <c r="BU311" s="389"/>
      <c r="BV311" s="386"/>
      <c r="BW311" s="389"/>
      <c r="BX311" s="389"/>
      <c r="BY311" s="386"/>
      <c r="BZ311" s="386"/>
      <c r="CA311" s="386"/>
      <c r="CB311" s="386"/>
      <c r="CC311" s="386"/>
      <c r="CD311" s="386"/>
      <c r="CE311" s="386"/>
      <c r="CF311" s="390"/>
      <c r="CG311" s="390"/>
      <c r="CH311" s="391"/>
      <c r="CI311" s="386"/>
      <c r="CJ311" s="386"/>
      <c r="CK311" s="390"/>
      <c r="CL311" s="390"/>
      <c r="CM311" s="391"/>
      <c r="CN311" s="389"/>
      <c r="CO311" s="389"/>
      <c r="CP311" s="135"/>
      <c r="CQ311" s="135"/>
      <c r="CR311" s="135"/>
      <c r="CS311" s="135"/>
      <c r="CT311" s="135"/>
      <c r="CU311" s="135"/>
    </row>
    <row r="312" spans="1:99">
      <c r="A312" s="342" t="s">
        <v>646</v>
      </c>
      <c r="B312" s="342" t="s">
        <v>645</v>
      </c>
      <c r="C312" s="342" t="s">
        <v>1148</v>
      </c>
      <c r="D312" s="157">
        <v>0</v>
      </c>
      <c r="E312" s="157">
        <v>0</v>
      </c>
      <c r="F312" s="157">
        <v>0</v>
      </c>
      <c r="G312" s="157">
        <v>4850991.1399999997</v>
      </c>
      <c r="H312" s="157">
        <v>822586.11</v>
      </c>
      <c r="I312" s="157">
        <v>0</v>
      </c>
      <c r="J312" s="157">
        <v>687393.18</v>
      </c>
      <c r="K312" s="157">
        <v>198750.72</v>
      </c>
      <c r="L312" s="157">
        <v>87884.4</v>
      </c>
      <c r="M312" s="157">
        <v>2419473.7200000002</v>
      </c>
      <c r="N312" s="264">
        <v>4.4400000000000002E-2</v>
      </c>
      <c r="O312" s="265">
        <v>0.1605</v>
      </c>
      <c r="P312" s="157">
        <v>0</v>
      </c>
      <c r="Q312" s="396">
        <v>0</v>
      </c>
      <c r="R312" s="396">
        <v>0</v>
      </c>
      <c r="S312" s="397">
        <v>0</v>
      </c>
      <c r="T312" s="397">
        <v>0</v>
      </c>
      <c r="U312" s="397">
        <v>0</v>
      </c>
      <c r="V312" s="157">
        <v>0</v>
      </c>
      <c r="W312" s="397">
        <v>0</v>
      </c>
      <c r="X312" s="397">
        <v>0</v>
      </c>
      <c r="Y312" s="157">
        <v>3278.41</v>
      </c>
      <c r="Z312" s="157">
        <v>36300.31</v>
      </c>
      <c r="AA312" s="157">
        <v>168617.08</v>
      </c>
      <c r="AB312" s="157">
        <v>372201.86</v>
      </c>
      <c r="AC312" s="157">
        <v>2049461.44</v>
      </c>
      <c r="AD312" s="157">
        <v>217.96</v>
      </c>
      <c r="AE312" s="157">
        <v>1950620.39</v>
      </c>
      <c r="AF312" s="398">
        <f t="shared" si="66"/>
        <v>8949.4420535878144</v>
      </c>
      <c r="AG312" s="398">
        <f t="shared" si="67"/>
        <v>9402.9245733162043</v>
      </c>
      <c r="AH312" s="399">
        <f t="shared" si="68"/>
        <v>453.48</v>
      </c>
      <c r="AI312" s="157">
        <v>39.78</v>
      </c>
      <c r="AJ312" s="157">
        <v>345775.91</v>
      </c>
      <c r="AK312" s="398">
        <f t="shared" si="69"/>
        <v>8692.2048768225231</v>
      </c>
      <c r="AL312" s="398">
        <f t="shared" si="70"/>
        <v>9356.5072900955256</v>
      </c>
      <c r="AM312" s="399">
        <f t="shared" si="71"/>
        <v>664.3</v>
      </c>
      <c r="AN312" s="397">
        <v>0</v>
      </c>
      <c r="AO312" s="397">
        <v>1930.85</v>
      </c>
      <c r="AP312" s="46"/>
      <c r="AQ312" s="402">
        <v>0</v>
      </c>
      <c r="AR312" s="274">
        <v>286124.7</v>
      </c>
      <c r="AS312" s="413">
        <v>93155.31</v>
      </c>
      <c r="AX312" s="2"/>
      <c r="BA312" s="342"/>
      <c r="BB312" s="342"/>
      <c r="BC312" s="342"/>
      <c r="BD312" s="386"/>
      <c r="BE312" s="386"/>
      <c r="BF312" s="386"/>
      <c r="BG312" s="386"/>
      <c r="BH312" s="386"/>
      <c r="BI312" s="386"/>
      <c r="BJ312" s="386"/>
      <c r="BK312" s="386"/>
      <c r="BL312" s="386"/>
      <c r="BM312" s="386"/>
      <c r="BN312" s="387"/>
      <c r="BO312" s="265"/>
      <c r="BP312" s="386"/>
      <c r="BQ312" s="388"/>
      <c r="BR312" s="388"/>
      <c r="BS312" s="389"/>
      <c r="BT312" s="389"/>
      <c r="BU312" s="389"/>
      <c r="BV312" s="386"/>
      <c r="BW312" s="389"/>
      <c r="BX312" s="389"/>
      <c r="BY312" s="386"/>
      <c r="BZ312" s="386"/>
      <c r="CA312" s="386"/>
      <c r="CB312" s="386"/>
      <c r="CC312" s="386"/>
      <c r="CD312" s="386"/>
      <c r="CE312" s="386"/>
      <c r="CF312" s="390"/>
      <c r="CG312" s="390"/>
      <c r="CH312" s="391"/>
      <c r="CI312" s="386"/>
      <c r="CJ312" s="386"/>
      <c r="CK312" s="390"/>
      <c r="CL312" s="390"/>
      <c r="CM312" s="391"/>
      <c r="CN312" s="389"/>
      <c r="CO312" s="389"/>
      <c r="CP312" s="135"/>
      <c r="CQ312" s="135"/>
      <c r="CR312" s="135"/>
      <c r="CS312" s="135"/>
      <c r="CT312" s="135"/>
      <c r="CU312" s="135"/>
    </row>
    <row r="313" spans="1:99">
      <c r="A313" s="342" t="s">
        <v>648</v>
      </c>
      <c r="B313" s="342" t="s">
        <v>647</v>
      </c>
      <c r="C313" s="342" t="s">
        <v>1149</v>
      </c>
      <c r="D313" s="157">
        <v>0</v>
      </c>
      <c r="E313" s="157">
        <v>758.45</v>
      </c>
      <c r="F313" s="157">
        <v>345.55</v>
      </c>
      <c r="G313" s="157">
        <v>98946.28</v>
      </c>
      <c r="H313" s="157">
        <v>7762.29</v>
      </c>
      <c r="I313" s="157">
        <v>24413.99</v>
      </c>
      <c r="J313" s="157">
        <v>39517.57</v>
      </c>
      <c r="K313" s="157">
        <v>0</v>
      </c>
      <c r="L313" s="157">
        <v>1862.08</v>
      </c>
      <c r="M313" s="157">
        <v>154633.74</v>
      </c>
      <c r="N313" s="264">
        <v>3.0200000000000001E-2</v>
      </c>
      <c r="O313" s="265">
        <v>0.2913</v>
      </c>
      <c r="P313" s="157">
        <v>0</v>
      </c>
      <c r="Q313" s="396">
        <v>0</v>
      </c>
      <c r="R313" s="396">
        <v>0</v>
      </c>
      <c r="S313" s="397">
        <v>0</v>
      </c>
      <c r="T313" s="397">
        <v>0</v>
      </c>
      <c r="U313" s="397">
        <v>0</v>
      </c>
      <c r="V313" s="157">
        <v>0</v>
      </c>
      <c r="W313" s="397">
        <v>0</v>
      </c>
      <c r="X313" s="397">
        <v>0</v>
      </c>
      <c r="Y313" s="157">
        <v>0</v>
      </c>
      <c r="Z313" s="157">
        <v>2581.4899999999998</v>
      </c>
      <c r="AA313" s="157">
        <v>0</v>
      </c>
      <c r="AB313" s="157">
        <v>10992.68</v>
      </c>
      <c r="AC313" s="157">
        <v>21291.88</v>
      </c>
      <c r="AD313" s="157">
        <v>2.37</v>
      </c>
      <c r="AE313" s="157">
        <v>20192.419999999998</v>
      </c>
      <c r="AF313" s="398">
        <f t="shared" si="66"/>
        <v>8520.0084388185642</v>
      </c>
      <c r="AG313" s="398">
        <f t="shared" si="67"/>
        <v>8983.9156118143455</v>
      </c>
      <c r="AH313" s="399">
        <f t="shared" si="68"/>
        <v>463.91</v>
      </c>
      <c r="AI313" s="157">
        <v>1.23</v>
      </c>
      <c r="AJ313" s="157">
        <v>10241.76</v>
      </c>
      <c r="AK313" s="398">
        <f t="shared" si="69"/>
        <v>8326.6341463414628</v>
      </c>
      <c r="AL313" s="398">
        <f t="shared" si="70"/>
        <v>8937.1382113821146</v>
      </c>
      <c r="AM313" s="399">
        <f t="shared" si="71"/>
        <v>610.5</v>
      </c>
      <c r="AN313" s="397">
        <v>5.7</v>
      </c>
      <c r="AO313" s="397">
        <v>0</v>
      </c>
      <c r="AP313" s="46"/>
      <c r="AQ313" s="402">
        <v>5700.1299999999974</v>
      </c>
      <c r="AR313" s="274">
        <v>20433.45</v>
      </c>
      <c r="AS313" s="413">
        <v>12389.99</v>
      </c>
      <c r="AX313" s="2"/>
      <c r="BA313" s="342"/>
      <c r="BB313" s="342"/>
      <c r="BC313" s="342"/>
      <c r="BD313" s="386"/>
      <c r="BE313" s="386"/>
      <c r="BF313" s="386"/>
      <c r="BG313" s="386"/>
      <c r="BH313" s="386"/>
      <c r="BI313" s="386"/>
      <c r="BJ313" s="386"/>
      <c r="BK313" s="386"/>
      <c r="BL313" s="386"/>
      <c r="BM313" s="386"/>
      <c r="BN313" s="387"/>
      <c r="BO313" s="265"/>
      <c r="BP313" s="386"/>
      <c r="BQ313" s="388"/>
      <c r="BR313" s="388"/>
      <c r="BS313" s="389"/>
      <c r="BT313" s="389"/>
      <c r="BU313" s="389"/>
      <c r="BV313" s="386"/>
      <c r="BW313" s="389"/>
      <c r="BX313" s="389"/>
      <c r="BY313" s="386"/>
      <c r="BZ313" s="386"/>
      <c r="CA313" s="386"/>
      <c r="CB313" s="386"/>
      <c r="CC313" s="386"/>
      <c r="CD313" s="386"/>
      <c r="CE313" s="386"/>
      <c r="CF313" s="390"/>
      <c r="CG313" s="390"/>
      <c r="CH313" s="391"/>
      <c r="CI313" s="386"/>
      <c r="CJ313" s="386"/>
      <c r="CK313" s="390"/>
      <c r="CL313" s="390"/>
      <c r="CM313" s="391"/>
      <c r="CN313" s="389"/>
      <c r="CO313" s="389"/>
      <c r="CP313" s="135"/>
      <c r="CQ313" s="135"/>
      <c r="CR313" s="135"/>
      <c r="CS313" s="135"/>
      <c r="CT313" s="135"/>
      <c r="CU313" s="135"/>
    </row>
    <row r="314" spans="1:99">
      <c r="A314" s="342" t="s">
        <v>650</v>
      </c>
      <c r="B314" s="342" t="s">
        <v>649</v>
      </c>
      <c r="C314" s="342" t="s">
        <v>1150</v>
      </c>
      <c r="D314" s="157">
        <v>0</v>
      </c>
      <c r="E314" s="157">
        <v>3132.45</v>
      </c>
      <c r="F314" s="157">
        <v>0</v>
      </c>
      <c r="G314" s="157">
        <v>0</v>
      </c>
      <c r="H314" s="157">
        <v>0</v>
      </c>
      <c r="I314" s="157">
        <v>36310.65</v>
      </c>
      <c r="J314" s="157">
        <v>82242.070000000007</v>
      </c>
      <c r="K314" s="157">
        <v>25985.1</v>
      </c>
      <c r="L314" s="157">
        <v>7758.69</v>
      </c>
      <c r="M314" s="157">
        <v>208128.61</v>
      </c>
      <c r="N314" s="264">
        <v>6.0299999999999999E-2</v>
      </c>
      <c r="O314" s="265">
        <v>0.24679999999999999</v>
      </c>
      <c r="P314" s="157">
        <v>0</v>
      </c>
      <c r="Q314" s="396">
        <v>0</v>
      </c>
      <c r="R314" s="396">
        <v>0</v>
      </c>
      <c r="S314" s="397">
        <v>0</v>
      </c>
      <c r="T314" s="397">
        <v>0</v>
      </c>
      <c r="U314" s="397">
        <v>0</v>
      </c>
      <c r="V314" s="157">
        <v>0</v>
      </c>
      <c r="W314" s="397">
        <v>0</v>
      </c>
      <c r="X314" s="397">
        <v>0</v>
      </c>
      <c r="Y314" s="157">
        <v>299.99</v>
      </c>
      <c r="Z314" s="157">
        <v>0</v>
      </c>
      <c r="AA314" s="157">
        <v>0</v>
      </c>
      <c r="AB314" s="157">
        <v>8555.7000000000007</v>
      </c>
      <c r="AC314" s="157">
        <v>135696.31</v>
      </c>
      <c r="AD314" s="157">
        <v>14.98</v>
      </c>
      <c r="AE314" s="157">
        <v>128749.91</v>
      </c>
      <c r="AF314" s="398">
        <f t="shared" si="66"/>
        <v>8594.7870493991995</v>
      </c>
      <c r="AG314" s="398">
        <f t="shared" si="67"/>
        <v>9058.4986648865142</v>
      </c>
      <c r="AH314" s="399">
        <f t="shared" si="68"/>
        <v>463.71</v>
      </c>
      <c r="AI314" s="157">
        <v>0.96</v>
      </c>
      <c r="AJ314" s="157">
        <v>7947.79</v>
      </c>
      <c r="AK314" s="398">
        <f t="shared" si="69"/>
        <v>8278.9479166666661</v>
      </c>
      <c r="AL314" s="398">
        <f t="shared" si="70"/>
        <v>8912.1875000000018</v>
      </c>
      <c r="AM314" s="399">
        <f t="shared" si="71"/>
        <v>633.24</v>
      </c>
      <c r="AN314" s="397">
        <v>0</v>
      </c>
      <c r="AO314" s="397">
        <v>0</v>
      </c>
      <c r="AP314" s="46"/>
      <c r="AQ314" s="402">
        <v>103.77999999999884</v>
      </c>
      <c r="AR314" s="274">
        <v>31976.29</v>
      </c>
      <c r="AS314" s="413">
        <v>17898.46</v>
      </c>
      <c r="AX314" s="2"/>
      <c r="BA314" s="342"/>
      <c r="BB314" s="342"/>
      <c r="BC314" s="342"/>
      <c r="BD314" s="386"/>
      <c r="BE314" s="386"/>
      <c r="BF314" s="386"/>
      <c r="BG314" s="386"/>
      <c r="BH314" s="386"/>
      <c r="BI314" s="386"/>
      <c r="BJ314" s="386"/>
      <c r="BK314" s="386"/>
      <c r="BL314" s="386"/>
      <c r="BM314" s="386"/>
      <c r="BN314" s="387"/>
      <c r="BO314" s="265"/>
      <c r="BP314" s="386"/>
      <c r="BQ314" s="388"/>
      <c r="BR314" s="388"/>
      <c r="BS314" s="389"/>
      <c r="BT314" s="389"/>
      <c r="BU314" s="389"/>
      <c r="BV314" s="386"/>
      <c r="BW314" s="389"/>
      <c r="BX314" s="389"/>
      <c r="BY314" s="386"/>
      <c r="BZ314" s="386"/>
      <c r="CA314" s="386"/>
      <c r="CB314" s="386"/>
      <c r="CC314" s="386"/>
      <c r="CD314" s="386"/>
      <c r="CE314" s="386"/>
      <c r="CF314" s="390"/>
      <c r="CG314" s="390"/>
      <c r="CH314" s="391"/>
      <c r="CI314" s="386"/>
      <c r="CJ314" s="386"/>
      <c r="CK314" s="390"/>
      <c r="CL314" s="390"/>
      <c r="CM314" s="391"/>
      <c r="CN314" s="389"/>
      <c r="CO314" s="389"/>
      <c r="CP314" s="135"/>
      <c r="CQ314" s="135"/>
      <c r="CR314" s="135"/>
      <c r="CS314" s="135"/>
      <c r="CT314" s="135"/>
      <c r="CU314" s="135"/>
    </row>
    <row r="315" spans="1:99">
      <c r="A315" s="342" t="s">
        <v>652</v>
      </c>
      <c r="B315" s="342" t="s">
        <v>651</v>
      </c>
      <c r="C315" s="342" t="s">
        <v>1151</v>
      </c>
      <c r="D315" s="157">
        <v>0</v>
      </c>
      <c r="E315" s="157">
        <v>0</v>
      </c>
      <c r="F315" s="157">
        <v>0</v>
      </c>
      <c r="G315" s="157">
        <v>533942.64</v>
      </c>
      <c r="H315" s="157">
        <v>63145.7</v>
      </c>
      <c r="I315" s="157">
        <v>108000.91</v>
      </c>
      <c r="J315" s="157">
        <v>230898.49</v>
      </c>
      <c r="K315" s="157">
        <v>0</v>
      </c>
      <c r="L315" s="157">
        <v>0</v>
      </c>
      <c r="M315" s="157">
        <v>349337.65</v>
      </c>
      <c r="N315" s="264">
        <v>5.2600000000000001E-2</v>
      </c>
      <c r="O315" s="265">
        <v>0.32590000000000002</v>
      </c>
      <c r="P315" s="157">
        <v>0</v>
      </c>
      <c r="Q315" s="396">
        <v>0</v>
      </c>
      <c r="R315" s="396">
        <v>0</v>
      </c>
      <c r="S315" s="397">
        <v>0</v>
      </c>
      <c r="T315" s="397">
        <v>0</v>
      </c>
      <c r="U315" s="397">
        <v>0</v>
      </c>
      <c r="V315" s="157">
        <v>0</v>
      </c>
      <c r="W315" s="397">
        <v>0</v>
      </c>
      <c r="X315" s="397">
        <v>0</v>
      </c>
      <c r="Y315" s="157">
        <v>0</v>
      </c>
      <c r="Z315" s="157">
        <v>0</v>
      </c>
      <c r="AA315" s="157">
        <v>0</v>
      </c>
      <c r="AB315" s="157">
        <v>0</v>
      </c>
      <c r="AC315" s="157">
        <v>85478.64</v>
      </c>
      <c r="AD315" s="157">
        <v>9.4</v>
      </c>
      <c r="AE315" s="157">
        <v>80553.11</v>
      </c>
      <c r="AF315" s="398">
        <f t="shared" si="66"/>
        <v>8569.4797872340423</v>
      </c>
      <c r="AG315" s="398">
        <f t="shared" si="67"/>
        <v>9093.472340425531</v>
      </c>
      <c r="AH315" s="399">
        <f t="shared" si="68"/>
        <v>523.99</v>
      </c>
      <c r="AI315" s="157">
        <v>0</v>
      </c>
      <c r="AJ315" s="157">
        <v>0</v>
      </c>
      <c r="AK315" s="398">
        <f t="shared" si="69"/>
        <v>0</v>
      </c>
      <c r="AL315" s="398">
        <f t="shared" si="70"/>
        <v>0</v>
      </c>
      <c r="AM315" s="399">
        <f t="shared" si="71"/>
        <v>0</v>
      </c>
      <c r="AN315" s="397">
        <v>0</v>
      </c>
      <c r="AO315" s="397">
        <v>0</v>
      </c>
      <c r="AP315" s="46"/>
      <c r="AQ315" s="402">
        <v>13767.609999999993</v>
      </c>
      <c r="AR315" s="274">
        <v>44518.17</v>
      </c>
      <c r="AS315" s="413">
        <v>21004.940000000002</v>
      </c>
      <c r="AX315" s="2"/>
      <c r="BA315" s="342"/>
      <c r="BB315" s="342"/>
      <c r="BC315" s="342"/>
      <c r="BD315" s="386"/>
      <c r="BE315" s="386"/>
      <c r="BF315" s="386"/>
      <c r="BG315" s="386"/>
      <c r="BH315" s="386"/>
      <c r="BI315" s="386"/>
      <c r="BJ315" s="386"/>
      <c r="BK315" s="386"/>
      <c r="BL315" s="386"/>
      <c r="BM315" s="386"/>
      <c r="BN315" s="387"/>
      <c r="BO315" s="265"/>
      <c r="BP315" s="386"/>
      <c r="BQ315" s="388"/>
      <c r="BR315" s="388"/>
      <c r="BS315" s="389"/>
      <c r="BT315" s="389"/>
      <c r="BU315" s="389"/>
      <c r="BV315" s="386"/>
      <c r="BW315" s="389"/>
      <c r="BX315" s="389"/>
      <c r="BY315" s="386"/>
      <c r="BZ315" s="386"/>
      <c r="CA315" s="386"/>
      <c r="CB315" s="386"/>
      <c r="CC315" s="386"/>
      <c r="CD315" s="386"/>
      <c r="CE315" s="386"/>
      <c r="CF315" s="390"/>
      <c r="CG315" s="390"/>
      <c r="CH315" s="391"/>
      <c r="CI315" s="386"/>
      <c r="CJ315" s="386"/>
      <c r="CK315" s="390"/>
      <c r="CL315" s="390"/>
      <c r="CM315" s="391"/>
      <c r="CN315" s="389"/>
      <c r="CO315" s="389"/>
      <c r="CP315" s="135"/>
      <c r="CQ315" s="135"/>
      <c r="CR315" s="135"/>
      <c r="CS315" s="135"/>
      <c r="CT315" s="135"/>
      <c r="CU315" s="135"/>
    </row>
    <row r="316" spans="1:99">
      <c r="A316" s="342" t="s">
        <v>654</v>
      </c>
      <c r="B316" s="342" t="s">
        <v>653</v>
      </c>
      <c r="C316" s="342" t="s">
        <v>1152</v>
      </c>
      <c r="D316" s="157">
        <v>0</v>
      </c>
      <c r="E316" s="157">
        <v>257640.83</v>
      </c>
      <c r="F316" s="157">
        <v>77265.89</v>
      </c>
      <c r="G316" s="157">
        <v>10977334.58</v>
      </c>
      <c r="H316" s="157">
        <v>1591626.57</v>
      </c>
      <c r="I316" s="157">
        <v>1735444.59</v>
      </c>
      <c r="J316" s="157">
        <v>2889788.67</v>
      </c>
      <c r="K316" s="157">
        <v>2625017.5099999998</v>
      </c>
      <c r="L316" s="157">
        <v>220314.94</v>
      </c>
      <c r="M316" s="157">
        <v>2365787.92</v>
      </c>
      <c r="N316" s="264">
        <v>3.5299999999999998E-2</v>
      </c>
      <c r="O316" s="265">
        <v>0.1208</v>
      </c>
      <c r="P316" s="157">
        <v>0</v>
      </c>
      <c r="Q316" s="396">
        <v>0</v>
      </c>
      <c r="R316" s="396">
        <v>0</v>
      </c>
      <c r="S316" s="397">
        <v>164742.44</v>
      </c>
      <c r="T316" s="397">
        <v>0</v>
      </c>
      <c r="U316" s="397">
        <v>5778.51</v>
      </c>
      <c r="V316" s="157">
        <v>0</v>
      </c>
      <c r="W316" s="397">
        <v>0</v>
      </c>
      <c r="X316" s="397">
        <v>0</v>
      </c>
      <c r="Y316" s="157">
        <v>8010.5</v>
      </c>
      <c r="Z316" s="157">
        <v>59174.03</v>
      </c>
      <c r="AA316" s="157">
        <v>203142.05</v>
      </c>
      <c r="AB316" s="157">
        <v>2317782.4</v>
      </c>
      <c r="AC316" s="157">
        <v>5795721.29</v>
      </c>
      <c r="AD316" s="157">
        <v>615.95000000000005</v>
      </c>
      <c r="AE316" s="157">
        <v>5401628.6699999999</v>
      </c>
      <c r="AF316" s="398">
        <f t="shared" si="66"/>
        <v>8769.5895283708087</v>
      </c>
      <c r="AG316" s="398">
        <f t="shared" si="67"/>
        <v>9409.402207971425</v>
      </c>
      <c r="AH316" s="399">
        <f t="shared" si="68"/>
        <v>639.80999999999995</v>
      </c>
      <c r="AI316" s="157">
        <v>252.8</v>
      </c>
      <c r="AJ316" s="157">
        <v>2152283.7799999998</v>
      </c>
      <c r="AK316" s="398">
        <f t="shared" si="69"/>
        <v>8513.7807753164543</v>
      </c>
      <c r="AL316" s="398">
        <f t="shared" si="70"/>
        <v>9168.4430379746827</v>
      </c>
      <c r="AM316" s="399">
        <f t="shared" si="71"/>
        <v>654.66</v>
      </c>
      <c r="AN316" s="397">
        <v>6750.44</v>
      </c>
      <c r="AO316" s="397">
        <v>0</v>
      </c>
      <c r="AP316" s="46"/>
      <c r="AQ316" s="402">
        <v>0</v>
      </c>
      <c r="AR316" s="274">
        <v>763222.52</v>
      </c>
      <c r="AS316" s="413">
        <v>222009.15000000002</v>
      </c>
      <c r="AX316" s="2"/>
      <c r="BA316" s="342"/>
      <c r="BB316" s="342"/>
      <c r="BC316" s="342"/>
      <c r="BD316" s="386"/>
      <c r="BE316" s="386"/>
      <c r="BF316" s="386"/>
      <c r="BG316" s="386"/>
      <c r="BH316" s="386"/>
      <c r="BI316" s="386"/>
      <c r="BJ316" s="386"/>
      <c r="BK316" s="386"/>
      <c r="BL316" s="386"/>
      <c r="BM316" s="386"/>
      <c r="BN316" s="387"/>
      <c r="BO316" s="265"/>
      <c r="BP316" s="386"/>
      <c r="BQ316" s="388"/>
      <c r="BR316" s="388"/>
      <c r="BS316" s="389"/>
      <c r="BT316" s="389"/>
      <c r="BU316" s="389"/>
      <c r="BV316" s="386"/>
      <c r="BW316" s="389"/>
      <c r="BX316" s="389"/>
      <c r="BY316" s="386"/>
      <c r="BZ316" s="386"/>
      <c r="CA316" s="386"/>
      <c r="CB316" s="386"/>
      <c r="CC316" s="386"/>
      <c r="CD316" s="386"/>
      <c r="CE316" s="386"/>
      <c r="CF316" s="390"/>
      <c r="CG316" s="390"/>
      <c r="CH316" s="391"/>
      <c r="CI316" s="386"/>
      <c r="CJ316" s="386"/>
      <c r="CK316" s="390"/>
      <c r="CL316" s="390"/>
      <c r="CM316" s="391"/>
      <c r="CN316" s="389"/>
      <c r="CO316" s="389"/>
      <c r="CP316" s="135"/>
      <c r="CQ316" s="135"/>
      <c r="CR316" s="135"/>
      <c r="CS316" s="135"/>
      <c r="CT316" s="135"/>
      <c r="CU316" s="135"/>
    </row>
    <row r="317" spans="1:99">
      <c r="A317" s="342" t="s">
        <v>656</v>
      </c>
      <c r="B317" s="342" t="s">
        <v>655</v>
      </c>
      <c r="C317" s="342" t="s">
        <v>1153</v>
      </c>
      <c r="D317" s="157">
        <v>0</v>
      </c>
      <c r="E317" s="157">
        <v>0</v>
      </c>
      <c r="F317" s="157">
        <v>0</v>
      </c>
      <c r="G317" s="157">
        <v>4609994.24</v>
      </c>
      <c r="H317" s="157">
        <v>729961.96</v>
      </c>
      <c r="I317" s="157">
        <v>552832.21</v>
      </c>
      <c r="J317" s="157">
        <v>1177354.71</v>
      </c>
      <c r="K317" s="157">
        <v>164335.45000000001</v>
      </c>
      <c r="L317" s="157">
        <v>101276.71</v>
      </c>
      <c r="M317" s="157">
        <v>1882915.32</v>
      </c>
      <c r="N317" s="264">
        <v>5.7299999999999997E-2</v>
      </c>
      <c r="O317" s="265">
        <v>0.18</v>
      </c>
      <c r="P317" s="157">
        <v>0</v>
      </c>
      <c r="Q317" s="396">
        <v>0</v>
      </c>
      <c r="R317" s="396">
        <v>0</v>
      </c>
      <c r="S317" s="397">
        <v>0</v>
      </c>
      <c r="T317" s="397">
        <v>0</v>
      </c>
      <c r="U317" s="397">
        <v>0</v>
      </c>
      <c r="V317" s="157">
        <v>0</v>
      </c>
      <c r="W317" s="397">
        <v>0</v>
      </c>
      <c r="X317" s="397">
        <v>0</v>
      </c>
      <c r="Y317" s="157">
        <v>3950.56</v>
      </c>
      <c r="Z317" s="157">
        <v>71525.929999999993</v>
      </c>
      <c r="AA317" s="157">
        <v>0</v>
      </c>
      <c r="AB317" s="157">
        <v>683241.35</v>
      </c>
      <c r="AC317" s="157">
        <v>1642472.36</v>
      </c>
      <c r="AD317" s="157">
        <v>178.55</v>
      </c>
      <c r="AE317" s="157">
        <v>1533543.85</v>
      </c>
      <c r="AF317" s="398">
        <f t="shared" si="66"/>
        <v>8588.876225147018</v>
      </c>
      <c r="AG317" s="398">
        <f t="shared" si="67"/>
        <v>9198.9490898907861</v>
      </c>
      <c r="AH317" s="399">
        <f t="shared" si="68"/>
        <v>610.07000000000005</v>
      </c>
      <c r="AI317" s="157">
        <v>76.12</v>
      </c>
      <c r="AJ317" s="157">
        <v>634549.14</v>
      </c>
      <c r="AK317" s="398">
        <f t="shared" si="69"/>
        <v>8336.1684182869158</v>
      </c>
      <c r="AL317" s="398">
        <f t="shared" si="70"/>
        <v>8975.8453757225434</v>
      </c>
      <c r="AM317" s="399">
        <f t="shared" si="71"/>
        <v>639.67999999999995</v>
      </c>
      <c r="AN317" s="397">
        <v>0</v>
      </c>
      <c r="AO317" s="397">
        <v>0</v>
      </c>
      <c r="AP317" s="46"/>
      <c r="AQ317" s="402">
        <v>0</v>
      </c>
      <c r="AR317" s="274">
        <v>286034.68999999994</v>
      </c>
      <c r="AS317" s="413">
        <v>116879.34</v>
      </c>
      <c r="AX317" s="2"/>
      <c r="BA317" s="342"/>
      <c r="BB317" s="342"/>
      <c r="BC317" s="342"/>
      <c r="BD317" s="386"/>
      <c r="BE317" s="386"/>
      <c r="BF317" s="386"/>
      <c r="BG317" s="386"/>
      <c r="BH317" s="386"/>
      <c r="BI317" s="386"/>
      <c r="BJ317" s="386"/>
      <c r="BK317" s="386"/>
      <c r="BL317" s="386"/>
      <c r="BM317" s="386"/>
      <c r="BN317" s="387"/>
      <c r="BO317" s="265"/>
      <c r="BP317" s="386"/>
      <c r="BQ317" s="388"/>
      <c r="BR317" s="388"/>
      <c r="BS317" s="389"/>
      <c r="BT317" s="389"/>
      <c r="BU317" s="389"/>
      <c r="BV317" s="386"/>
      <c r="BW317" s="389"/>
      <c r="BX317" s="389"/>
      <c r="BY317" s="386"/>
      <c r="BZ317" s="386"/>
      <c r="CA317" s="386"/>
      <c r="CB317" s="386"/>
      <c r="CC317" s="386"/>
      <c r="CD317" s="386"/>
      <c r="CE317" s="386"/>
      <c r="CF317" s="390"/>
      <c r="CG317" s="390"/>
      <c r="CH317" s="391"/>
      <c r="CI317" s="386"/>
      <c r="CJ317" s="386"/>
      <c r="CK317" s="390"/>
      <c r="CL317" s="390"/>
      <c r="CM317" s="391"/>
      <c r="CN317" s="389"/>
      <c r="CO317" s="389"/>
      <c r="CP317" s="135"/>
      <c r="CQ317" s="135"/>
      <c r="CR317" s="135"/>
      <c r="CS317" s="135"/>
      <c r="CT317" s="135"/>
      <c r="CU317" s="135"/>
    </row>
    <row r="318" spans="1:99">
      <c r="A318" s="342" t="s">
        <v>658</v>
      </c>
      <c r="B318" s="342" t="s">
        <v>657</v>
      </c>
      <c r="C318" s="342" t="s">
        <v>1154</v>
      </c>
      <c r="D318" s="157">
        <v>0</v>
      </c>
      <c r="E318" s="157">
        <v>37733.22</v>
      </c>
      <c r="F318" s="157">
        <v>29973.52</v>
      </c>
      <c r="G318" s="157">
        <v>7508111.6299999999</v>
      </c>
      <c r="H318" s="157">
        <v>1519595.65</v>
      </c>
      <c r="I318" s="157">
        <v>478109.94</v>
      </c>
      <c r="J318" s="157">
        <v>1647106.28</v>
      </c>
      <c r="K318" s="157">
        <v>769263.36</v>
      </c>
      <c r="L318" s="157">
        <v>163935.53</v>
      </c>
      <c r="M318" s="157">
        <v>2844510.1</v>
      </c>
      <c r="N318" s="264">
        <v>6.2600000000000003E-2</v>
      </c>
      <c r="O318" s="265">
        <v>0.18360000000000001</v>
      </c>
      <c r="P318" s="157">
        <v>0</v>
      </c>
      <c r="Q318" s="396">
        <v>0</v>
      </c>
      <c r="R318" s="396">
        <v>0</v>
      </c>
      <c r="S318" s="397">
        <v>0</v>
      </c>
      <c r="T318" s="397">
        <v>0</v>
      </c>
      <c r="U318" s="397">
        <v>0</v>
      </c>
      <c r="V318" s="157">
        <v>0</v>
      </c>
      <c r="W318" s="397">
        <v>0</v>
      </c>
      <c r="X318" s="397">
        <v>0</v>
      </c>
      <c r="Y318" s="157">
        <v>5775.28</v>
      </c>
      <c r="Z318" s="157">
        <v>1156.1199999999999</v>
      </c>
      <c r="AA318" s="157">
        <v>5268.12</v>
      </c>
      <c r="AB318" s="157">
        <v>2639516.2000000002</v>
      </c>
      <c r="AC318" s="157">
        <v>3081729.47</v>
      </c>
      <c r="AD318" s="157">
        <v>327.14999999999998</v>
      </c>
      <c r="AE318" s="157">
        <v>2868987.6</v>
      </c>
      <c r="AF318" s="398">
        <f t="shared" si="66"/>
        <v>8769.6396148555723</v>
      </c>
      <c r="AG318" s="398">
        <f t="shared" si="67"/>
        <v>9419.9280758062068</v>
      </c>
      <c r="AH318" s="399">
        <f t="shared" si="68"/>
        <v>650.29</v>
      </c>
      <c r="AI318" s="157">
        <v>287.93</v>
      </c>
      <c r="AJ318" s="157">
        <v>2451405.7200000002</v>
      </c>
      <c r="AK318" s="398">
        <f t="shared" si="69"/>
        <v>8513.8947660889808</v>
      </c>
      <c r="AL318" s="398">
        <f t="shared" si="70"/>
        <v>9167.2149480776588</v>
      </c>
      <c r="AM318" s="399">
        <f t="shared" si="71"/>
        <v>653.32000000000005</v>
      </c>
      <c r="AN318" s="397">
        <v>1411.53</v>
      </c>
      <c r="AO318" s="397">
        <v>0</v>
      </c>
      <c r="AP318" s="46"/>
      <c r="AQ318" s="402">
        <v>0</v>
      </c>
      <c r="AR318" s="274">
        <v>547075.52999999991</v>
      </c>
      <c r="AS318" s="413">
        <v>167975.36</v>
      </c>
      <c r="AX318" s="2"/>
      <c r="BA318" s="342"/>
      <c r="BB318" s="342"/>
      <c r="BC318" s="342"/>
      <c r="BD318" s="386"/>
      <c r="BE318" s="386"/>
      <c r="BF318" s="386"/>
      <c r="BG318" s="386"/>
      <c r="BH318" s="386"/>
      <c r="BI318" s="386"/>
      <c r="BJ318" s="386"/>
      <c r="BK318" s="386"/>
      <c r="BL318" s="386"/>
      <c r="BM318" s="386"/>
      <c r="BN318" s="387"/>
      <c r="BO318" s="265"/>
      <c r="BP318" s="386"/>
      <c r="BQ318" s="388"/>
      <c r="BR318" s="388"/>
      <c r="BS318" s="389"/>
      <c r="BT318" s="389"/>
      <c r="BU318" s="389"/>
      <c r="BV318" s="386"/>
      <c r="BW318" s="389"/>
      <c r="BX318" s="389"/>
      <c r="BY318" s="386"/>
      <c r="BZ318" s="386"/>
      <c r="CA318" s="386"/>
      <c r="CB318" s="386"/>
      <c r="CC318" s="386"/>
      <c r="CD318" s="386"/>
      <c r="CE318" s="386"/>
      <c r="CF318" s="390"/>
      <c r="CG318" s="390"/>
      <c r="CH318" s="391"/>
      <c r="CI318" s="386"/>
      <c r="CJ318" s="386"/>
      <c r="CK318" s="390"/>
      <c r="CL318" s="390"/>
      <c r="CM318" s="391"/>
      <c r="CN318" s="389"/>
      <c r="CO318" s="389"/>
      <c r="CP318" s="135"/>
      <c r="CQ318" s="135"/>
      <c r="CR318" s="135"/>
      <c r="CS318" s="135"/>
      <c r="CT318" s="135"/>
      <c r="CU318" s="135"/>
    </row>
    <row r="319" spans="1:99">
      <c r="A319" s="342" t="s">
        <v>660</v>
      </c>
      <c r="B319" s="346" t="s">
        <v>659</v>
      </c>
      <c r="C319" s="343" t="s">
        <v>1155</v>
      </c>
      <c r="D319" s="157">
        <v>0</v>
      </c>
      <c r="E319" s="157">
        <v>0</v>
      </c>
      <c r="F319" s="157">
        <v>0</v>
      </c>
      <c r="G319" s="157">
        <v>92881.57</v>
      </c>
      <c r="H319" s="157">
        <v>14649.89</v>
      </c>
      <c r="I319" s="157">
        <v>16186.25</v>
      </c>
      <c r="J319" s="157">
        <v>21321.19</v>
      </c>
      <c r="K319" s="157">
        <v>0</v>
      </c>
      <c r="L319" s="157">
        <v>0</v>
      </c>
      <c r="M319" s="157">
        <v>0</v>
      </c>
      <c r="N319" s="264">
        <v>0.08</v>
      </c>
      <c r="O319" s="265">
        <v>0.1</v>
      </c>
      <c r="P319" s="157">
        <v>0</v>
      </c>
      <c r="Q319" s="396">
        <v>0</v>
      </c>
      <c r="R319" s="396">
        <v>0</v>
      </c>
      <c r="S319" s="397">
        <v>0</v>
      </c>
      <c r="T319" s="397">
        <v>0</v>
      </c>
      <c r="U319" s="397">
        <v>0</v>
      </c>
      <c r="V319" s="157">
        <v>0</v>
      </c>
      <c r="W319" s="397">
        <v>0</v>
      </c>
      <c r="X319" s="397">
        <v>0</v>
      </c>
      <c r="Y319" s="157">
        <v>0</v>
      </c>
      <c r="Z319" s="157">
        <v>0</v>
      </c>
      <c r="AA319" s="157">
        <v>0</v>
      </c>
      <c r="AB319" s="157">
        <v>0</v>
      </c>
      <c r="AC319" s="157">
        <v>20563.48</v>
      </c>
      <c r="AD319" s="157">
        <v>0</v>
      </c>
      <c r="AE319" s="157">
        <v>0</v>
      </c>
      <c r="AF319" s="398">
        <f t="shared" si="66"/>
        <v>0</v>
      </c>
      <c r="AG319" s="398">
        <f t="shared" si="67"/>
        <v>0</v>
      </c>
      <c r="AH319" s="399">
        <f t="shared" si="68"/>
        <v>0</v>
      </c>
      <c r="AI319" s="157">
        <v>0</v>
      </c>
      <c r="AJ319" s="157">
        <v>0</v>
      </c>
      <c r="AK319" s="398">
        <f t="shared" si="69"/>
        <v>0</v>
      </c>
      <c r="AL319" s="398">
        <f t="shared" si="70"/>
        <v>0</v>
      </c>
      <c r="AM319" s="399">
        <f t="shared" si="71"/>
        <v>0</v>
      </c>
      <c r="AN319" s="397">
        <v>0</v>
      </c>
      <c r="AO319" s="397">
        <v>0</v>
      </c>
      <c r="AP319" s="46"/>
      <c r="AQ319" s="402">
        <v>710.02000000000044</v>
      </c>
      <c r="AR319" s="274">
        <v>16162.54</v>
      </c>
      <c r="AS319" s="413"/>
      <c r="AX319" s="2"/>
      <c r="BA319" s="342"/>
      <c r="BB319" s="344"/>
      <c r="BC319" s="342"/>
      <c r="BD319" s="386"/>
      <c r="BE319" s="386"/>
      <c r="BF319" s="386"/>
      <c r="BG319" s="386"/>
      <c r="BH319" s="386"/>
      <c r="BI319" s="386"/>
      <c r="BJ319" s="386"/>
      <c r="BK319" s="386"/>
      <c r="BL319" s="386"/>
      <c r="BM319" s="386"/>
      <c r="BN319" s="387"/>
      <c r="BO319" s="265"/>
      <c r="BP319" s="386"/>
      <c r="BQ319" s="388"/>
      <c r="BR319" s="388"/>
      <c r="BS319" s="389"/>
      <c r="BT319" s="389"/>
      <c r="BU319" s="389"/>
      <c r="BV319" s="386"/>
      <c r="BW319" s="389"/>
      <c r="BX319" s="389"/>
      <c r="BY319" s="386"/>
      <c r="BZ319" s="386"/>
      <c r="CA319" s="386"/>
      <c r="CB319" s="386"/>
      <c r="CC319" s="386"/>
      <c r="CD319" s="386"/>
      <c r="CE319" s="386"/>
      <c r="CF319" s="390"/>
      <c r="CG319" s="390"/>
      <c r="CH319" s="391"/>
      <c r="CI319" s="386"/>
      <c r="CJ319" s="386"/>
      <c r="CK319" s="390"/>
      <c r="CL319" s="390"/>
      <c r="CM319" s="391"/>
      <c r="CN319" s="389"/>
      <c r="CO319" s="389"/>
      <c r="CP319" s="135"/>
      <c r="CQ319" s="135"/>
      <c r="CR319" s="135"/>
      <c r="CS319" s="135"/>
      <c r="CT319" s="135"/>
      <c r="CU319" s="135"/>
    </row>
    <row r="320" spans="1:99">
      <c r="A320" s="342" t="s">
        <v>662</v>
      </c>
      <c r="B320" s="342" t="s">
        <v>661</v>
      </c>
      <c r="C320" s="342" t="s">
        <v>1156</v>
      </c>
      <c r="D320" s="157">
        <v>0</v>
      </c>
      <c r="E320" s="157">
        <v>11706.93</v>
      </c>
      <c r="F320" s="157">
        <v>8155.93</v>
      </c>
      <c r="G320" s="157">
        <v>539368.74</v>
      </c>
      <c r="H320" s="157">
        <v>115426.18</v>
      </c>
      <c r="I320" s="157">
        <v>97345.64</v>
      </c>
      <c r="J320" s="157">
        <v>147828.82</v>
      </c>
      <c r="K320" s="157">
        <v>0</v>
      </c>
      <c r="L320" s="157">
        <v>10551.82</v>
      </c>
      <c r="M320" s="157">
        <v>407233.56</v>
      </c>
      <c r="N320" s="264">
        <v>3.8300000000000001E-2</v>
      </c>
      <c r="O320" s="265">
        <v>0.2102</v>
      </c>
      <c r="P320" s="157">
        <v>0</v>
      </c>
      <c r="Q320" s="396">
        <v>0</v>
      </c>
      <c r="R320" s="396">
        <v>0</v>
      </c>
      <c r="S320" s="397">
        <v>0</v>
      </c>
      <c r="T320" s="397">
        <v>0</v>
      </c>
      <c r="U320" s="397">
        <v>0</v>
      </c>
      <c r="V320" s="157">
        <v>0</v>
      </c>
      <c r="W320" s="397">
        <v>0</v>
      </c>
      <c r="X320" s="397">
        <v>0</v>
      </c>
      <c r="Y320" s="157">
        <v>419.53</v>
      </c>
      <c r="Z320" s="157">
        <v>0</v>
      </c>
      <c r="AA320" s="157">
        <v>4638.5600000000004</v>
      </c>
      <c r="AB320" s="157">
        <v>62079.09</v>
      </c>
      <c r="AC320" s="157">
        <v>191801.57</v>
      </c>
      <c r="AD320" s="157">
        <v>19.260000000000002</v>
      </c>
      <c r="AE320" s="157">
        <v>165337.66</v>
      </c>
      <c r="AF320" s="398">
        <f t="shared" si="66"/>
        <v>8584.5098650051914</v>
      </c>
      <c r="AG320" s="398">
        <f t="shared" si="67"/>
        <v>9958.5446521287631</v>
      </c>
      <c r="AH320" s="399">
        <f t="shared" si="68"/>
        <v>1374.03</v>
      </c>
      <c r="AI320" s="157">
        <v>6.91</v>
      </c>
      <c r="AJ320" s="157">
        <v>57645.65</v>
      </c>
      <c r="AK320" s="398">
        <f t="shared" si="69"/>
        <v>8342.3516642547038</v>
      </c>
      <c r="AL320" s="398">
        <f t="shared" si="70"/>
        <v>8983.9493487698983</v>
      </c>
      <c r="AM320" s="399">
        <f t="shared" si="71"/>
        <v>641.6</v>
      </c>
      <c r="AN320" s="397">
        <v>0</v>
      </c>
      <c r="AO320" s="397">
        <v>0</v>
      </c>
      <c r="AP320" s="46"/>
      <c r="AQ320" s="402">
        <v>23145.470000000008</v>
      </c>
      <c r="AR320" s="274">
        <v>40848.85</v>
      </c>
      <c r="AS320" s="413">
        <v>21530</v>
      </c>
      <c r="AX320" s="2"/>
      <c r="BA320" s="342"/>
      <c r="BB320" s="342"/>
      <c r="BC320" s="342"/>
      <c r="BD320" s="386"/>
      <c r="BE320" s="386"/>
      <c r="BF320" s="386"/>
      <c r="BG320" s="386"/>
      <c r="BH320" s="386"/>
      <c r="BI320" s="386"/>
      <c r="BJ320" s="386"/>
      <c r="BK320" s="386"/>
      <c r="BL320" s="386"/>
      <c r="BM320" s="386"/>
      <c r="BN320" s="387"/>
      <c r="BO320" s="265"/>
      <c r="BP320" s="386"/>
      <c r="BQ320" s="388"/>
      <c r="BR320" s="388"/>
      <c r="BS320" s="389"/>
      <c r="BT320" s="389"/>
      <c r="BU320" s="389"/>
      <c r="BV320" s="386"/>
      <c r="BW320" s="389"/>
      <c r="BX320" s="389"/>
      <c r="BY320" s="386"/>
      <c r="BZ320" s="386"/>
      <c r="CA320" s="386"/>
      <c r="CB320" s="386"/>
      <c r="CC320" s="386"/>
      <c r="CD320" s="386"/>
      <c r="CE320" s="386"/>
      <c r="CF320" s="390"/>
      <c r="CG320" s="390"/>
      <c r="CH320" s="391"/>
      <c r="CI320" s="386"/>
      <c r="CJ320" s="386"/>
      <c r="CK320" s="390"/>
      <c r="CL320" s="390"/>
      <c r="CM320" s="391"/>
      <c r="CN320" s="389"/>
      <c r="CO320" s="389"/>
      <c r="CP320" s="135"/>
      <c r="CQ320" s="135"/>
      <c r="CR320" s="135"/>
      <c r="CS320" s="135"/>
      <c r="CT320" s="135"/>
      <c r="CU320" s="135"/>
    </row>
    <row r="321" spans="1:99">
      <c r="A321" s="342" t="s">
        <v>664</v>
      </c>
      <c r="B321" s="342" t="s">
        <v>663</v>
      </c>
      <c r="C321" s="342" t="s">
        <v>1157</v>
      </c>
      <c r="D321" s="157">
        <v>0</v>
      </c>
      <c r="E321" s="157">
        <v>0</v>
      </c>
      <c r="F321" s="157">
        <v>0</v>
      </c>
      <c r="G321" s="157">
        <v>6165098.2599999998</v>
      </c>
      <c r="H321" s="157">
        <v>1213060.57</v>
      </c>
      <c r="I321" s="157">
        <v>0</v>
      </c>
      <c r="J321" s="157">
        <v>842361.58</v>
      </c>
      <c r="K321" s="157">
        <v>290966.78000000003</v>
      </c>
      <c r="L321" s="157">
        <v>131989.96</v>
      </c>
      <c r="M321" s="157">
        <v>3213749.48</v>
      </c>
      <c r="N321" s="264">
        <v>3.7199999999999997E-2</v>
      </c>
      <c r="O321" s="265">
        <v>0.15820000000000001</v>
      </c>
      <c r="P321" s="157">
        <v>0</v>
      </c>
      <c r="Q321" s="396">
        <v>0</v>
      </c>
      <c r="R321" s="396">
        <v>0</v>
      </c>
      <c r="S321" s="397">
        <v>0</v>
      </c>
      <c r="T321" s="397">
        <v>0</v>
      </c>
      <c r="U321" s="397">
        <v>0</v>
      </c>
      <c r="V321" s="157">
        <v>223594.32</v>
      </c>
      <c r="W321" s="397">
        <v>22009.856</v>
      </c>
      <c r="X321" s="397">
        <v>9057.98</v>
      </c>
      <c r="Y321" s="157">
        <v>2892.71</v>
      </c>
      <c r="Z321" s="157">
        <v>29967.51</v>
      </c>
      <c r="AA321" s="157">
        <v>247957.22</v>
      </c>
      <c r="AB321" s="157">
        <v>329529.06</v>
      </c>
      <c r="AC321" s="157">
        <v>2738785.51</v>
      </c>
      <c r="AD321" s="157">
        <v>283.2</v>
      </c>
      <c r="AE321" s="157">
        <v>2534241.3199999998</v>
      </c>
      <c r="AF321" s="398">
        <f t="shared" si="66"/>
        <v>8948.5922316384185</v>
      </c>
      <c r="AG321" s="398">
        <f t="shared" si="67"/>
        <v>9670.852789548022</v>
      </c>
      <c r="AH321" s="399">
        <f t="shared" si="68"/>
        <v>722.26</v>
      </c>
      <c r="AI321" s="157">
        <v>35.21</v>
      </c>
      <c r="AJ321" s="157">
        <v>305983.52</v>
      </c>
      <c r="AK321" s="398">
        <f t="shared" si="69"/>
        <v>8690.2448168134051</v>
      </c>
      <c r="AL321" s="398">
        <f t="shared" si="70"/>
        <v>9358.9622266401584</v>
      </c>
      <c r="AM321" s="399">
        <f t="shared" si="71"/>
        <v>668.72</v>
      </c>
      <c r="AN321" s="397">
        <v>0</v>
      </c>
      <c r="AO321" s="397">
        <v>0</v>
      </c>
      <c r="AP321" s="46"/>
      <c r="AQ321" s="402">
        <v>0</v>
      </c>
      <c r="AR321" s="274">
        <v>422148.95999999996</v>
      </c>
      <c r="AS321" s="413">
        <v>145086.88</v>
      </c>
      <c r="AX321" s="2"/>
      <c r="BA321" s="342"/>
      <c r="BB321" s="342"/>
      <c r="BC321" s="342"/>
      <c r="BD321" s="386"/>
      <c r="BE321" s="386"/>
      <c r="BF321" s="386"/>
      <c r="BG321" s="386"/>
      <c r="BH321" s="386"/>
      <c r="BI321" s="386"/>
      <c r="BJ321" s="386"/>
      <c r="BK321" s="386"/>
      <c r="BL321" s="386"/>
      <c r="BM321" s="386"/>
      <c r="BN321" s="387"/>
      <c r="BO321" s="265"/>
      <c r="BP321" s="386"/>
      <c r="BQ321" s="388"/>
      <c r="BR321" s="388"/>
      <c r="BS321" s="389"/>
      <c r="BT321" s="389"/>
      <c r="BU321" s="389"/>
      <c r="BV321" s="386"/>
      <c r="BW321" s="389"/>
      <c r="BX321" s="389"/>
      <c r="BY321" s="386"/>
      <c r="BZ321" s="386"/>
      <c r="CA321" s="386"/>
      <c r="CB321" s="386"/>
      <c r="CC321" s="386"/>
      <c r="CD321" s="386"/>
      <c r="CE321" s="386"/>
      <c r="CF321" s="390"/>
      <c r="CG321" s="390"/>
      <c r="CH321" s="391"/>
      <c r="CI321" s="386"/>
      <c r="CJ321" s="386"/>
      <c r="CK321" s="390"/>
      <c r="CL321" s="390"/>
      <c r="CM321" s="391"/>
      <c r="CN321" s="389"/>
      <c r="CO321" s="389"/>
      <c r="CP321" s="135"/>
      <c r="CQ321" s="135"/>
      <c r="CR321" s="135"/>
      <c r="CS321" s="135"/>
      <c r="CT321" s="135"/>
      <c r="CU321" s="135"/>
    </row>
    <row r="322" spans="1:99">
      <c r="A322" s="342" t="s">
        <v>666</v>
      </c>
      <c r="B322" s="342" t="s">
        <v>665</v>
      </c>
      <c r="C322" s="342" t="s">
        <v>1158</v>
      </c>
      <c r="D322" s="157">
        <v>0</v>
      </c>
      <c r="E322" s="157">
        <v>15359.37</v>
      </c>
      <c r="F322" s="157">
        <v>0</v>
      </c>
      <c r="G322" s="157">
        <v>0</v>
      </c>
      <c r="H322" s="157">
        <v>0</v>
      </c>
      <c r="I322" s="157">
        <v>0</v>
      </c>
      <c r="J322" s="157">
        <v>314692.31</v>
      </c>
      <c r="K322" s="157">
        <v>285125.57</v>
      </c>
      <c r="L322" s="157">
        <v>32793.39</v>
      </c>
      <c r="M322" s="157">
        <v>1359266.18</v>
      </c>
      <c r="N322" s="264">
        <v>5.8999999999999997E-2</v>
      </c>
      <c r="O322" s="265">
        <v>0.16950000000000001</v>
      </c>
      <c r="P322" s="157">
        <v>0</v>
      </c>
      <c r="Q322" s="396">
        <v>0</v>
      </c>
      <c r="R322" s="396">
        <v>0</v>
      </c>
      <c r="S322" s="397">
        <v>0</v>
      </c>
      <c r="T322" s="397">
        <v>0</v>
      </c>
      <c r="U322" s="397">
        <v>0</v>
      </c>
      <c r="V322" s="157">
        <v>0</v>
      </c>
      <c r="W322" s="397">
        <v>0</v>
      </c>
      <c r="X322" s="397">
        <v>0</v>
      </c>
      <c r="Y322" s="157">
        <v>1269.8599999999999</v>
      </c>
      <c r="Z322" s="157">
        <v>0</v>
      </c>
      <c r="AA322" s="157">
        <v>0</v>
      </c>
      <c r="AB322" s="157">
        <v>0</v>
      </c>
      <c r="AC322" s="157">
        <v>559804.06000000006</v>
      </c>
      <c r="AD322" s="157">
        <v>61.64</v>
      </c>
      <c r="AE322" s="157">
        <v>529554.79</v>
      </c>
      <c r="AF322" s="398">
        <f t="shared" si="66"/>
        <v>8591.0900389357557</v>
      </c>
      <c r="AG322" s="398">
        <f t="shared" si="67"/>
        <v>9081.8309539260226</v>
      </c>
      <c r="AH322" s="399">
        <f t="shared" si="68"/>
        <v>490.74</v>
      </c>
      <c r="AI322" s="157">
        <v>0</v>
      </c>
      <c r="AJ322" s="157">
        <v>0</v>
      </c>
      <c r="AK322" s="398">
        <f t="shared" si="69"/>
        <v>0</v>
      </c>
      <c r="AL322" s="398">
        <f t="shared" si="70"/>
        <v>0</v>
      </c>
      <c r="AM322" s="399">
        <f t="shared" si="71"/>
        <v>0</v>
      </c>
      <c r="AN322" s="397">
        <v>0</v>
      </c>
      <c r="AO322" s="397">
        <v>0</v>
      </c>
      <c r="AP322" s="46"/>
      <c r="AQ322" s="402">
        <v>16680.880000000019</v>
      </c>
      <c r="AR322" s="274">
        <v>96582.85</v>
      </c>
      <c r="AS322" s="413">
        <v>44018.92</v>
      </c>
      <c r="AX322" s="2"/>
      <c r="BA322" s="342"/>
      <c r="BB322" s="342"/>
      <c r="BC322" s="342"/>
      <c r="BD322" s="386"/>
      <c r="BE322" s="386"/>
      <c r="BF322" s="386"/>
      <c r="BG322" s="386"/>
      <c r="BH322" s="386"/>
      <c r="BI322" s="386"/>
      <c r="BJ322" s="386"/>
      <c r="BK322" s="386"/>
      <c r="BL322" s="386"/>
      <c r="BM322" s="386"/>
      <c r="BN322" s="387"/>
      <c r="BO322" s="265"/>
      <c r="BP322" s="386"/>
      <c r="BQ322" s="388"/>
      <c r="BR322" s="388"/>
      <c r="BS322" s="389"/>
      <c r="BT322" s="389"/>
      <c r="BU322" s="389"/>
      <c r="BV322" s="386"/>
      <c r="BW322" s="389"/>
      <c r="BX322" s="389"/>
      <c r="BY322" s="386"/>
      <c r="BZ322" s="386"/>
      <c r="CA322" s="386"/>
      <c r="CB322" s="386"/>
      <c r="CC322" s="386"/>
      <c r="CD322" s="386"/>
      <c r="CE322" s="386"/>
      <c r="CF322" s="390"/>
      <c r="CG322" s="390"/>
      <c r="CH322" s="391"/>
      <c r="CI322" s="386"/>
      <c r="CJ322" s="386"/>
      <c r="CK322" s="390"/>
      <c r="CL322" s="390"/>
      <c r="CM322" s="391"/>
      <c r="CN322" s="389"/>
      <c r="CO322" s="389"/>
      <c r="CP322" s="135"/>
      <c r="CQ322" s="135"/>
      <c r="CR322" s="135"/>
      <c r="CS322" s="135"/>
      <c r="CT322" s="135"/>
      <c r="CU322" s="135"/>
    </row>
    <row r="323" spans="1:99">
      <c r="A323" s="342" t="s">
        <v>668</v>
      </c>
      <c r="B323" s="343" t="s">
        <v>667</v>
      </c>
      <c r="C323" s="343" t="s">
        <v>1159</v>
      </c>
      <c r="D323" s="157">
        <v>0</v>
      </c>
      <c r="E323" s="157">
        <v>0</v>
      </c>
      <c r="F323" s="157">
        <v>0</v>
      </c>
      <c r="G323" s="157">
        <v>188877.13</v>
      </c>
      <c r="H323" s="157">
        <v>43342.6</v>
      </c>
      <c r="I323" s="157">
        <v>35104.18</v>
      </c>
      <c r="J323" s="157">
        <v>52476.57</v>
      </c>
      <c r="K323" s="157">
        <v>46787.72</v>
      </c>
      <c r="L323" s="157">
        <v>4912.1899999999996</v>
      </c>
      <c r="M323" s="157">
        <v>43123.57</v>
      </c>
      <c r="N323" s="264">
        <v>0.08</v>
      </c>
      <c r="O323" s="265">
        <v>0.1</v>
      </c>
      <c r="P323" s="157">
        <v>0</v>
      </c>
      <c r="Q323" s="396">
        <v>0</v>
      </c>
      <c r="R323" s="396">
        <v>0</v>
      </c>
      <c r="S323" s="397">
        <v>0</v>
      </c>
      <c r="T323" s="397">
        <v>0</v>
      </c>
      <c r="U323" s="397">
        <v>0</v>
      </c>
      <c r="V323" s="157">
        <v>0</v>
      </c>
      <c r="W323" s="397">
        <v>0</v>
      </c>
      <c r="X323" s="397">
        <v>0</v>
      </c>
      <c r="Y323" s="157">
        <v>0</v>
      </c>
      <c r="Z323" s="157">
        <v>0</v>
      </c>
      <c r="AA323" s="157">
        <v>0</v>
      </c>
      <c r="AB323" s="157">
        <v>0</v>
      </c>
      <c r="AC323" s="157">
        <v>0</v>
      </c>
      <c r="AD323" s="157">
        <v>0</v>
      </c>
      <c r="AE323" s="157">
        <v>0</v>
      </c>
      <c r="AF323" s="398">
        <f t="shared" si="66"/>
        <v>0</v>
      </c>
      <c r="AG323" s="398">
        <f t="shared" si="67"/>
        <v>0</v>
      </c>
      <c r="AH323" s="399">
        <f t="shared" si="68"/>
        <v>0</v>
      </c>
      <c r="AI323" s="157">
        <v>0</v>
      </c>
      <c r="AJ323" s="157">
        <v>0</v>
      </c>
      <c r="AK323" s="398">
        <f t="shared" si="69"/>
        <v>0</v>
      </c>
      <c r="AL323" s="398">
        <f t="shared" si="70"/>
        <v>0</v>
      </c>
      <c r="AM323" s="399">
        <f t="shared" si="71"/>
        <v>0</v>
      </c>
      <c r="AN323" s="397">
        <v>0</v>
      </c>
      <c r="AO323" s="397">
        <v>0</v>
      </c>
      <c r="AP323" s="46"/>
      <c r="AQ323" s="402">
        <v>1893.0499999999993</v>
      </c>
      <c r="AR323" s="274">
        <v>22459.079999999998</v>
      </c>
      <c r="AS323" s="413">
        <v>13784.37</v>
      </c>
      <c r="AX323" s="2"/>
      <c r="BA323" s="342"/>
      <c r="BB323" s="342"/>
      <c r="BC323" s="342"/>
      <c r="BD323" s="386"/>
      <c r="BE323" s="386"/>
      <c r="BF323" s="386"/>
      <c r="BG323" s="386"/>
      <c r="BH323" s="386"/>
      <c r="BI323" s="386"/>
      <c r="BJ323" s="386"/>
      <c r="BK323" s="386"/>
      <c r="BL323" s="386"/>
      <c r="BM323" s="386"/>
      <c r="BN323" s="387"/>
      <c r="BO323" s="265"/>
      <c r="BP323" s="386"/>
      <c r="BQ323" s="388"/>
      <c r="BR323" s="388"/>
      <c r="BS323" s="389"/>
      <c r="BT323" s="389"/>
      <c r="BU323" s="389"/>
      <c r="BV323" s="386"/>
      <c r="BW323" s="389"/>
      <c r="BX323" s="389"/>
      <c r="BY323" s="386"/>
      <c r="BZ323" s="386"/>
      <c r="CA323" s="386"/>
      <c r="CB323" s="386"/>
      <c r="CC323" s="386"/>
      <c r="CD323" s="386"/>
      <c r="CE323" s="386"/>
      <c r="CF323" s="390"/>
      <c r="CG323" s="390"/>
      <c r="CH323" s="391"/>
      <c r="CI323" s="386"/>
      <c r="CJ323" s="386"/>
      <c r="CK323" s="390"/>
      <c r="CL323" s="390"/>
      <c r="CM323" s="391"/>
      <c r="CN323" s="389"/>
      <c r="CO323" s="389"/>
      <c r="CP323" s="135"/>
      <c r="CQ323" s="135"/>
      <c r="CR323" s="135"/>
      <c r="CS323" s="135"/>
      <c r="CT323" s="135"/>
      <c r="CU323" s="135"/>
    </row>
    <row r="324" spans="1:99">
      <c r="A324" s="342" t="s">
        <v>670</v>
      </c>
      <c r="B324" s="342" t="s">
        <v>669</v>
      </c>
      <c r="C324" s="342" t="s">
        <v>1160</v>
      </c>
      <c r="D324" s="157">
        <v>0</v>
      </c>
      <c r="E324" s="157">
        <v>6153.81</v>
      </c>
      <c r="F324" s="157">
        <v>0</v>
      </c>
      <c r="G324" s="157">
        <v>276097.83</v>
      </c>
      <c r="H324" s="157">
        <v>53603.03</v>
      </c>
      <c r="I324" s="157">
        <v>0</v>
      </c>
      <c r="J324" s="157">
        <v>49034.89</v>
      </c>
      <c r="K324" s="157">
        <v>0</v>
      </c>
      <c r="L324" s="157">
        <v>6517.29</v>
      </c>
      <c r="M324" s="157">
        <v>0</v>
      </c>
      <c r="N324" s="264">
        <v>3.9399999999999998E-2</v>
      </c>
      <c r="O324" s="265">
        <v>0.28320000000000001</v>
      </c>
      <c r="P324" s="157">
        <v>0</v>
      </c>
      <c r="Q324" s="396">
        <v>0</v>
      </c>
      <c r="R324" s="396">
        <v>0</v>
      </c>
      <c r="S324" s="397">
        <v>0</v>
      </c>
      <c r="T324" s="397">
        <v>0</v>
      </c>
      <c r="U324" s="397">
        <v>0</v>
      </c>
      <c r="V324" s="157">
        <v>0</v>
      </c>
      <c r="W324" s="397">
        <v>0</v>
      </c>
      <c r="X324" s="397">
        <v>0</v>
      </c>
      <c r="Y324" s="157">
        <v>0</v>
      </c>
      <c r="Z324" s="157">
        <v>0</v>
      </c>
      <c r="AA324" s="157">
        <v>5471.69</v>
      </c>
      <c r="AB324" s="157">
        <v>25618.9</v>
      </c>
      <c r="AC324" s="157">
        <v>126092.53</v>
      </c>
      <c r="AD324" s="157">
        <v>13.77</v>
      </c>
      <c r="AE324" s="157">
        <v>118179.7</v>
      </c>
      <c r="AF324" s="398">
        <f t="shared" si="66"/>
        <v>8582.4037763253455</v>
      </c>
      <c r="AG324" s="398">
        <f t="shared" si="67"/>
        <v>9157.0464778503992</v>
      </c>
      <c r="AH324" s="399">
        <f t="shared" si="68"/>
        <v>574.64</v>
      </c>
      <c r="AI324" s="157">
        <v>2.85</v>
      </c>
      <c r="AJ324" s="157">
        <v>23654.91</v>
      </c>
      <c r="AK324" s="398">
        <f t="shared" si="69"/>
        <v>8299.968421052632</v>
      </c>
      <c r="AL324" s="398">
        <f t="shared" si="70"/>
        <v>8989.0877192982462</v>
      </c>
      <c r="AM324" s="399">
        <f t="shared" si="71"/>
        <v>689.12</v>
      </c>
      <c r="AN324" s="397">
        <v>0</v>
      </c>
      <c r="AO324" s="397">
        <v>0</v>
      </c>
      <c r="AP324" s="46"/>
      <c r="AQ324" s="402">
        <v>0</v>
      </c>
      <c r="AR324" s="274">
        <v>28368.95</v>
      </c>
      <c r="AS324" s="413">
        <v>16798.099999999999</v>
      </c>
      <c r="AX324" s="2"/>
      <c r="BA324" s="342"/>
      <c r="BB324" s="342"/>
      <c r="BC324" s="342"/>
      <c r="BD324" s="386"/>
      <c r="BE324" s="386"/>
      <c r="BF324" s="386"/>
      <c r="BG324" s="386"/>
      <c r="BH324" s="386"/>
      <c r="BI324" s="386"/>
      <c r="BJ324" s="386"/>
      <c r="BK324" s="386"/>
      <c r="BL324" s="386"/>
      <c r="BM324" s="386"/>
      <c r="BN324" s="387"/>
      <c r="BO324" s="265"/>
      <c r="BP324" s="386"/>
      <c r="BQ324" s="388"/>
      <c r="BR324" s="388"/>
      <c r="BS324" s="389"/>
      <c r="BT324" s="389"/>
      <c r="BU324" s="389"/>
      <c r="BV324" s="386"/>
      <c r="BW324" s="389"/>
      <c r="BX324" s="389"/>
      <c r="BY324" s="386"/>
      <c r="BZ324" s="386"/>
      <c r="CA324" s="386"/>
      <c r="CB324" s="386"/>
      <c r="CC324" s="386"/>
      <c r="CD324" s="386"/>
      <c r="CE324" s="386"/>
      <c r="CF324" s="390"/>
      <c r="CG324" s="390"/>
      <c r="CH324" s="391"/>
      <c r="CI324" s="386"/>
      <c r="CJ324" s="386"/>
      <c r="CK324" s="390"/>
      <c r="CL324" s="390"/>
      <c r="CM324" s="391"/>
      <c r="CN324" s="389"/>
      <c r="CO324" s="389"/>
      <c r="CP324" s="135"/>
      <c r="CQ324" s="135"/>
      <c r="CR324" s="135"/>
      <c r="CS324" s="135"/>
      <c r="CT324" s="135"/>
      <c r="CU324" s="135"/>
    </row>
    <row r="325" spans="1:99">
      <c r="A325" s="342" t="s">
        <v>672</v>
      </c>
      <c r="B325" s="342" t="s">
        <v>671</v>
      </c>
      <c r="C325" s="342" t="s">
        <v>1161</v>
      </c>
      <c r="D325" s="157">
        <v>0</v>
      </c>
      <c r="E325" s="157">
        <v>0</v>
      </c>
      <c r="F325" s="157">
        <v>0</v>
      </c>
      <c r="G325" s="157">
        <v>442769.57</v>
      </c>
      <c r="H325" s="157">
        <v>82639.3</v>
      </c>
      <c r="I325" s="157">
        <v>0</v>
      </c>
      <c r="J325" s="157">
        <v>91242.15</v>
      </c>
      <c r="K325" s="157">
        <v>10759.46</v>
      </c>
      <c r="L325" s="157">
        <v>10241.459999999999</v>
      </c>
      <c r="M325" s="157">
        <v>502272.03</v>
      </c>
      <c r="N325" s="264">
        <v>2.69E-2</v>
      </c>
      <c r="O325" s="265">
        <v>0.19059999999999999</v>
      </c>
      <c r="P325" s="157">
        <v>0</v>
      </c>
      <c r="Q325" s="396">
        <v>0</v>
      </c>
      <c r="R325" s="396">
        <v>0</v>
      </c>
      <c r="S325" s="397">
        <v>0</v>
      </c>
      <c r="T325" s="397">
        <v>0</v>
      </c>
      <c r="U325" s="397">
        <v>0</v>
      </c>
      <c r="V325" s="157">
        <v>0</v>
      </c>
      <c r="W325" s="397">
        <v>0</v>
      </c>
      <c r="X325" s="397">
        <v>0</v>
      </c>
      <c r="Y325" s="157">
        <v>0</v>
      </c>
      <c r="Z325" s="157">
        <v>0</v>
      </c>
      <c r="AA325" s="157">
        <v>3499.2</v>
      </c>
      <c r="AB325" s="157">
        <v>32761.41</v>
      </c>
      <c r="AC325" s="157">
        <v>165218.62</v>
      </c>
      <c r="AD325" s="157">
        <v>18.12</v>
      </c>
      <c r="AE325" s="157">
        <v>155647.74</v>
      </c>
      <c r="AF325" s="398">
        <f t="shared" si="66"/>
        <v>8589.8311258278136</v>
      </c>
      <c r="AG325" s="398">
        <f t="shared" si="67"/>
        <v>9118.0253863134658</v>
      </c>
      <c r="AH325" s="399">
        <f t="shared" si="68"/>
        <v>528.19000000000005</v>
      </c>
      <c r="AI325" s="157">
        <v>3.64</v>
      </c>
      <c r="AJ325" s="157">
        <v>30217.74</v>
      </c>
      <c r="AK325" s="398">
        <f t="shared" si="69"/>
        <v>8301.5769230769238</v>
      </c>
      <c r="AL325" s="398">
        <f t="shared" si="70"/>
        <v>9000.3873626373625</v>
      </c>
      <c r="AM325" s="399">
        <f t="shared" si="71"/>
        <v>698.81</v>
      </c>
      <c r="AN325" s="397">
        <v>0</v>
      </c>
      <c r="AO325" s="397">
        <v>0</v>
      </c>
      <c r="AP325" s="46"/>
      <c r="AQ325" s="402">
        <v>68991.850000000006</v>
      </c>
      <c r="AR325" s="274">
        <v>40386.47</v>
      </c>
      <c r="AS325" s="413">
        <v>21895.15</v>
      </c>
      <c r="AX325" s="2"/>
      <c r="BA325" s="342"/>
      <c r="BB325" s="342"/>
      <c r="BC325" s="342"/>
      <c r="BD325" s="386"/>
      <c r="BE325" s="386"/>
      <c r="BF325" s="386"/>
      <c r="BG325" s="386"/>
      <c r="BH325" s="386"/>
      <c r="BI325" s="386"/>
      <c r="BJ325" s="386"/>
      <c r="BK325" s="386"/>
      <c r="BL325" s="386"/>
      <c r="BM325" s="386"/>
      <c r="BN325" s="387"/>
      <c r="BO325" s="265"/>
      <c r="BP325" s="386"/>
      <c r="BQ325" s="388"/>
      <c r="BR325" s="388"/>
      <c r="BS325" s="389"/>
      <c r="BT325" s="389"/>
      <c r="BU325" s="389"/>
      <c r="BV325" s="386"/>
      <c r="BW325" s="389"/>
      <c r="BX325" s="389"/>
      <c r="BY325" s="386"/>
      <c r="BZ325" s="386"/>
      <c r="CA325" s="386"/>
      <c r="CB325" s="386"/>
      <c r="CC325" s="386"/>
      <c r="CD325" s="386"/>
      <c r="CE325" s="386"/>
      <c r="CF325" s="390"/>
      <c r="CG325" s="390"/>
      <c r="CH325" s="391"/>
      <c r="CI325" s="386"/>
      <c r="CJ325" s="386"/>
      <c r="CK325" s="390"/>
      <c r="CL325" s="390"/>
      <c r="CM325" s="391"/>
      <c r="CN325" s="389"/>
      <c r="CO325" s="389"/>
      <c r="CP325" s="135"/>
      <c r="CQ325" s="135"/>
      <c r="CR325" s="135"/>
      <c r="CS325" s="135"/>
      <c r="CT325" s="135"/>
      <c r="CU325" s="135"/>
    </row>
    <row r="326" spans="1:99">
      <c r="A326" s="342" t="s">
        <v>674</v>
      </c>
      <c r="B326" s="342" t="s">
        <v>673</v>
      </c>
      <c r="C326" s="342" t="s">
        <v>1162</v>
      </c>
      <c r="D326" s="157">
        <v>0</v>
      </c>
      <c r="E326" s="157">
        <v>0</v>
      </c>
      <c r="F326" s="157">
        <v>2397.31</v>
      </c>
      <c r="G326" s="157">
        <v>159672.95000000001</v>
      </c>
      <c r="H326" s="157">
        <v>18924.43</v>
      </c>
      <c r="I326" s="157">
        <v>35760.54</v>
      </c>
      <c r="J326" s="157">
        <v>41542.18</v>
      </c>
      <c r="K326" s="157">
        <v>0</v>
      </c>
      <c r="L326" s="157">
        <v>0</v>
      </c>
      <c r="M326" s="157">
        <v>223965.12</v>
      </c>
      <c r="N326" s="264">
        <v>8.5000000000000006E-2</v>
      </c>
      <c r="O326" s="265">
        <v>0.3548</v>
      </c>
      <c r="P326" s="157">
        <v>0</v>
      </c>
      <c r="Q326" s="396">
        <v>0</v>
      </c>
      <c r="R326" s="396">
        <v>0</v>
      </c>
      <c r="S326" s="397">
        <v>0</v>
      </c>
      <c r="T326" s="397">
        <v>0</v>
      </c>
      <c r="U326" s="397">
        <v>0</v>
      </c>
      <c r="V326" s="157">
        <v>0</v>
      </c>
      <c r="W326" s="397">
        <v>0</v>
      </c>
      <c r="X326" s="397">
        <v>0</v>
      </c>
      <c r="Y326" s="157">
        <v>140.97</v>
      </c>
      <c r="Z326" s="157">
        <v>0</v>
      </c>
      <c r="AA326" s="157">
        <v>0</v>
      </c>
      <c r="AB326" s="157">
        <v>42389.37</v>
      </c>
      <c r="AC326" s="157">
        <v>68736.86</v>
      </c>
      <c r="AD326" s="157">
        <v>7.37</v>
      </c>
      <c r="AE326" s="157">
        <v>64659.59</v>
      </c>
      <c r="AF326" s="398">
        <f t="shared" si="66"/>
        <v>8773.3500678426044</v>
      </c>
      <c r="AG326" s="398">
        <f t="shared" si="67"/>
        <v>9326.5753052917225</v>
      </c>
      <c r="AH326" s="399">
        <f t="shared" si="68"/>
        <v>553.23</v>
      </c>
      <c r="AI326" s="157">
        <v>4.6100000000000003</v>
      </c>
      <c r="AJ326" s="157">
        <v>39154.35</v>
      </c>
      <c r="AK326" s="398">
        <f t="shared" si="69"/>
        <v>8493.3514099783079</v>
      </c>
      <c r="AL326" s="398">
        <f t="shared" si="70"/>
        <v>9195.0911062906725</v>
      </c>
      <c r="AM326" s="399">
        <f t="shared" si="71"/>
        <v>701.74</v>
      </c>
      <c r="AN326" s="397">
        <v>302.39999999999998</v>
      </c>
      <c r="AO326" s="397">
        <v>0</v>
      </c>
      <c r="AP326" s="46"/>
      <c r="AQ326" s="402">
        <v>53936.380000000005</v>
      </c>
      <c r="AR326" s="274">
        <v>23723.980000000003</v>
      </c>
      <c r="AS326" s="413">
        <v>13875.5</v>
      </c>
      <c r="AX326" s="2"/>
      <c r="BA326" s="342"/>
      <c r="BB326" s="342"/>
      <c r="BC326" s="342"/>
      <c r="BD326" s="386"/>
      <c r="BE326" s="386"/>
      <c r="BF326" s="386"/>
      <c r="BG326" s="386"/>
      <c r="BH326" s="386"/>
      <c r="BI326" s="386"/>
      <c r="BJ326" s="386"/>
      <c r="BK326" s="386"/>
      <c r="BL326" s="386"/>
      <c r="BM326" s="386"/>
      <c r="BN326" s="387"/>
      <c r="BO326" s="265"/>
      <c r="BP326" s="386"/>
      <c r="BQ326" s="388"/>
      <c r="BR326" s="388"/>
      <c r="BS326" s="389"/>
      <c r="BT326" s="389"/>
      <c r="BU326" s="389"/>
      <c r="BV326" s="386"/>
      <c r="BW326" s="389"/>
      <c r="BX326" s="389"/>
      <c r="BY326" s="386"/>
      <c r="BZ326" s="386"/>
      <c r="CA326" s="386"/>
      <c r="CB326" s="386"/>
      <c r="CC326" s="386"/>
      <c r="CD326" s="386"/>
      <c r="CE326" s="386"/>
      <c r="CF326" s="390"/>
      <c r="CG326" s="390"/>
      <c r="CH326" s="391"/>
      <c r="CI326" s="386"/>
      <c r="CJ326" s="386"/>
      <c r="CK326" s="390"/>
      <c r="CL326" s="390"/>
      <c r="CM326" s="391"/>
      <c r="CN326" s="389"/>
      <c r="CO326" s="389"/>
      <c r="CP326" s="135"/>
      <c r="CQ326" s="135"/>
      <c r="CR326" s="135"/>
      <c r="CS326" s="135"/>
      <c r="CT326" s="135"/>
      <c r="CU326" s="135"/>
    </row>
    <row r="327" spans="1:99">
      <c r="A327" s="342" t="s">
        <v>676</v>
      </c>
      <c r="B327" s="342" t="s">
        <v>675</v>
      </c>
      <c r="C327" s="342" t="s">
        <v>1163</v>
      </c>
      <c r="D327" s="157">
        <v>0</v>
      </c>
      <c r="E327" s="157">
        <v>0</v>
      </c>
      <c r="F327" s="157">
        <v>0</v>
      </c>
      <c r="G327" s="157">
        <v>1318138.48</v>
      </c>
      <c r="H327" s="157">
        <v>188602.63</v>
      </c>
      <c r="I327" s="157">
        <v>231801.08</v>
      </c>
      <c r="J327" s="157">
        <v>389190.29</v>
      </c>
      <c r="K327" s="157">
        <v>68705.710000000006</v>
      </c>
      <c r="L327" s="157">
        <v>24304.33</v>
      </c>
      <c r="M327" s="157">
        <v>423836.57</v>
      </c>
      <c r="N327" s="264">
        <v>5.5E-2</v>
      </c>
      <c r="O327" s="265">
        <v>0.22489999999999999</v>
      </c>
      <c r="P327" s="157">
        <v>0</v>
      </c>
      <c r="Q327" s="396">
        <v>0</v>
      </c>
      <c r="R327" s="396">
        <v>0</v>
      </c>
      <c r="S327" s="397">
        <v>0</v>
      </c>
      <c r="T327" s="397">
        <v>0</v>
      </c>
      <c r="U327" s="397">
        <v>0</v>
      </c>
      <c r="V327" s="157">
        <v>0</v>
      </c>
      <c r="W327" s="397">
        <v>0</v>
      </c>
      <c r="X327" s="397">
        <v>0</v>
      </c>
      <c r="Y327" s="157">
        <v>978.9</v>
      </c>
      <c r="Z327" s="157">
        <v>8945.8700000000008</v>
      </c>
      <c r="AA327" s="157">
        <v>42670.79</v>
      </c>
      <c r="AB327" s="157">
        <v>72734.31</v>
      </c>
      <c r="AC327" s="157">
        <v>410738.59</v>
      </c>
      <c r="AD327" s="157">
        <v>43.1</v>
      </c>
      <c r="AE327" s="157">
        <v>377762.84</v>
      </c>
      <c r="AF327" s="398">
        <f t="shared" ref="AF327:AF334" si="72">IFERROR(AE327/AD327,0)</f>
        <v>8764.7990719257541</v>
      </c>
      <c r="AG327" s="398">
        <f t="shared" ref="AG327:AG334" si="73">IFERROR(AC327/AD327,0)</f>
        <v>9529.8976798143849</v>
      </c>
      <c r="AH327" s="399">
        <f t="shared" ref="AH327:AH334" si="74">ROUND(AG327-AF327,2)</f>
        <v>765.1</v>
      </c>
      <c r="AI327" s="157">
        <v>7.94</v>
      </c>
      <c r="AJ327" s="157">
        <v>67551.86</v>
      </c>
      <c r="AK327" s="398">
        <f t="shared" ref="AK327:AK334" si="75">IFERROR(AJ327/AI327,0)</f>
        <v>8507.7909319899245</v>
      </c>
      <c r="AL327" s="398">
        <f t="shared" ref="AL327:AL334" si="76">IFERROR(AB327/AI327,0)</f>
        <v>9160.4924433249362</v>
      </c>
      <c r="AM327" s="399">
        <f t="shared" ref="AM327:AM334" si="77">ROUND(AL327-AK327,2)</f>
        <v>652.70000000000005</v>
      </c>
      <c r="AN327" s="397">
        <v>0</v>
      </c>
      <c r="AO327" s="397">
        <v>0</v>
      </c>
      <c r="AP327" s="46"/>
      <c r="AQ327" s="402">
        <v>143593.47999999998</v>
      </c>
      <c r="AR327" s="274">
        <v>89421.7</v>
      </c>
      <c r="AS327" s="413">
        <v>33998.639999999999</v>
      </c>
      <c r="AX327" s="2"/>
      <c r="BA327" s="342"/>
      <c r="BB327" s="342"/>
      <c r="BC327" s="342"/>
      <c r="BD327" s="386"/>
      <c r="BE327" s="386"/>
      <c r="BF327" s="386"/>
      <c r="BG327" s="386"/>
      <c r="BH327" s="386"/>
      <c r="BI327" s="386"/>
      <c r="BJ327" s="386"/>
      <c r="BK327" s="386"/>
      <c r="BL327" s="386"/>
      <c r="BM327" s="386"/>
      <c r="BN327" s="387"/>
      <c r="BO327" s="265"/>
      <c r="BP327" s="386"/>
      <c r="BQ327" s="388"/>
      <c r="BR327" s="388"/>
      <c r="BS327" s="389"/>
      <c r="BT327" s="389"/>
      <c r="BU327" s="389"/>
      <c r="BV327" s="386"/>
      <c r="BW327" s="389"/>
      <c r="BX327" s="389"/>
      <c r="BY327" s="386"/>
      <c r="BZ327" s="386"/>
      <c r="CA327" s="386"/>
      <c r="CB327" s="386"/>
      <c r="CC327" s="386"/>
      <c r="CD327" s="386"/>
      <c r="CE327" s="386"/>
      <c r="CF327" s="390"/>
      <c r="CG327" s="390"/>
      <c r="CH327" s="391"/>
      <c r="CI327" s="386"/>
      <c r="CJ327" s="386"/>
      <c r="CK327" s="390"/>
      <c r="CL327" s="390"/>
      <c r="CM327" s="391"/>
      <c r="CN327" s="389"/>
      <c r="CO327" s="389"/>
      <c r="CP327" s="135"/>
      <c r="CQ327" s="135"/>
      <c r="CR327" s="135"/>
      <c r="CS327" s="135"/>
      <c r="CT327" s="135"/>
      <c r="CU327" s="135"/>
    </row>
    <row r="328" spans="1:99">
      <c r="A328" s="342" t="s">
        <v>678</v>
      </c>
      <c r="B328" s="342" t="s">
        <v>677</v>
      </c>
      <c r="C328" s="342" t="s">
        <v>1164</v>
      </c>
      <c r="D328" s="157">
        <v>0</v>
      </c>
      <c r="E328" s="157">
        <v>0</v>
      </c>
      <c r="F328" s="157">
        <v>0</v>
      </c>
      <c r="G328" s="157">
        <v>191630.23</v>
      </c>
      <c r="H328" s="157">
        <v>20258.080000000002</v>
      </c>
      <c r="I328" s="157">
        <v>47379.7</v>
      </c>
      <c r="J328" s="157">
        <v>69931.62</v>
      </c>
      <c r="K328" s="157">
        <v>0</v>
      </c>
      <c r="L328" s="157">
        <v>0</v>
      </c>
      <c r="M328" s="157">
        <v>121525.87</v>
      </c>
      <c r="N328" s="264">
        <v>6.4199999999999993E-2</v>
      </c>
      <c r="O328" s="265">
        <v>0.31990000000000002</v>
      </c>
      <c r="P328" s="157">
        <v>0</v>
      </c>
      <c r="Q328" s="396">
        <v>0</v>
      </c>
      <c r="R328" s="396">
        <v>0</v>
      </c>
      <c r="S328" s="397">
        <v>0</v>
      </c>
      <c r="T328" s="397">
        <v>0</v>
      </c>
      <c r="U328" s="397">
        <v>0</v>
      </c>
      <c r="V328" s="157">
        <v>0</v>
      </c>
      <c r="W328" s="397">
        <v>0</v>
      </c>
      <c r="X328" s="397">
        <v>0</v>
      </c>
      <c r="Y328" s="157">
        <v>178.19</v>
      </c>
      <c r="Z328" s="157">
        <v>0</v>
      </c>
      <c r="AA328" s="157">
        <v>0</v>
      </c>
      <c r="AB328" s="157">
        <v>33990.89</v>
      </c>
      <c r="AC328" s="157">
        <v>93595.75</v>
      </c>
      <c r="AD328" s="157">
        <v>10.4</v>
      </c>
      <c r="AE328" s="157">
        <v>89372.72</v>
      </c>
      <c r="AF328" s="398">
        <f t="shared" si="72"/>
        <v>8593.5307692307688</v>
      </c>
      <c r="AG328" s="398">
        <f t="shared" si="73"/>
        <v>8999.5913461538457</v>
      </c>
      <c r="AH328" s="399">
        <f t="shared" si="74"/>
        <v>406.06</v>
      </c>
      <c r="AI328" s="157">
        <v>3.77</v>
      </c>
      <c r="AJ328" s="157">
        <v>31522.7</v>
      </c>
      <c r="AK328" s="398">
        <f t="shared" si="75"/>
        <v>8361.4588859416453</v>
      </c>
      <c r="AL328" s="398">
        <f t="shared" si="76"/>
        <v>9016.1511936339521</v>
      </c>
      <c r="AM328" s="399">
        <f t="shared" si="77"/>
        <v>654.69000000000005</v>
      </c>
      <c r="AN328" s="397">
        <v>4471.62</v>
      </c>
      <c r="AO328" s="397">
        <v>0</v>
      </c>
      <c r="AP328" s="46"/>
      <c r="AQ328" s="402">
        <v>0</v>
      </c>
      <c r="AR328" s="274">
        <v>26688.449999999997</v>
      </c>
      <c r="AS328" s="413">
        <v>14819.619999999999</v>
      </c>
      <c r="AX328" s="2"/>
      <c r="BA328" s="342"/>
      <c r="BB328" s="342"/>
      <c r="BC328" s="342"/>
      <c r="BD328" s="386"/>
      <c r="BE328" s="386"/>
      <c r="BF328" s="386"/>
      <c r="BG328" s="386"/>
      <c r="BH328" s="386"/>
      <c r="BI328" s="386"/>
      <c r="BJ328" s="386"/>
      <c r="BK328" s="386"/>
      <c r="BL328" s="386"/>
      <c r="BM328" s="386"/>
      <c r="BN328" s="387"/>
      <c r="BO328" s="265"/>
      <c r="BP328" s="386"/>
      <c r="BQ328" s="388"/>
      <c r="BR328" s="388"/>
      <c r="BS328" s="389"/>
      <c r="BT328" s="389"/>
      <c r="BU328" s="389"/>
      <c r="BV328" s="386"/>
      <c r="BW328" s="389"/>
      <c r="BX328" s="389"/>
      <c r="BY328" s="386"/>
      <c r="BZ328" s="386"/>
      <c r="CA328" s="386"/>
      <c r="CB328" s="386"/>
      <c r="CC328" s="386"/>
      <c r="CD328" s="386"/>
      <c r="CE328" s="386"/>
      <c r="CF328" s="390"/>
      <c r="CG328" s="390"/>
      <c r="CH328" s="391"/>
      <c r="CI328" s="386"/>
      <c r="CJ328" s="386"/>
      <c r="CK328" s="390"/>
      <c r="CL328" s="390"/>
      <c r="CM328" s="391"/>
      <c r="CN328" s="389"/>
      <c r="CO328" s="389"/>
      <c r="CP328" s="135"/>
      <c r="CQ328" s="135"/>
      <c r="CR328" s="135"/>
      <c r="CS328" s="135"/>
      <c r="CT328" s="135"/>
      <c r="CU328" s="135"/>
    </row>
    <row r="329" spans="1:99">
      <c r="A329" s="342" t="s">
        <v>680</v>
      </c>
      <c r="B329" s="342" t="s">
        <v>679</v>
      </c>
      <c r="C329" s="342" t="s">
        <v>1165</v>
      </c>
      <c r="D329" s="157">
        <v>0</v>
      </c>
      <c r="E329" s="157">
        <v>0</v>
      </c>
      <c r="F329" s="157">
        <v>0</v>
      </c>
      <c r="G329" s="157">
        <v>0</v>
      </c>
      <c r="H329" s="157">
        <v>0</v>
      </c>
      <c r="I329" s="157">
        <v>18207.05</v>
      </c>
      <c r="J329" s="157">
        <v>36310.65</v>
      </c>
      <c r="K329" s="157">
        <v>0</v>
      </c>
      <c r="L329" s="157">
        <v>0</v>
      </c>
      <c r="M329" s="157">
        <v>82802.149999999994</v>
      </c>
      <c r="N329" s="264">
        <v>3.1600000000000003E-2</v>
      </c>
      <c r="O329" s="265">
        <v>0.31140000000000001</v>
      </c>
      <c r="P329" s="157">
        <v>0</v>
      </c>
      <c r="Q329" s="396">
        <v>0</v>
      </c>
      <c r="R329" s="396">
        <v>0</v>
      </c>
      <c r="S329" s="397">
        <v>0</v>
      </c>
      <c r="T329" s="397">
        <v>0</v>
      </c>
      <c r="U329" s="397">
        <v>0</v>
      </c>
      <c r="V329" s="157">
        <v>0</v>
      </c>
      <c r="W329" s="397">
        <v>0</v>
      </c>
      <c r="X329" s="397">
        <v>0</v>
      </c>
      <c r="Y329" s="157">
        <v>75.56</v>
      </c>
      <c r="Z329" s="157">
        <v>0</v>
      </c>
      <c r="AA329" s="157">
        <v>0</v>
      </c>
      <c r="AB329" s="157">
        <v>0</v>
      </c>
      <c r="AC329" s="157">
        <v>38219.58</v>
      </c>
      <c r="AD329" s="157">
        <v>4.25</v>
      </c>
      <c r="AE329" s="157">
        <v>36475.949999999997</v>
      </c>
      <c r="AF329" s="398">
        <f t="shared" si="72"/>
        <v>8582.5764705882339</v>
      </c>
      <c r="AG329" s="398">
        <f t="shared" si="73"/>
        <v>8992.8423529411775</v>
      </c>
      <c r="AH329" s="399">
        <f t="shared" si="74"/>
        <v>410.27</v>
      </c>
      <c r="AI329" s="157">
        <v>0</v>
      </c>
      <c r="AJ329" s="157">
        <v>0</v>
      </c>
      <c r="AK329" s="398">
        <f t="shared" si="75"/>
        <v>0</v>
      </c>
      <c r="AL329" s="398">
        <f t="shared" si="76"/>
        <v>0</v>
      </c>
      <c r="AM329" s="399">
        <f t="shared" si="77"/>
        <v>0</v>
      </c>
      <c r="AN329" s="397">
        <v>0</v>
      </c>
      <c r="AO329" s="397">
        <v>0</v>
      </c>
      <c r="AP329" s="46"/>
      <c r="AQ329" s="402">
        <v>8974.7900000000009</v>
      </c>
      <c r="AR329" s="274">
        <v>19703.62</v>
      </c>
      <c r="AS329" s="413">
        <v>11917.48</v>
      </c>
      <c r="AX329" s="2"/>
      <c r="BA329" s="342"/>
      <c r="BB329" s="342"/>
      <c r="BC329" s="342"/>
      <c r="BD329" s="386"/>
      <c r="BE329" s="386"/>
      <c r="BF329" s="386"/>
      <c r="BG329" s="386"/>
      <c r="BH329" s="386"/>
      <c r="BI329" s="386"/>
      <c r="BJ329" s="386"/>
      <c r="BK329" s="386"/>
      <c r="BL329" s="386"/>
      <c r="BM329" s="386"/>
      <c r="BN329" s="387"/>
      <c r="BO329" s="265"/>
      <c r="BP329" s="386"/>
      <c r="BQ329" s="388"/>
      <c r="BR329" s="388"/>
      <c r="BS329" s="389"/>
      <c r="BT329" s="389"/>
      <c r="BU329" s="389"/>
      <c r="BV329" s="386"/>
      <c r="BW329" s="389"/>
      <c r="BX329" s="389"/>
      <c r="BY329" s="386"/>
      <c r="BZ329" s="386"/>
      <c r="CA329" s="386"/>
      <c r="CB329" s="386"/>
      <c r="CC329" s="386"/>
      <c r="CD329" s="386"/>
      <c r="CE329" s="386"/>
      <c r="CF329" s="390"/>
      <c r="CG329" s="390"/>
      <c r="CH329" s="391"/>
      <c r="CI329" s="386"/>
      <c r="CJ329" s="386"/>
      <c r="CK329" s="390"/>
      <c r="CL329" s="390"/>
      <c r="CM329" s="391"/>
      <c r="CN329" s="389"/>
      <c r="CO329" s="389"/>
      <c r="CP329" s="135"/>
      <c r="CQ329" s="135"/>
      <c r="CR329" s="135"/>
      <c r="CS329" s="135"/>
      <c r="CT329" s="135"/>
      <c r="CU329" s="135"/>
    </row>
    <row r="330" spans="1:99">
      <c r="A330" s="342" t="s">
        <v>682</v>
      </c>
      <c r="B330" s="342" t="s">
        <v>681</v>
      </c>
      <c r="C330" s="342" t="s">
        <v>1166</v>
      </c>
      <c r="D330" s="157">
        <v>0</v>
      </c>
      <c r="E330" s="157">
        <v>0</v>
      </c>
      <c r="F330" s="157">
        <v>0</v>
      </c>
      <c r="G330" s="157">
        <v>3836752.83</v>
      </c>
      <c r="H330" s="157">
        <v>620598.09</v>
      </c>
      <c r="I330" s="157">
        <v>151139.21</v>
      </c>
      <c r="J330" s="157">
        <v>630936.31999999995</v>
      </c>
      <c r="K330" s="157">
        <v>314866.33</v>
      </c>
      <c r="L330" s="157">
        <v>70862.66</v>
      </c>
      <c r="M330" s="157">
        <v>7146775.7199999997</v>
      </c>
      <c r="N330" s="264">
        <v>4.5100000000000001E-2</v>
      </c>
      <c r="O330" s="265">
        <v>0.1555</v>
      </c>
      <c r="P330" s="157">
        <v>0</v>
      </c>
      <c r="Q330" s="396">
        <v>0</v>
      </c>
      <c r="R330" s="396">
        <v>0</v>
      </c>
      <c r="S330" s="397">
        <v>0</v>
      </c>
      <c r="T330" s="397">
        <v>0</v>
      </c>
      <c r="U330" s="397">
        <v>0</v>
      </c>
      <c r="V330" s="157">
        <v>0</v>
      </c>
      <c r="W330" s="397">
        <v>0</v>
      </c>
      <c r="X330" s="397">
        <v>0</v>
      </c>
      <c r="Y330" s="157">
        <v>2755.13</v>
      </c>
      <c r="Z330" s="157">
        <v>0</v>
      </c>
      <c r="AA330" s="157">
        <v>0</v>
      </c>
      <c r="AB330" s="157">
        <v>50424.67</v>
      </c>
      <c r="AC330" s="157">
        <v>798627.35</v>
      </c>
      <c r="AD330" s="157">
        <v>88.36</v>
      </c>
      <c r="AE330" s="157">
        <v>759042.46</v>
      </c>
      <c r="AF330" s="398">
        <f t="shared" si="72"/>
        <v>8590.3401991851515</v>
      </c>
      <c r="AG330" s="398">
        <f t="shared" si="73"/>
        <v>9038.335785423269</v>
      </c>
      <c r="AH330" s="399">
        <f t="shared" si="74"/>
        <v>448</v>
      </c>
      <c r="AI330" s="157">
        <v>5.61</v>
      </c>
      <c r="AJ330" s="157">
        <v>46827.77</v>
      </c>
      <c r="AK330" s="398">
        <f t="shared" si="75"/>
        <v>8347.1960784313724</v>
      </c>
      <c r="AL330" s="398">
        <f t="shared" si="76"/>
        <v>8988.3547237076637</v>
      </c>
      <c r="AM330" s="399">
        <f t="shared" si="77"/>
        <v>641.16</v>
      </c>
      <c r="AN330" s="397">
        <v>0</v>
      </c>
      <c r="AO330" s="397">
        <v>0</v>
      </c>
      <c r="AP330" s="46"/>
      <c r="AQ330" s="402">
        <v>0</v>
      </c>
      <c r="AR330" s="274">
        <v>228743.12</v>
      </c>
      <c r="AS330" s="413">
        <v>83516.160000000003</v>
      </c>
      <c r="AX330" s="2"/>
      <c r="BA330" s="342"/>
      <c r="BB330" s="342"/>
      <c r="BC330" s="342"/>
      <c r="BD330" s="386"/>
      <c r="BE330" s="386"/>
      <c r="BF330" s="386"/>
      <c r="BG330" s="386"/>
      <c r="BH330" s="386"/>
      <c r="BI330" s="386"/>
      <c r="BJ330" s="386"/>
      <c r="BK330" s="386"/>
      <c r="BL330" s="386"/>
      <c r="BM330" s="386"/>
      <c r="BN330" s="387"/>
      <c r="BO330" s="265"/>
      <c r="BP330" s="386"/>
      <c r="BQ330" s="388"/>
      <c r="BR330" s="388"/>
      <c r="BS330" s="389"/>
      <c r="BT330" s="389"/>
      <c r="BU330" s="389"/>
      <c r="BV330" s="386"/>
      <c r="BW330" s="389"/>
      <c r="BX330" s="389"/>
      <c r="BY330" s="386"/>
      <c r="BZ330" s="386"/>
      <c r="CA330" s="386"/>
      <c r="CB330" s="386"/>
      <c r="CC330" s="386"/>
      <c r="CD330" s="386"/>
      <c r="CE330" s="386"/>
      <c r="CF330" s="390"/>
      <c r="CG330" s="390"/>
      <c r="CH330" s="391"/>
      <c r="CI330" s="386"/>
      <c r="CJ330" s="386"/>
      <c r="CK330" s="390"/>
      <c r="CL330" s="390"/>
      <c r="CM330" s="391"/>
      <c r="CN330" s="389"/>
      <c r="CO330" s="389"/>
      <c r="CP330" s="135"/>
      <c r="CQ330" s="135"/>
      <c r="CR330" s="135"/>
      <c r="CS330" s="135"/>
      <c r="CT330" s="135"/>
      <c r="CU330" s="135"/>
    </row>
    <row r="331" spans="1:99">
      <c r="A331" s="342" t="s">
        <v>1167</v>
      </c>
      <c r="B331" s="342" t="s">
        <v>683</v>
      </c>
      <c r="C331" s="342" t="s">
        <v>1168</v>
      </c>
      <c r="D331" s="157">
        <v>14031.08</v>
      </c>
      <c r="E331" s="157">
        <v>0</v>
      </c>
      <c r="F331" s="157">
        <v>0</v>
      </c>
      <c r="G331" s="157">
        <v>0</v>
      </c>
      <c r="H331" s="157">
        <v>0</v>
      </c>
      <c r="I331" s="157">
        <v>0</v>
      </c>
      <c r="J331" s="157">
        <v>0</v>
      </c>
      <c r="K331" s="157">
        <v>0</v>
      </c>
      <c r="L331" s="157">
        <v>0</v>
      </c>
      <c r="M331" s="157">
        <v>0</v>
      </c>
      <c r="N331" s="264">
        <v>0.08</v>
      </c>
      <c r="O331" s="265">
        <v>0.1</v>
      </c>
      <c r="P331" s="157">
        <v>0</v>
      </c>
      <c r="Q331" s="396">
        <v>0</v>
      </c>
      <c r="R331" s="396">
        <v>0</v>
      </c>
      <c r="S331" s="397">
        <v>0</v>
      </c>
      <c r="T331" s="397">
        <v>0</v>
      </c>
      <c r="U331" s="397">
        <v>0</v>
      </c>
      <c r="V331" s="157">
        <v>0</v>
      </c>
      <c r="W331" s="397">
        <v>0</v>
      </c>
      <c r="X331" s="397">
        <v>0</v>
      </c>
      <c r="Y331" s="157">
        <v>0</v>
      </c>
      <c r="Z331" s="157">
        <v>0</v>
      </c>
      <c r="AA331" s="157">
        <v>0</v>
      </c>
      <c r="AB331" s="157">
        <v>0</v>
      </c>
      <c r="AC331" s="157">
        <v>0</v>
      </c>
      <c r="AD331" s="157">
        <v>0</v>
      </c>
      <c r="AE331" s="157">
        <v>0</v>
      </c>
      <c r="AF331" s="398">
        <f t="shared" si="72"/>
        <v>0</v>
      </c>
      <c r="AG331" s="398">
        <f t="shared" si="73"/>
        <v>0</v>
      </c>
      <c r="AH331" s="399">
        <f t="shared" si="74"/>
        <v>0</v>
      </c>
      <c r="AI331" s="157">
        <v>0</v>
      </c>
      <c r="AJ331" s="157">
        <v>0</v>
      </c>
      <c r="AK331" s="398">
        <f t="shared" si="75"/>
        <v>0</v>
      </c>
      <c r="AL331" s="398">
        <f t="shared" si="76"/>
        <v>0</v>
      </c>
      <c r="AM331" s="399">
        <f t="shared" si="77"/>
        <v>0</v>
      </c>
      <c r="AN331" s="397">
        <v>0</v>
      </c>
      <c r="AO331" s="397">
        <v>0</v>
      </c>
      <c r="AP331" s="46"/>
      <c r="AQ331" s="402">
        <v>48038.89</v>
      </c>
      <c r="AR331" s="274">
        <v>19580.53</v>
      </c>
      <c r="AS331" s="413"/>
      <c r="AX331" s="2"/>
      <c r="BA331" s="342"/>
      <c r="BB331" s="342"/>
      <c r="BC331" s="342"/>
      <c r="BD331" s="386"/>
      <c r="BE331" s="386"/>
      <c r="BF331" s="386"/>
      <c r="BG331" s="386"/>
      <c r="BH331" s="386"/>
      <c r="BI331" s="386"/>
      <c r="BJ331" s="386"/>
      <c r="BK331" s="386"/>
      <c r="BL331" s="386"/>
      <c r="BM331" s="386"/>
      <c r="BN331" s="387"/>
      <c r="BO331" s="265"/>
      <c r="BP331" s="386"/>
      <c r="BQ331" s="388"/>
      <c r="BR331" s="388"/>
      <c r="BS331" s="389"/>
      <c r="BT331" s="389"/>
      <c r="BU331" s="389"/>
      <c r="BV331" s="386"/>
      <c r="BW331" s="389"/>
      <c r="BX331" s="389"/>
      <c r="BY331" s="386"/>
      <c r="BZ331" s="386"/>
      <c r="CA331" s="386"/>
      <c r="CB331" s="386"/>
      <c r="CC331" s="386"/>
      <c r="CD331" s="386"/>
      <c r="CE331" s="386"/>
      <c r="CF331" s="390"/>
      <c r="CG331" s="390"/>
      <c r="CH331" s="391"/>
      <c r="CI331" s="386"/>
      <c r="CJ331" s="386"/>
      <c r="CK331" s="390"/>
      <c r="CL331" s="390"/>
      <c r="CM331" s="391"/>
      <c r="CN331" s="389"/>
      <c r="CO331" s="389"/>
      <c r="CP331" s="135"/>
      <c r="CQ331" s="135"/>
      <c r="CR331" s="135"/>
      <c r="CS331" s="135"/>
      <c r="CT331" s="135"/>
      <c r="CU331" s="135"/>
    </row>
    <row r="332" spans="1:99">
      <c r="A332" s="342" t="s">
        <v>686</v>
      </c>
      <c r="B332" s="342" t="s">
        <v>685</v>
      </c>
      <c r="C332" s="342" t="s">
        <v>1169</v>
      </c>
      <c r="D332" s="157">
        <v>0</v>
      </c>
      <c r="E332" s="157">
        <v>725697.76</v>
      </c>
      <c r="F332" s="157">
        <v>437947.62</v>
      </c>
      <c r="G332" s="157">
        <v>20942501.780000001</v>
      </c>
      <c r="H332" s="157">
        <v>5048628.16</v>
      </c>
      <c r="I332" s="157">
        <v>4571210.7300000004</v>
      </c>
      <c r="J332" s="157">
        <v>8764935.5399999991</v>
      </c>
      <c r="K332" s="157">
        <v>7217158.6799999997</v>
      </c>
      <c r="L332" s="157">
        <v>456003.8</v>
      </c>
      <c r="M332" s="157">
        <v>4331401.9400000004</v>
      </c>
      <c r="N332" s="264">
        <v>1.7500000000000002E-2</v>
      </c>
      <c r="O332" s="265">
        <v>0.14710000000000001</v>
      </c>
      <c r="P332" s="157">
        <v>0</v>
      </c>
      <c r="Q332" s="396">
        <v>0</v>
      </c>
      <c r="R332" s="396">
        <v>0</v>
      </c>
      <c r="S332" s="397">
        <v>430356.93</v>
      </c>
      <c r="T332" s="397">
        <v>0</v>
      </c>
      <c r="U332" s="397">
        <v>14665.14</v>
      </c>
      <c r="V332" s="157">
        <v>0</v>
      </c>
      <c r="W332" s="397">
        <v>0</v>
      </c>
      <c r="X332" s="397">
        <v>0</v>
      </c>
      <c r="Y332" s="157">
        <v>0</v>
      </c>
      <c r="Z332" s="157">
        <v>124859.8</v>
      </c>
      <c r="AA332" s="157">
        <v>11249.77</v>
      </c>
      <c r="AB332" s="157">
        <v>1931743.19</v>
      </c>
      <c r="AC332" s="157">
        <v>9061248.8300000001</v>
      </c>
      <c r="AD332" s="157">
        <v>992.31</v>
      </c>
      <c r="AE332" s="157">
        <v>8524129.7699999996</v>
      </c>
      <c r="AF332" s="398">
        <f t="shared" si="72"/>
        <v>8590.1883181667017</v>
      </c>
      <c r="AG332" s="398">
        <f t="shared" si="73"/>
        <v>9131.4698330158935</v>
      </c>
      <c r="AH332" s="399">
        <f t="shared" si="74"/>
        <v>541.28</v>
      </c>
      <c r="AI332" s="157">
        <v>215.18</v>
      </c>
      <c r="AJ332" s="157">
        <v>1793772.34</v>
      </c>
      <c r="AK332" s="398">
        <f t="shared" si="75"/>
        <v>8336.1480620875554</v>
      </c>
      <c r="AL332" s="398">
        <f t="shared" si="76"/>
        <v>8977.3361371874707</v>
      </c>
      <c r="AM332" s="399">
        <f t="shared" si="77"/>
        <v>641.19000000000005</v>
      </c>
      <c r="AN332" s="397">
        <v>0</v>
      </c>
      <c r="AO332" s="397">
        <v>0</v>
      </c>
      <c r="AP332" s="46"/>
      <c r="AQ332" s="402">
        <v>1209320.3700000001</v>
      </c>
      <c r="AR332" s="274">
        <v>1717221.48</v>
      </c>
      <c r="AS332" s="413">
        <v>481024.28</v>
      </c>
      <c r="AX332" s="2"/>
      <c r="BA332" s="342"/>
      <c r="BB332" s="342"/>
      <c r="BC332" s="342"/>
      <c r="BD332" s="386"/>
      <c r="BE332" s="386"/>
      <c r="BF332" s="386"/>
      <c r="BG332" s="386"/>
      <c r="BH332" s="386"/>
      <c r="BI332" s="386"/>
      <c r="BJ332" s="386"/>
      <c r="BK332" s="386"/>
      <c r="BL332" s="386"/>
      <c r="BM332" s="386"/>
      <c r="BN332" s="387"/>
      <c r="BO332" s="265"/>
      <c r="BP332" s="386"/>
      <c r="BQ332" s="388"/>
      <c r="BR332" s="388"/>
      <c r="BS332" s="389"/>
      <c r="BT332" s="389"/>
      <c r="BU332" s="389"/>
      <c r="BV332" s="386"/>
      <c r="BW332" s="389"/>
      <c r="BX332" s="389"/>
      <c r="BY332" s="386"/>
      <c r="BZ332" s="386"/>
      <c r="CA332" s="386"/>
      <c r="CB332" s="386"/>
      <c r="CC332" s="386"/>
      <c r="CD332" s="386"/>
      <c r="CE332" s="386"/>
      <c r="CF332" s="390"/>
      <c r="CG332" s="390"/>
      <c r="CH332" s="391"/>
      <c r="CI332" s="386"/>
      <c r="CJ332" s="386"/>
      <c r="CK332" s="390"/>
      <c r="CL332" s="390"/>
      <c r="CM332" s="391"/>
      <c r="CN332" s="389"/>
      <c r="CO332" s="389"/>
      <c r="CP332" s="135"/>
      <c r="CQ332" s="135"/>
      <c r="CR332" s="135"/>
      <c r="CS332" s="135"/>
      <c r="CT332" s="135"/>
      <c r="CU332" s="135"/>
    </row>
    <row r="333" spans="1:99">
      <c r="A333" s="342" t="s">
        <v>688</v>
      </c>
      <c r="B333" s="342" t="s">
        <v>687</v>
      </c>
      <c r="C333" s="342" t="s">
        <v>1170</v>
      </c>
      <c r="D333" s="157">
        <v>0</v>
      </c>
      <c r="E333" s="157">
        <v>121521.01</v>
      </c>
      <c r="F333" s="157">
        <v>0</v>
      </c>
      <c r="G333" s="157">
        <v>8555419.1799999997</v>
      </c>
      <c r="H333" s="157">
        <v>1466614.22</v>
      </c>
      <c r="I333" s="157">
        <v>175346.3</v>
      </c>
      <c r="J333" s="157">
        <v>1647117.27</v>
      </c>
      <c r="K333" s="157">
        <v>283806.02</v>
      </c>
      <c r="L333" s="157">
        <v>165518.60999999999</v>
      </c>
      <c r="M333" s="157">
        <v>4619612.04</v>
      </c>
      <c r="N333" s="264">
        <v>4.5400000000000003E-2</v>
      </c>
      <c r="O333" s="265">
        <v>0.15340000000000001</v>
      </c>
      <c r="P333" s="157">
        <v>0</v>
      </c>
      <c r="Q333" s="396">
        <v>0</v>
      </c>
      <c r="R333" s="396">
        <v>0</v>
      </c>
      <c r="S333" s="397">
        <v>0</v>
      </c>
      <c r="T333" s="397">
        <v>0</v>
      </c>
      <c r="U333" s="397">
        <v>0</v>
      </c>
      <c r="V333" s="157">
        <v>0</v>
      </c>
      <c r="W333" s="397">
        <v>0</v>
      </c>
      <c r="X333" s="397">
        <v>0</v>
      </c>
      <c r="Y333" s="157">
        <v>1974.71</v>
      </c>
      <c r="Z333" s="157">
        <v>30226.05</v>
      </c>
      <c r="AA333" s="157">
        <v>301382.26</v>
      </c>
      <c r="AB333" s="157">
        <v>308475</v>
      </c>
      <c r="AC333" s="157">
        <v>3777926.58</v>
      </c>
      <c r="AD333" s="157">
        <v>413.9</v>
      </c>
      <c r="AE333" s="157">
        <v>3555514.9</v>
      </c>
      <c r="AF333" s="398">
        <f t="shared" si="72"/>
        <v>8590.2751872432964</v>
      </c>
      <c r="AG333" s="398">
        <f t="shared" si="73"/>
        <v>9127.6312635902395</v>
      </c>
      <c r="AH333" s="399">
        <f t="shared" si="74"/>
        <v>537.36</v>
      </c>
      <c r="AI333" s="157">
        <v>34.369999999999997</v>
      </c>
      <c r="AJ333" s="157">
        <v>286519.08</v>
      </c>
      <c r="AK333" s="398">
        <f t="shared" si="75"/>
        <v>8336.3130637183604</v>
      </c>
      <c r="AL333" s="398">
        <f t="shared" si="76"/>
        <v>8975.1236543497234</v>
      </c>
      <c r="AM333" s="399">
        <f t="shared" si="77"/>
        <v>638.80999999999995</v>
      </c>
      <c r="AN333" s="397">
        <v>1561.66</v>
      </c>
      <c r="AO333" s="397">
        <v>8499.8700000000008</v>
      </c>
      <c r="AP333" s="46"/>
      <c r="AQ333" s="402">
        <v>97956.170000000042</v>
      </c>
      <c r="AR333" s="274">
        <v>548907.31999999995</v>
      </c>
      <c r="AS333" s="413">
        <v>178257.59</v>
      </c>
      <c r="AX333" s="2"/>
      <c r="BA333" s="342"/>
      <c r="BB333" s="342"/>
      <c r="BC333" s="342"/>
      <c r="BD333" s="386"/>
      <c r="BE333" s="386"/>
      <c r="BF333" s="386"/>
      <c r="BG333" s="386"/>
      <c r="BH333" s="386"/>
      <c r="BI333" s="386"/>
      <c r="BJ333" s="386"/>
      <c r="BK333" s="386"/>
      <c r="BL333" s="386"/>
      <c r="BM333" s="386"/>
      <c r="BN333" s="387"/>
      <c r="BO333" s="265"/>
      <c r="BP333" s="386"/>
      <c r="BQ333" s="388"/>
      <c r="BR333" s="388"/>
      <c r="BS333" s="389"/>
      <c r="BT333" s="389"/>
      <c r="BU333" s="389"/>
      <c r="BV333" s="386"/>
      <c r="BW333" s="389"/>
      <c r="BX333" s="389"/>
      <c r="BY333" s="386"/>
      <c r="BZ333" s="386"/>
      <c r="CA333" s="386"/>
      <c r="CB333" s="386"/>
      <c r="CC333" s="386"/>
      <c r="CD333" s="386"/>
      <c r="CE333" s="386"/>
      <c r="CF333" s="390"/>
      <c r="CG333" s="390"/>
      <c r="CH333" s="391"/>
      <c r="CI333" s="386"/>
      <c r="CJ333" s="386"/>
      <c r="CK333" s="390"/>
      <c r="CL333" s="390"/>
      <c r="CM333" s="391"/>
      <c r="CN333" s="389"/>
      <c r="CO333" s="389"/>
      <c r="CP333" s="135"/>
      <c r="CQ333" s="135"/>
      <c r="CR333" s="135"/>
      <c r="CS333" s="135"/>
      <c r="CT333" s="135"/>
      <c r="CU333" s="135"/>
    </row>
    <row r="334" spans="1:99">
      <c r="A334" s="342" t="s">
        <v>690</v>
      </c>
      <c r="B334" s="342" t="s">
        <v>689</v>
      </c>
      <c r="C334" s="342" t="s">
        <v>1171</v>
      </c>
      <c r="D334" s="157">
        <v>0</v>
      </c>
      <c r="E334" s="157">
        <v>0</v>
      </c>
      <c r="F334" s="157">
        <v>22767.35</v>
      </c>
      <c r="G334" s="157">
        <v>1495420.99</v>
      </c>
      <c r="H334" s="157">
        <v>204659.64</v>
      </c>
      <c r="I334" s="157">
        <v>383692.86</v>
      </c>
      <c r="J334" s="157">
        <v>483831.65</v>
      </c>
      <c r="K334" s="157">
        <v>260358.54</v>
      </c>
      <c r="L334" s="157">
        <v>38483.08</v>
      </c>
      <c r="M334" s="157">
        <v>588690.56000000006</v>
      </c>
      <c r="N334" s="264">
        <v>5.8700000000000002E-2</v>
      </c>
      <c r="O334" s="265">
        <v>0.23680000000000001</v>
      </c>
      <c r="P334" s="157">
        <v>0</v>
      </c>
      <c r="Q334" s="396">
        <v>0</v>
      </c>
      <c r="R334" s="396">
        <v>0</v>
      </c>
      <c r="S334" s="397">
        <v>0</v>
      </c>
      <c r="T334" s="397">
        <v>0</v>
      </c>
      <c r="U334" s="397">
        <v>0</v>
      </c>
      <c r="V334" s="157">
        <v>0</v>
      </c>
      <c r="W334" s="397">
        <v>0</v>
      </c>
      <c r="X334" s="397">
        <v>0</v>
      </c>
      <c r="Y334" s="157">
        <v>1466.09</v>
      </c>
      <c r="Z334" s="157">
        <v>0</v>
      </c>
      <c r="AA334" s="157">
        <v>39788.86</v>
      </c>
      <c r="AB334" s="157">
        <v>0</v>
      </c>
      <c r="AC334" s="157">
        <v>605034.93999999994</v>
      </c>
      <c r="AD334" s="157">
        <v>67</v>
      </c>
      <c r="AE334" s="157">
        <v>575549.66</v>
      </c>
      <c r="AF334" s="398">
        <f t="shared" si="72"/>
        <v>8590.2934328358206</v>
      </c>
      <c r="AG334" s="398">
        <f t="shared" si="73"/>
        <v>9030.3722388059687</v>
      </c>
      <c r="AH334" s="399">
        <f t="shared" si="74"/>
        <v>440.08</v>
      </c>
      <c r="AI334" s="157">
        <v>0</v>
      </c>
      <c r="AJ334" s="157">
        <v>0</v>
      </c>
      <c r="AK334" s="398">
        <f t="shared" si="75"/>
        <v>0</v>
      </c>
      <c r="AL334" s="398">
        <f t="shared" si="76"/>
        <v>0</v>
      </c>
      <c r="AM334" s="399">
        <f t="shared" si="77"/>
        <v>0</v>
      </c>
      <c r="AN334" s="397">
        <v>119.89</v>
      </c>
      <c r="AO334" s="397">
        <v>0</v>
      </c>
      <c r="AP334" s="46"/>
      <c r="AQ334" s="402">
        <v>8808.6599999999889</v>
      </c>
      <c r="AR334" s="274">
        <v>137360.5</v>
      </c>
      <c r="AS334" s="413">
        <v>47856.740000000005</v>
      </c>
      <c r="AX334" s="2"/>
      <c r="BA334" s="342"/>
      <c r="BB334" s="342"/>
      <c r="BC334" s="342"/>
      <c r="BD334" s="386"/>
      <c r="BE334" s="386"/>
      <c r="BF334" s="386"/>
      <c r="BG334" s="386"/>
      <c r="BH334" s="386"/>
      <c r="BI334" s="386"/>
      <c r="BJ334" s="386"/>
      <c r="BK334" s="386"/>
      <c r="BL334" s="386"/>
      <c r="BM334" s="386"/>
      <c r="BN334" s="387"/>
      <c r="BO334" s="265"/>
      <c r="BP334" s="386"/>
      <c r="BQ334" s="388"/>
      <c r="BR334" s="388"/>
      <c r="BS334" s="389"/>
      <c r="BT334" s="389"/>
      <c r="BU334" s="389"/>
      <c r="BV334" s="386"/>
      <c r="BW334" s="389"/>
      <c r="BX334" s="389"/>
      <c r="BY334" s="386"/>
      <c r="BZ334" s="386"/>
      <c r="CA334" s="386"/>
      <c r="CB334" s="386"/>
      <c r="CC334" s="386"/>
      <c r="CD334" s="386"/>
      <c r="CE334" s="386"/>
      <c r="CF334" s="390"/>
      <c r="CG334" s="390"/>
      <c r="CH334" s="391"/>
      <c r="CI334" s="386"/>
      <c r="CJ334" s="386"/>
      <c r="CK334" s="390"/>
      <c r="CL334" s="390"/>
      <c r="CM334" s="391"/>
      <c r="CN334" s="389"/>
      <c r="CO334" s="389"/>
      <c r="CP334" s="135"/>
      <c r="CQ334" s="135"/>
      <c r="CR334" s="135"/>
      <c r="CS334" s="135"/>
      <c r="CT334" s="135"/>
      <c r="CU334" s="135"/>
    </row>
    <row r="335" spans="1:99">
      <c r="A335" s="135">
        <f>COUNTA(DISNAME)</f>
        <v>311</v>
      </c>
      <c r="B335" s="135"/>
      <c r="C335" s="135"/>
      <c r="D335" s="156"/>
      <c r="E335" s="156"/>
      <c r="F335" s="156"/>
      <c r="G335" s="156"/>
      <c r="H335" s="156"/>
      <c r="I335" s="156"/>
      <c r="J335" s="156"/>
      <c r="K335" s="156"/>
      <c r="L335" s="156"/>
      <c r="M335" s="156"/>
      <c r="N335" s="135"/>
      <c r="O335" s="135"/>
      <c r="P335" s="156"/>
      <c r="Q335" s="156"/>
      <c r="R335" s="156"/>
      <c r="S335" s="156"/>
      <c r="T335" s="156"/>
      <c r="U335" s="156"/>
      <c r="V335" s="156"/>
      <c r="W335" s="157"/>
      <c r="X335" s="157"/>
      <c r="Y335" s="156"/>
      <c r="Z335" s="156"/>
      <c r="AA335" s="156"/>
      <c r="AB335" s="156"/>
      <c r="AC335" s="156"/>
      <c r="AD335" s="156"/>
      <c r="AE335" s="134"/>
      <c r="AF335" s="134"/>
      <c r="AG335" s="134"/>
      <c r="AH335" s="156"/>
      <c r="AI335" s="156"/>
      <c r="AJ335" s="134"/>
      <c r="AK335" s="134"/>
      <c r="AL335" s="134"/>
      <c r="AM335" s="134"/>
      <c r="AN335" s="156"/>
      <c r="AO335" s="156"/>
      <c r="AP335" s="46"/>
      <c r="AQ335" s="46"/>
      <c r="AR335" s="46"/>
      <c r="AS335" s="46"/>
      <c r="BA335" s="135"/>
      <c r="BB335" s="135"/>
      <c r="BC335" s="135"/>
      <c r="BD335" s="156"/>
      <c r="BE335" s="156"/>
      <c r="BF335" s="156"/>
      <c r="BG335" s="156"/>
      <c r="BH335" s="156"/>
      <c r="BI335" s="156"/>
      <c r="BJ335" s="156"/>
      <c r="BK335" s="156"/>
      <c r="BL335" s="156"/>
      <c r="BM335" s="156"/>
      <c r="BN335" s="135"/>
      <c r="BO335" s="135"/>
      <c r="BP335" s="156"/>
      <c r="BQ335" s="156"/>
      <c r="BR335" s="156"/>
      <c r="BS335" s="156"/>
      <c r="BT335" s="156"/>
      <c r="BU335" s="156"/>
      <c r="BV335" s="156"/>
      <c r="BW335" s="386"/>
      <c r="BX335" s="386"/>
      <c r="BY335" s="156"/>
      <c r="BZ335" s="156"/>
      <c r="CA335" s="156"/>
      <c r="CB335" s="156"/>
      <c r="CC335" s="156"/>
      <c r="CD335" s="156"/>
      <c r="CE335" s="393"/>
      <c r="CF335" s="393"/>
      <c r="CG335" s="393"/>
      <c r="CH335" s="156"/>
      <c r="CI335" s="156"/>
      <c r="CJ335" s="393"/>
      <c r="CK335" s="393"/>
      <c r="CL335" s="393"/>
      <c r="CM335" s="393"/>
      <c r="CN335" s="156"/>
      <c r="CO335" s="156"/>
      <c r="CP335" s="135"/>
      <c r="CQ335" s="135"/>
      <c r="CR335" s="135"/>
      <c r="CS335" s="135"/>
      <c r="CT335" s="135"/>
      <c r="CU335" s="135"/>
    </row>
    <row r="336" spans="1:99">
      <c r="P336" s="395"/>
      <c r="Q336" s="395"/>
      <c r="R336" s="395"/>
      <c r="S336" s="395"/>
      <c r="T336" s="395"/>
      <c r="U336" s="395"/>
      <c r="V336" s="395"/>
      <c r="W336" s="395"/>
      <c r="X336" s="395"/>
      <c r="Y336" s="395"/>
      <c r="Z336" s="395"/>
      <c r="AA336" s="395"/>
      <c r="AB336" s="395"/>
      <c r="AC336" s="395"/>
      <c r="AD336" s="395"/>
      <c r="AE336" s="395"/>
      <c r="AF336" s="395"/>
      <c r="AG336" s="395"/>
      <c r="AH336" s="395"/>
      <c r="AI336" s="395"/>
      <c r="AJ336" s="395"/>
      <c r="AK336" s="395"/>
      <c r="AL336" s="395"/>
      <c r="AM336" s="395"/>
      <c r="AN336" s="395"/>
      <c r="AO336" s="395"/>
      <c r="AP336" s="395"/>
      <c r="AQ336" s="395"/>
      <c r="AR336" s="395"/>
      <c r="AS336" s="395"/>
      <c r="BA336" s="135"/>
      <c r="BB336" s="135"/>
      <c r="BC336" s="135"/>
      <c r="BD336" s="394"/>
      <c r="BE336" s="135"/>
      <c r="BF336" s="135"/>
      <c r="BG336" s="135"/>
      <c r="BH336" s="135"/>
      <c r="BI336" s="135"/>
      <c r="BJ336" s="135"/>
      <c r="BK336" s="135"/>
      <c r="BL336" s="135"/>
      <c r="BM336" s="135"/>
      <c r="BN336" s="135"/>
      <c r="BO336" s="135"/>
      <c r="BP336" s="135"/>
      <c r="BQ336" s="135"/>
      <c r="BR336" s="135"/>
      <c r="BS336" s="135"/>
      <c r="BT336" s="135"/>
      <c r="BU336" s="135"/>
      <c r="BV336" s="135"/>
      <c r="BW336" s="135"/>
      <c r="BX336" s="135"/>
      <c r="BY336" s="135"/>
      <c r="BZ336" s="386"/>
      <c r="CA336" s="135"/>
      <c r="CB336" s="135"/>
      <c r="CC336" s="135"/>
      <c r="CD336" s="135"/>
      <c r="CE336" s="135"/>
      <c r="CF336" s="135"/>
      <c r="CG336" s="135"/>
      <c r="CH336" s="135"/>
      <c r="CI336" s="135"/>
      <c r="CJ336" s="135"/>
      <c r="CK336" s="135"/>
      <c r="CL336" s="135"/>
      <c r="CM336" s="135"/>
      <c r="CN336" s="135"/>
      <c r="CO336" s="135"/>
      <c r="CT336" s="135"/>
      <c r="CU336" s="135"/>
    </row>
    <row r="337" spans="2:44">
      <c r="B337" s="70"/>
      <c r="C337" s="70"/>
      <c r="D337" s="70"/>
      <c r="E337" s="70"/>
      <c r="G337" s="70"/>
      <c r="H337" s="70"/>
      <c r="I337" s="70"/>
      <c r="J337" s="70"/>
      <c r="K337" s="70"/>
      <c r="L337" s="70"/>
      <c r="M337" s="70"/>
      <c r="N337" s="70"/>
      <c r="O337" s="70"/>
      <c r="P337" s="70"/>
      <c r="Q337" s="70"/>
      <c r="R337" s="70"/>
      <c r="S337" s="70"/>
      <c r="T337" s="70"/>
      <c r="U337" s="70"/>
      <c r="V337" s="70"/>
      <c r="W337" s="70"/>
      <c r="X337" s="70"/>
      <c r="Y337" s="70"/>
      <c r="Z337" s="507"/>
      <c r="AA337" s="70"/>
      <c r="AB337" s="70"/>
      <c r="AC337" s="70"/>
      <c r="AD337" s="70"/>
      <c r="AE337" s="70"/>
      <c r="AF337" s="70"/>
      <c r="AG337" s="70"/>
      <c r="AH337" s="70"/>
      <c r="AI337" s="70"/>
      <c r="AJ337" s="70"/>
      <c r="AK337" s="70"/>
      <c r="AL337" s="70"/>
      <c r="AM337" s="70"/>
      <c r="AN337" s="70"/>
      <c r="AO337" s="70"/>
      <c r="AP337" s="70"/>
      <c r="AR337" s="70"/>
    </row>
  </sheetData>
  <sortState xmlns:xlrd2="http://schemas.microsoft.com/office/spreadsheetml/2017/richdata2" ref="AW7:AZ334">
    <sortCondition ref="AZ7:AZ334"/>
  </sortState>
  <pageMargins left="0.75" right="0.75" top="1" bottom="1"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270C0"/>
  </sheetPr>
  <dimension ref="A1:B28"/>
  <sheetViews>
    <sheetView workbookViewId="0">
      <selection activeCell="C1" sqref="C1"/>
    </sheetView>
  </sheetViews>
  <sheetFormatPr defaultRowHeight="15"/>
  <cols>
    <col min="1" max="1" width="52" bestFit="1" customWidth="1"/>
    <col min="2" max="2" width="23.85546875" customWidth="1"/>
  </cols>
  <sheetData>
    <row r="1" spans="1:2">
      <c r="A1" s="437" t="s">
        <v>2830</v>
      </c>
      <c r="B1" s="437"/>
    </row>
    <row r="2" spans="1:2">
      <c r="A2" s="505" t="s">
        <v>1232</v>
      </c>
      <c r="B2" s="505"/>
    </row>
    <row r="3" spans="1:2">
      <c r="A3" s="6" t="s">
        <v>1737</v>
      </c>
    </row>
    <row r="5" spans="1:2">
      <c r="A5" s="506" t="s">
        <v>2831</v>
      </c>
      <c r="B5" s="506"/>
    </row>
    <row r="6" spans="1:2">
      <c r="A6" s="17"/>
      <c r="B6" s="17"/>
    </row>
    <row r="7" spans="1:2">
      <c r="A7" s="36" t="s">
        <v>2832</v>
      </c>
      <c r="B7" s="37"/>
    </row>
    <row r="8" spans="1:2">
      <c r="A8" s="38" t="s">
        <v>2833</v>
      </c>
      <c r="B8" s="39">
        <v>0</v>
      </c>
    </row>
    <row r="9" spans="1:2">
      <c r="A9" s="38" t="s">
        <v>2834</v>
      </c>
      <c r="B9" s="40">
        <f>1/12</f>
        <v>8.3333333333333329E-2</v>
      </c>
    </row>
    <row r="10" spans="1:2">
      <c r="A10" s="38" t="s">
        <v>2835</v>
      </c>
      <c r="B10" s="41">
        <f>ROUND(B8*B9,2)</f>
        <v>0</v>
      </c>
    </row>
    <row r="11" spans="1:2">
      <c r="A11" s="38" t="s">
        <v>2836</v>
      </c>
      <c r="B11" s="40">
        <v>8.4500000000000006E-2</v>
      </c>
    </row>
    <row r="12" spans="1:2">
      <c r="A12" s="38" t="s">
        <v>2837</v>
      </c>
      <c r="B12" s="41">
        <f>ROUND(B8*B11,2)</f>
        <v>0</v>
      </c>
    </row>
    <row r="13" spans="1:2">
      <c r="A13" s="38" t="s">
        <v>2838</v>
      </c>
      <c r="B13" s="39">
        <v>0</v>
      </c>
    </row>
    <row r="14" spans="1:2">
      <c r="A14" s="42" t="s">
        <v>2839</v>
      </c>
      <c r="B14" s="43">
        <f>IF(B8=0,0,B13/B8)</f>
        <v>0</v>
      </c>
    </row>
    <row r="16" spans="1:2">
      <c r="A16" s="36" t="s">
        <v>2840</v>
      </c>
      <c r="B16" s="37"/>
    </row>
    <row r="17" spans="1:2">
      <c r="A17" s="38" t="s">
        <v>2833</v>
      </c>
      <c r="B17" s="39">
        <v>0</v>
      </c>
    </row>
    <row r="18" spans="1:2">
      <c r="A18" s="38" t="s">
        <v>2841</v>
      </c>
      <c r="B18" s="44">
        <v>0.05</v>
      </c>
    </row>
    <row r="19" spans="1:2">
      <c r="A19" s="38" t="s">
        <v>2842</v>
      </c>
      <c r="B19" s="41">
        <f>ROUND(B17*B18,2)</f>
        <v>0</v>
      </c>
    </row>
    <row r="20" spans="1:2">
      <c r="A20" s="38" t="s">
        <v>2838</v>
      </c>
      <c r="B20" s="39">
        <v>0</v>
      </c>
    </row>
    <row r="21" spans="1:2">
      <c r="A21" s="42" t="s">
        <v>2839</v>
      </c>
      <c r="B21" s="43">
        <f>IF(B17=0,0,B20/B17)</f>
        <v>0</v>
      </c>
    </row>
    <row r="23" spans="1:2">
      <c r="A23" s="36" t="s">
        <v>2843</v>
      </c>
      <c r="B23" s="37"/>
    </row>
    <row r="24" spans="1:2">
      <c r="A24" s="38" t="s">
        <v>2842</v>
      </c>
      <c r="B24" s="39">
        <v>0</v>
      </c>
    </row>
    <row r="25" spans="1:2">
      <c r="A25" s="42" t="s">
        <v>2838</v>
      </c>
      <c r="B25" s="45">
        <v>0</v>
      </c>
    </row>
    <row r="28" spans="1:2">
      <c r="A28" t="s">
        <v>2844</v>
      </c>
      <c r="B28" s="14">
        <f>IF(B20&lt;&gt;0,B20,IF(B25&lt;&gt;0,B25,B13))</f>
        <v>0</v>
      </c>
    </row>
  </sheetData>
  <mergeCells count="3">
    <mergeCell ref="A1:B1"/>
    <mergeCell ref="A2:B2"/>
    <mergeCell ref="A5:B5"/>
  </mergeCells>
  <dataValidations count="3">
    <dataValidation type="decimal" errorStyle="warning" operator="notEqual" allowBlank="1" showInputMessage="1" showErrorMessage="1" errorTitle="Value/Policy Mismatch" error="The amount entered into this cell does not match the district's established fund balance policy." sqref="B25" xr:uid="{00000000-0002-0000-2300-000000000000}">
      <formula1>B24</formula1>
    </dataValidation>
    <dataValidation type="decimal" errorStyle="warning" operator="equal" allowBlank="1" showInputMessage="1" showErrorMessage="1" errorTitle="Value/Policy Mismatch" error="The amount recorded in this cell does not match the district's policy for minimum fund balance." sqref="B20" xr:uid="{00000000-0002-0000-2300-000001000000}">
      <formula1>B19</formula1>
    </dataValidation>
    <dataValidation type="decimal" errorStyle="warning" allowBlank="1" showInputMessage="1" showErrorMessage="1" errorTitle="Value Out Of Range" error="The amount entered in this cell is not within the district's established fund balance policy range." sqref="B13" xr:uid="{00000000-0002-0000-2300-000002000000}">
      <formula1>B10</formula1>
      <formula2>B12</formula2>
    </dataValidation>
  </dataValidations>
  <hyperlinks>
    <hyperlink ref="A3" location="'Fund Balance Summary'!A1" display="(Return to Summary Sheet)" xr:uid="{00000000-0004-0000-2300-000000000000}"/>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15"/>
  <sheetViews>
    <sheetView workbookViewId="0"/>
  </sheetViews>
  <sheetFormatPr defaultRowHeight="15"/>
  <cols>
    <col min="1" max="1" width="47.28515625" bestFit="1" customWidth="1"/>
  </cols>
  <sheetData>
    <row r="1" spans="1:6">
      <c r="A1" s="6" t="s">
        <v>2845</v>
      </c>
    </row>
    <row r="3" spans="1:6">
      <c r="A3" t="s">
        <v>2846</v>
      </c>
    </row>
    <row r="5" spans="1:6">
      <c r="A5" s="463" t="s">
        <v>2847</v>
      </c>
      <c r="B5" s="463"/>
      <c r="C5" s="463"/>
      <c r="D5" s="463"/>
      <c r="E5" s="463"/>
      <c r="F5" s="463"/>
    </row>
    <row r="6" spans="1:6">
      <c r="A6" t="s">
        <v>2848</v>
      </c>
    </row>
    <row r="7" spans="1:6">
      <c r="A7" t="s">
        <v>2849</v>
      </c>
      <c r="B7" t="s">
        <v>2850</v>
      </c>
    </row>
    <row r="8" spans="1:6">
      <c r="A8" t="s">
        <v>2851</v>
      </c>
      <c r="C8" t="s">
        <v>2850</v>
      </c>
    </row>
    <row r="10" spans="1:6">
      <c r="A10" s="463" t="s">
        <v>2852</v>
      </c>
      <c r="B10" s="463"/>
      <c r="C10" s="463"/>
      <c r="D10" s="463"/>
      <c r="E10" s="463"/>
      <c r="F10" s="463"/>
    </row>
    <row r="11" spans="1:6">
      <c r="A11" s="463" t="s">
        <v>2853</v>
      </c>
      <c r="B11" s="463"/>
      <c r="C11" s="463"/>
      <c r="D11" s="463"/>
      <c r="E11" s="463"/>
      <c r="F11" s="463"/>
    </row>
    <row r="13" spans="1:6">
      <c r="A13" t="s">
        <v>2854</v>
      </c>
      <c r="B13" t="s">
        <v>2855</v>
      </c>
    </row>
    <row r="14" spans="1:6">
      <c r="A14" t="s">
        <v>2856</v>
      </c>
      <c r="B14" t="s">
        <v>2850</v>
      </c>
      <c r="D14" t="s">
        <v>2857</v>
      </c>
    </row>
    <row r="15" spans="1:6">
      <c r="A15" t="s">
        <v>2858</v>
      </c>
      <c r="C15" t="s">
        <v>2859</v>
      </c>
    </row>
  </sheetData>
  <mergeCells count="3">
    <mergeCell ref="A5:F5"/>
    <mergeCell ref="A10:F10"/>
    <mergeCell ref="A11:F11"/>
  </mergeCells>
  <hyperlinks>
    <hyperlink ref="A1" location="'GL 821 Restricted'!A1" display="(Click here to go back to the GL 821 page.)" xr:uid="{00000000-0004-0000-24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337"/>
  <sheetViews>
    <sheetView workbookViewId="0">
      <pane ySplit="6" topLeftCell="A7" activePane="bottomLeft" state="frozen"/>
      <selection pane="bottomLeft" activeCell="A7" sqref="A7"/>
    </sheetView>
  </sheetViews>
  <sheetFormatPr defaultColWidth="9.140625" defaultRowHeight="15"/>
  <cols>
    <col min="1" max="1" width="8.42578125" customWidth="1"/>
    <col min="2" max="2" width="13.42578125" customWidth="1"/>
    <col min="3" max="3" width="25.5703125" bestFit="1" customWidth="1"/>
    <col min="4" max="4" width="9.7109375" bestFit="1" customWidth="1"/>
    <col min="6" max="6" width="11.7109375" bestFit="1" customWidth="1"/>
    <col min="7" max="7" width="12" bestFit="1" customWidth="1"/>
    <col min="8" max="8" width="2.28515625" customWidth="1"/>
    <col min="13" max="13" width="44" bestFit="1" customWidth="1"/>
  </cols>
  <sheetData>
    <row r="1" spans="1:15" ht="15.75" thickBot="1">
      <c r="A1" s="184" t="s">
        <v>1172</v>
      </c>
      <c r="B1" s="267" t="s">
        <v>1173</v>
      </c>
      <c r="C1" s="268"/>
      <c r="D1" s="269"/>
      <c r="E1" s="270"/>
      <c r="F1" s="270"/>
      <c r="H1" s="271"/>
      <c r="L1" s="210">
        <v>1</v>
      </c>
      <c r="M1" s="210">
        <v>2</v>
      </c>
      <c r="N1" s="210">
        <v>13</v>
      </c>
      <c r="O1" s="210">
        <v>14</v>
      </c>
    </row>
    <row r="2" spans="1:15" ht="30">
      <c r="A2" s="181" t="s">
        <v>1174</v>
      </c>
      <c r="B2" s="84" t="s">
        <v>1175</v>
      </c>
      <c r="C2" s="85" t="s">
        <v>1176</v>
      </c>
      <c r="D2" s="86" t="s">
        <v>1177</v>
      </c>
      <c r="E2" s="86" t="s">
        <v>1178</v>
      </c>
      <c r="F2" s="87" t="s">
        <v>1179</v>
      </c>
      <c r="H2" s="271"/>
      <c r="L2" s="208"/>
      <c r="M2" s="208"/>
      <c r="N2" s="208"/>
      <c r="O2" s="208"/>
    </row>
    <row r="3" spans="1:15">
      <c r="B3" s="125"/>
      <c r="C3" s="126"/>
      <c r="D3" s="69" t="s">
        <v>1180</v>
      </c>
      <c r="E3" s="69" t="s">
        <v>1181</v>
      </c>
      <c r="F3" s="69" t="s">
        <v>1182</v>
      </c>
      <c r="H3" s="271"/>
      <c r="L3" s="135"/>
      <c r="M3" s="135"/>
      <c r="N3" s="154" t="s">
        <v>753</v>
      </c>
      <c r="O3" s="154" t="s">
        <v>754</v>
      </c>
    </row>
    <row r="4" spans="1:15" ht="38.25">
      <c r="B4" s="90" t="s">
        <v>1183</v>
      </c>
      <c r="C4" s="91"/>
      <c r="D4" s="69" t="s">
        <v>709</v>
      </c>
      <c r="E4" s="69" t="s">
        <v>1184</v>
      </c>
      <c r="F4" s="69" t="s">
        <v>1185</v>
      </c>
      <c r="H4" s="271"/>
      <c r="L4" s="135"/>
      <c r="M4" s="135"/>
      <c r="N4" s="245" t="s">
        <v>777</v>
      </c>
      <c r="O4" s="245" t="s">
        <v>778</v>
      </c>
    </row>
    <row r="5" spans="1:15">
      <c r="B5" s="88" t="s">
        <v>25</v>
      </c>
      <c r="C5" t="s">
        <v>1186</v>
      </c>
      <c r="D5" s="69" t="s">
        <v>1187</v>
      </c>
      <c r="E5" s="69" t="s">
        <v>1187</v>
      </c>
      <c r="F5" s="69" t="s">
        <v>1187</v>
      </c>
      <c r="H5" s="271"/>
      <c r="L5" s="135"/>
      <c r="M5" s="135"/>
      <c r="N5" s="245" t="s">
        <v>806</v>
      </c>
      <c r="O5" s="245" t="s">
        <v>806</v>
      </c>
    </row>
    <row r="6" spans="1:15">
      <c r="B6" s="89" t="s">
        <v>1188</v>
      </c>
      <c r="C6" t="s">
        <v>1189</v>
      </c>
      <c r="D6" s="91"/>
      <c r="E6" s="91"/>
      <c r="F6" s="91"/>
      <c r="H6" s="271"/>
      <c r="L6" s="135" t="s">
        <v>823</v>
      </c>
      <c r="M6" s="135" t="s">
        <v>824</v>
      </c>
      <c r="N6" s="247">
        <v>4.7100000000000003E-2</v>
      </c>
      <c r="O6" s="247">
        <v>0.16739999999999999</v>
      </c>
    </row>
    <row r="7" spans="1:15">
      <c r="B7" s="59" t="s">
        <v>31</v>
      </c>
      <c r="C7" t="s">
        <v>32</v>
      </c>
      <c r="D7" s="12">
        <v>3.1199999999999999E-2</v>
      </c>
      <c r="E7" s="12">
        <v>0.1799</v>
      </c>
      <c r="F7" s="12">
        <v>0.1976</v>
      </c>
      <c r="H7" s="271"/>
      <c r="I7">
        <f>+L7-B7</f>
        <v>0</v>
      </c>
      <c r="K7" s="342" t="s">
        <v>32</v>
      </c>
      <c r="L7" s="342" t="s">
        <v>31</v>
      </c>
      <c r="M7" s="342" t="str">
        <f t="shared" ref="M7:M33" si="0">CONCATENATE(L7," ",K7," SCHOOL DISTRICT")</f>
        <v>14005 ABERDEEN SCHOOL DISTRICT</v>
      </c>
      <c r="N7" s="264">
        <v>3.1199999999999999E-2</v>
      </c>
      <c r="O7" s="265">
        <v>0.1799</v>
      </c>
    </row>
    <row r="8" spans="1:15">
      <c r="B8" s="59" t="s">
        <v>35</v>
      </c>
      <c r="C8" t="s">
        <v>36</v>
      </c>
      <c r="D8" s="12">
        <v>4.48E-2</v>
      </c>
      <c r="E8" s="12">
        <v>0.19789999999999999</v>
      </c>
      <c r="F8" s="12">
        <v>0.19989999999999999</v>
      </c>
      <c r="H8" s="271"/>
      <c r="I8">
        <f t="shared" ref="I8:I71" si="1">+L8-B8</f>
        <v>0</v>
      </c>
      <c r="K8" s="342" t="s">
        <v>36</v>
      </c>
      <c r="L8" s="342" t="s">
        <v>35</v>
      </c>
      <c r="M8" s="342" t="str">
        <f t="shared" si="0"/>
        <v>21226 ADNA SCHOOL DISTRICT</v>
      </c>
      <c r="N8" s="264">
        <v>4.48E-2</v>
      </c>
      <c r="O8" s="265">
        <v>0.19789999999999999</v>
      </c>
    </row>
    <row r="9" spans="1:15">
      <c r="B9" s="59" t="s">
        <v>37</v>
      </c>
      <c r="C9" t="s">
        <v>38</v>
      </c>
      <c r="D9" s="12">
        <v>0.04</v>
      </c>
      <c r="E9" s="12">
        <v>0.39279999999999998</v>
      </c>
      <c r="F9" s="12">
        <v>0.50800000000000001</v>
      </c>
      <c r="H9" s="271"/>
      <c r="I9">
        <f t="shared" si="1"/>
        <v>0</v>
      </c>
      <c r="K9" s="342" t="s">
        <v>38</v>
      </c>
      <c r="L9" s="342" t="s">
        <v>37</v>
      </c>
      <c r="M9" s="342" t="str">
        <f t="shared" si="0"/>
        <v>22017 ALMIRA SCHOOL DISTRICT</v>
      </c>
      <c r="N9" s="264">
        <v>0.04</v>
      </c>
      <c r="O9" s="265">
        <v>0.39279999999999998</v>
      </c>
    </row>
    <row r="10" spans="1:15">
      <c r="B10" s="59" t="s">
        <v>41</v>
      </c>
      <c r="C10" t="s">
        <v>42</v>
      </c>
      <c r="D10" s="12">
        <v>4.9399999999999999E-2</v>
      </c>
      <c r="E10" s="12">
        <v>0.16009999999999999</v>
      </c>
      <c r="F10" s="12">
        <v>0.17319999999999999</v>
      </c>
      <c r="H10" s="271"/>
      <c r="I10">
        <f t="shared" si="1"/>
        <v>0</v>
      </c>
      <c r="K10" s="342" t="s">
        <v>42</v>
      </c>
      <c r="L10" s="342" t="s">
        <v>41</v>
      </c>
      <c r="M10" s="342" t="str">
        <f t="shared" si="0"/>
        <v>29103 ANACORTES SCHOOL DISTRICT</v>
      </c>
      <c r="N10" s="264">
        <v>4.9399999999999999E-2</v>
      </c>
      <c r="O10" s="265">
        <v>0.16009999999999999</v>
      </c>
    </row>
    <row r="11" spans="1:15">
      <c r="B11" s="59" t="s">
        <v>43</v>
      </c>
      <c r="C11" t="s">
        <v>44</v>
      </c>
      <c r="D11" s="12">
        <v>3.2199999999999999E-2</v>
      </c>
      <c r="E11" s="12">
        <v>0.11890000000000001</v>
      </c>
      <c r="F11" s="12">
        <v>0.113</v>
      </c>
      <c r="H11" s="271"/>
      <c r="I11">
        <f t="shared" si="1"/>
        <v>0</v>
      </c>
      <c r="K11" s="342" t="s">
        <v>44</v>
      </c>
      <c r="L11" s="342" t="s">
        <v>43</v>
      </c>
      <c r="M11" s="342" t="str">
        <f t="shared" si="0"/>
        <v>31016 ARLINGTON SCHOOL DISTRICT</v>
      </c>
      <c r="N11" s="264">
        <v>3.2199999999999999E-2</v>
      </c>
      <c r="O11" s="265">
        <v>0.11890000000000001</v>
      </c>
    </row>
    <row r="12" spans="1:15">
      <c r="B12" s="59" t="s">
        <v>45</v>
      </c>
      <c r="C12" t="s">
        <v>830</v>
      </c>
      <c r="D12" s="12">
        <v>3.9100000000000003E-2</v>
      </c>
      <c r="E12" s="12">
        <v>0.1797</v>
      </c>
      <c r="F12" s="12">
        <v>0.1075</v>
      </c>
      <c r="H12" s="271"/>
      <c r="I12">
        <f t="shared" si="1"/>
        <v>0</v>
      </c>
      <c r="K12" s="342" t="s">
        <v>830</v>
      </c>
      <c r="L12" s="342" t="s">
        <v>45</v>
      </c>
      <c r="M12" s="342" t="str">
        <f t="shared" si="0"/>
        <v>02420 ASOTIN-ANATONE SCHOOL DISTRICT</v>
      </c>
      <c r="N12" s="264">
        <v>3.9100000000000003E-2</v>
      </c>
      <c r="O12" s="265">
        <v>0.1797</v>
      </c>
    </row>
    <row r="13" spans="1:15">
      <c r="B13" s="59" t="s">
        <v>47</v>
      </c>
      <c r="C13" t="s">
        <v>48</v>
      </c>
      <c r="D13" s="12">
        <v>3.6600000000000001E-2</v>
      </c>
      <c r="E13" s="12">
        <v>0.1336</v>
      </c>
      <c r="F13" s="12">
        <v>0.13769999999999999</v>
      </c>
      <c r="H13" s="271"/>
      <c r="I13">
        <f t="shared" si="1"/>
        <v>0</v>
      </c>
      <c r="K13" s="342" t="s">
        <v>48</v>
      </c>
      <c r="L13" s="342" t="s">
        <v>47</v>
      </c>
      <c r="M13" s="342" t="str">
        <f t="shared" si="0"/>
        <v>17408 AUBURN SCHOOL DISTRICT</v>
      </c>
      <c r="N13" s="264">
        <v>3.6600000000000001E-2</v>
      </c>
      <c r="O13" s="265">
        <v>0.1336</v>
      </c>
    </row>
    <row r="14" spans="1:15">
      <c r="B14" s="59" t="s">
        <v>49</v>
      </c>
      <c r="C14" t="s">
        <v>1190</v>
      </c>
      <c r="D14" s="12">
        <v>2.5399999999999999E-2</v>
      </c>
      <c r="E14" s="12">
        <v>0.17849999999999999</v>
      </c>
      <c r="F14" s="12">
        <v>0.17449999999999999</v>
      </c>
      <c r="H14" s="271"/>
      <c r="I14">
        <f t="shared" si="1"/>
        <v>0</v>
      </c>
      <c r="K14" s="342" t="s">
        <v>50</v>
      </c>
      <c r="L14" s="342" t="s">
        <v>49</v>
      </c>
      <c r="M14" s="342" t="str">
        <f t="shared" si="0"/>
        <v>18303 BAINBRIDGE SCHOOL DISTRICT</v>
      </c>
      <c r="N14" s="264">
        <v>2.5399999999999999E-2</v>
      </c>
      <c r="O14" s="265">
        <v>0.17849999999999999</v>
      </c>
    </row>
    <row r="15" spans="1:15">
      <c r="B15" s="59" t="s">
        <v>51</v>
      </c>
      <c r="C15" t="s">
        <v>52</v>
      </c>
      <c r="D15" s="12">
        <v>3.5299999999999998E-2</v>
      </c>
      <c r="E15" s="12">
        <v>0.1555</v>
      </c>
      <c r="F15" s="12">
        <v>0.16</v>
      </c>
      <c r="H15" s="271"/>
      <c r="I15">
        <f t="shared" si="1"/>
        <v>0</v>
      </c>
      <c r="K15" s="342" t="s">
        <v>52</v>
      </c>
      <c r="L15" s="342" t="s">
        <v>51</v>
      </c>
      <c r="M15" s="342" t="str">
        <f t="shared" si="0"/>
        <v>06119 BATTLE GROUND SCHOOL DISTRICT</v>
      </c>
      <c r="N15" s="264">
        <v>3.5299999999999998E-2</v>
      </c>
      <c r="O15" s="265">
        <v>0.1555</v>
      </c>
    </row>
    <row r="16" spans="1:15">
      <c r="B16" s="59" t="s">
        <v>53</v>
      </c>
      <c r="C16" t="s">
        <v>54</v>
      </c>
      <c r="D16" s="12">
        <v>4.0399999999999998E-2</v>
      </c>
      <c r="E16" s="12">
        <v>0.13250000000000001</v>
      </c>
      <c r="F16" s="12">
        <v>0.12570000000000001</v>
      </c>
      <c r="H16" s="271"/>
      <c r="I16">
        <f t="shared" si="1"/>
        <v>0</v>
      </c>
      <c r="K16" s="342" t="s">
        <v>54</v>
      </c>
      <c r="L16" s="342" t="s">
        <v>53</v>
      </c>
      <c r="M16" s="342" t="str">
        <f t="shared" si="0"/>
        <v>17405 BELLEVUE SCHOOL DISTRICT</v>
      </c>
      <c r="N16" s="264">
        <v>4.0399999999999998E-2</v>
      </c>
      <c r="O16" s="265">
        <v>0.13250000000000001</v>
      </c>
    </row>
    <row r="17" spans="2:15">
      <c r="B17" s="59" t="s">
        <v>55</v>
      </c>
      <c r="C17" t="s">
        <v>56</v>
      </c>
      <c r="D17" s="12">
        <v>3.27E-2</v>
      </c>
      <c r="E17" s="12">
        <v>0.13039999999999999</v>
      </c>
      <c r="F17" s="12">
        <v>0.1353</v>
      </c>
      <c r="H17" s="271"/>
      <c r="I17">
        <f t="shared" si="1"/>
        <v>0</v>
      </c>
      <c r="K17" s="342" t="s">
        <v>56</v>
      </c>
      <c r="L17" s="342" t="s">
        <v>55</v>
      </c>
      <c r="M17" s="342" t="str">
        <f t="shared" si="0"/>
        <v>37501 BELLINGHAM SCHOOL DISTRICT</v>
      </c>
      <c r="N17" s="264">
        <v>3.27E-2</v>
      </c>
      <c r="O17" s="265">
        <v>0.13039999999999999</v>
      </c>
    </row>
    <row r="18" spans="2:15">
      <c r="B18" s="59" t="s">
        <v>57</v>
      </c>
      <c r="C18" t="s">
        <v>58</v>
      </c>
      <c r="D18" s="12">
        <v>1.0699999999999999E-2</v>
      </c>
      <c r="E18" s="12">
        <v>0.37959999999999999</v>
      </c>
      <c r="F18" s="12">
        <v>0.33539999999999998</v>
      </c>
      <c r="H18" s="271"/>
      <c r="I18">
        <f t="shared" si="1"/>
        <v>0</v>
      </c>
      <c r="K18" s="342" t="s">
        <v>58</v>
      </c>
      <c r="L18" s="342" t="s">
        <v>57</v>
      </c>
      <c r="M18" s="342" t="str">
        <f t="shared" si="0"/>
        <v>01122 BENGE SCHOOL DISTRICT</v>
      </c>
      <c r="N18" s="264">
        <v>1.0699999999999999E-2</v>
      </c>
      <c r="O18" s="265">
        <v>0.37959999999999999</v>
      </c>
    </row>
    <row r="19" spans="2:15">
      <c r="B19" s="59" t="s">
        <v>59</v>
      </c>
      <c r="C19" t="s">
        <v>60</v>
      </c>
      <c r="D19" s="12">
        <v>5.11E-2</v>
      </c>
      <c r="E19" s="12">
        <v>0.14030000000000001</v>
      </c>
      <c r="F19" s="12">
        <v>0.14219999999999999</v>
      </c>
      <c r="H19" s="271"/>
      <c r="I19">
        <f t="shared" si="1"/>
        <v>0</v>
      </c>
      <c r="K19" s="342" t="s">
        <v>60</v>
      </c>
      <c r="L19" s="342" t="s">
        <v>59</v>
      </c>
      <c r="M19" s="342" t="str">
        <f t="shared" si="0"/>
        <v>27403 BETHEL SCHOOL DISTRICT</v>
      </c>
      <c r="N19" s="264">
        <v>5.11E-2</v>
      </c>
      <c r="O19" s="265">
        <v>0.14030000000000001</v>
      </c>
    </row>
    <row r="20" spans="2:15">
      <c r="B20" s="59" t="s">
        <v>61</v>
      </c>
      <c r="C20" t="s">
        <v>62</v>
      </c>
      <c r="D20" s="12">
        <v>2.01E-2</v>
      </c>
      <c r="E20" s="12">
        <v>0.27389999999999998</v>
      </c>
      <c r="F20" s="12">
        <v>0.28889999999999999</v>
      </c>
      <c r="H20" s="271"/>
      <c r="I20">
        <f t="shared" si="1"/>
        <v>0</v>
      </c>
      <c r="K20" s="342" t="s">
        <v>62</v>
      </c>
      <c r="L20" s="342" t="s">
        <v>61</v>
      </c>
      <c r="M20" s="342" t="str">
        <f t="shared" si="0"/>
        <v>20203 BICKLETON SCHOOL DISTRICT</v>
      </c>
      <c r="N20" s="264">
        <v>2.01E-2</v>
      </c>
      <c r="O20" s="265">
        <v>0.27389999999999998</v>
      </c>
    </row>
    <row r="21" spans="2:15">
      <c r="B21" s="59" t="s">
        <v>63</v>
      </c>
      <c r="C21" t="s">
        <v>64</v>
      </c>
      <c r="D21" s="12">
        <v>3.61E-2</v>
      </c>
      <c r="E21" s="12">
        <v>0.16550000000000001</v>
      </c>
      <c r="F21" s="12">
        <v>0.16370000000000001</v>
      </c>
      <c r="H21" s="271"/>
      <c r="I21">
        <f t="shared" si="1"/>
        <v>0</v>
      </c>
      <c r="K21" s="342" t="s">
        <v>64</v>
      </c>
      <c r="L21" s="342" t="s">
        <v>63</v>
      </c>
      <c r="M21" s="342" t="str">
        <f t="shared" si="0"/>
        <v>37503 BLAINE SCHOOL DISTRICT</v>
      </c>
      <c r="N21" s="264">
        <v>3.61E-2</v>
      </c>
      <c r="O21" s="265">
        <v>0.16550000000000001</v>
      </c>
    </row>
    <row r="22" spans="2:15">
      <c r="B22" s="59" t="s">
        <v>65</v>
      </c>
      <c r="C22" t="s">
        <v>66</v>
      </c>
      <c r="D22" s="12">
        <v>7.6499999999999999E-2</v>
      </c>
      <c r="E22" s="12">
        <v>0.26860000000000001</v>
      </c>
      <c r="F22" s="12">
        <v>0.30940000000000001</v>
      </c>
      <c r="H22" s="271"/>
      <c r="I22">
        <f t="shared" si="1"/>
        <v>0</v>
      </c>
      <c r="K22" s="342" t="s">
        <v>66</v>
      </c>
      <c r="L22" s="342" t="s">
        <v>65</v>
      </c>
      <c r="M22" s="342" t="str">
        <f t="shared" si="0"/>
        <v>21234 BOISTFORT SCHOOL DISTRICT</v>
      </c>
      <c r="N22" s="264">
        <v>7.6499999999999999E-2</v>
      </c>
      <c r="O22" s="265">
        <v>0.26860000000000001</v>
      </c>
    </row>
    <row r="23" spans="2:15">
      <c r="B23" s="59" t="s">
        <v>67</v>
      </c>
      <c r="C23" t="s">
        <v>68</v>
      </c>
      <c r="D23" s="12">
        <v>4.9000000000000002E-2</v>
      </c>
      <c r="E23" s="12">
        <v>0.1588</v>
      </c>
      <c r="F23" s="12">
        <v>0.13980000000000001</v>
      </c>
      <c r="H23" s="271"/>
      <c r="I23">
        <f t="shared" si="1"/>
        <v>0</v>
      </c>
      <c r="K23" s="342" t="s">
        <v>68</v>
      </c>
      <c r="L23" s="342" t="s">
        <v>67</v>
      </c>
      <c r="M23" s="342" t="str">
        <f t="shared" si="0"/>
        <v>18100 BREMERTON SCHOOL DISTRICT</v>
      </c>
      <c r="N23" s="264">
        <v>4.9000000000000002E-2</v>
      </c>
      <c r="O23" s="265">
        <v>0.1588</v>
      </c>
    </row>
    <row r="24" spans="2:15">
      <c r="B24" s="59" t="s">
        <v>69</v>
      </c>
      <c r="C24" t="s">
        <v>70</v>
      </c>
      <c r="D24" s="12">
        <v>6.2899999999999998E-2</v>
      </c>
      <c r="E24" s="12">
        <v>0.19320000000000001</v>
      </c>
      <c r="F24" s="12">
        <v>0.2044</v>
      </c>
      <c r="H24" s="271"/>
      <c r="I24">
        <f t="shared" si="1"/>
        <v>0</v>
      </c>
      <c r="K24" s="342" t="s">
        <v>70</v>
      </c>
      <c r="L24" s="342" t="s">
        <v>69</v>
      </c>
      <c r="M24" s="342" t="str">
        <f t="shared" si="0"/>
        <v>24111 BREWSTER SCHOOL DISTRICT</v>
      </c>
      <c r="N24" s="264">
        <v>6.2899999999999998E-2</v>
      </c>
      <c r="O24" s="265">
        <v>0.19320000000000001</v>
      </c>
    </row>
    <row r="25" spans="2:15">
      <c r="B25" s="59" t="s">
        <v>71</v>
      </c>
      <c r="C25" t="s">
        <v>72</v>
      </c>
      <c r="D25" s="12">
        <v>4.6199999999999998E-2</v>
      </c>
      <c r="E25" s="12">
        <v>0.20419999999999999</v>
      </c>
      <c r="F25" s="12">
        <v>0.22370000000000001</v>
      </c>
      <c r="H25" s="271"/>
      <c r="I25">
        <f t="shared" si="1"/>
        <v>0</v>
      </c>
      <c r="K25" s="342" t="s">
        <v>72</v>
      </c>
      <c r="L25" s="342" t="s">
        <v>71</v>
      </c>
      <c r="M25" s="342" t="str">
        <f t="shared" si="0"/>
        <v>09075 BRIDGEPORT SCHOOL DISTRICT</v>
      </c>
      <c r="N25" s="264">
        <v>4.6199999999999998E-2</v>
      </c>
      <c r="O25" s="265">
        <v>0.20419999999999999</v>
      </c>
    </row>
    <row r="26" spans="2:15">
      <c r="B26" s="59" t="s">
        <v>73</v>
      </c>
      <c r="C26" t="s">
        <v>74</v>
      </c>
      <c r="D26" s="12">
        <v>0.1048</v>
      </c>
      <c r="E26" s="12">
        <v>0.4052</v>
      </c>
      <c r="F26" s="12">
        <v>0.26300000000000001</v>
      </c>
      <c r="H26" s="271"/>
      <c r="I26">
        <f t="shared" si="1"/>
        <v>0</v>
      </c>
      <c r="K26" s="342" t="s">
        <v>74</v>
      </c>
      <c r="L26" s="342" t="s">
        <v>73</v>
      </c>
      <c r="M26" s="342" t="str">
        <f t="shared" si="0"/>
        <v>16046 BRINNON SCHOOL DISTRICT</v>
      </c>
      <c r="N26" s="264">
        <v>0.1048</v>
      </c>
      <c r="O26" s="265">
        <v>0.4052</v>
      </c>
    </row>
    <row r="27" spans="2:15">
      <c r="B27" s="59" t="s">
        <v>75</v>
      </c>
      <c r="C27" t="s">
        <v>1191</v>
      </c>
      <c r="D27" s="12">
        <v>3.6799999999999999E-2</v>
      </c>
      <c r="E27" s="12">
        <v>0.1361</v>
      </c>
      <c r="F27" s="12">
        <v>0.1394</v>
      </c>
      <c r="H27" s="271"/>
      <c r="I27">
        <f t="shared" si="1"/>
        <v>0</v>
      </c>
      <c r="K27" s="342" t="s">
        <v>76</v>
      </c>
      <c r="L27" s="342" t="s">
        <v>75</v>
      </c>
      <c r="M27" s="342" t="str">
        <f t="shared" si="0"/>
        <v>29100 BURLINGTON EDISON SCHOOL DISTRICT</v>
      </c>
      <c r="N27" s="264">
        <v>3.6799999999999999E-2</v>
      </c>
      <c r="O27" s="265">
        <v>0.1361</v>
      </c>
    </row>
    <row r="28" spans="2:15">
      <c r="B28" s="59" t="s">
        <v>77</v>
      </c>
      <c r="C28" t="s">
        <v>78</v>
      </c>
      <c r="D28" s="12">
        <v>3.4500000000000003E-2</v>
      </c>
      <c r="E28" s="12">
        <v>0.12970000000000001</v>
      </c>
      <c r="F28" s="12">
        <v>0.12720000000000001</v>
      </c>
      <c r="H28" s="271"/>
      <c r="I28">
        <f t="shared" si="1"/>
        <v>0</v>
      </c>
      <c r="K28" s="342" t="s">
        <v>78</v>
      </c>
      <c r="L28" s="342" t="s">
        <v>77</v>
      </c>
      <c r="M28" s="342" t="str">
        <f t="shared" si="0"/>
        <v>06117 CAMAS SCHOOL DISTRICT</v>
      </c>
      <c r="N28" s="264">
        <v>3.4500000000000003E-2</v>
      </c>
      <c r="O28" s="265">
        <v>0.12970000000000001</v>
      </c>
    </row>
    <row r="29" spans="2:15">
      <c r="B29" s="59" t="s">
        <v>79</v>
      </c>
      <c r="C29" t="s">
        <v>80</v>
      </c>
      <c r="D29" s="12">
        <v>2.3599999999999999E-2</v>
      </c>
      <c r="E29" s="12">
        <v>0.24579999999999999</v>
      </c>
      <c r="F29" s="12">
        <v>0.27779999999999999</v>
      </c>
      <c r="H29" s="271"/>
      <c r="I29">
        <f t="shared" si="1"/>
        <v>0</v>
      </c>
      <c r="K29" s="342" t="s">
        <v>80</v>
      </c>
      <c r="L29" s="342" t="s">
        <v>79</v>
      </c>
      <c r="M29" s="342" t="str">
        <f t="shared" si="0"/>
        <v>05401 CAPE FLATTERY SCHOOL DISTRICT</v>
      </c>
      <c r="N29" s="264">
        <v>2.3599999999999999E-2</v>
      </c>
      <c r="O29" s="265">
        <v>0.24579999999999999</v>
      </c>
    </row>
    <row r="30" spans="2:15">
      <c r="B30" s="59" t="s">
        <v>81</v>
      </c>
      <c r="C30" t="s">
        <v>82</v>
      </c>
      <c r="D30" s="12">
        <v>7.1800000000000003E-2</v>
      </c>
      <c r="E30" s="12">
        <v>0.30930000000000002</v>
      </c>
      <c r="F30" s="12">
        <v>0.32069999999999999</v>
      </c>
      <c r="H30" s="271"/>
      <c r="I30">
        <f t="shared" si="1"/>
        <v>0</v>
      </c>
      <c r="K30" s="342" t="s">
        <v>82</v>
      </c>
      <c r="L30" s="342" t="s">
        <v>81</v>
      </c>
      <c r="M30" s="342" t="str">
        <f t="shared" si="0"/>
        <v>27019 CARBONADO SCHOOL DISTRICT</v>
      </c>
      <c r="N30" s="264">
        <v>7.1800000000000003E-2</v>
      </c>
      <c r="O30" s="265">
        <v>0.30930000000000002</v>
      </c>
    </row>
    <row r="31" spans="2:15">
      <c r="B31" s="59" t="s">
        <v>83</v>
      </c>
      <c r="C31" t="s">
        <v>84</v>
      </c>
      <c r="D31" s="12">
        <v>2.35E-2</v>
      </c>
      <c r="E31" s="12">
        <v>0.15620000000000001</v>
      </c>
      <c r="F31" s="12">
        <v>0.15820000000000001</v>
      </c>
      <c r="H31" s="271"/>
      <c r="I31">
        <f t="shared" si="1"/>
        <v>0</v>
      </c>
      <c r="K31" s="342" t="s">
        <v>84</v>
      </c>
      <c r="L31" s="342" t="s">
        <v>83</v>
      </c>
      <c r="M31" s="342" t="str">
        <f t="shared" si="0"/>
        <v>04228 CASCADE SCHOOL DISTRICT</v>
      </c>
      <c r="N31" s="264">
        <v>2.35E-2</v>
      </c>
      <c r="O31" s="265">
        <v>0.15620000000000001</v>
      </c>
    </row>
    <row r="32" spans="2:15">
      <c r="B32" s="59" t="s">
        <v>85</v>
      </c>
      <c r="C32" t="s">
        <v>86</v>
      </c>
      <c r="D32" s="12">
        <v>3.0700000000000002E-2</v>
      </c>
      <c r="E32" s="12">
        <v>0.1754</v>
      </c>
      <c r="F32" s="12">
        <v>0.15359999999999999</v>
      </c>
      <c r="H32" s="271"/>
      <c r="I32">
        <f t="shared" si="1"/>
        <v>0</v>
      </c>
      <c r="K32" s="342" t="s">
        <v>86</v>
      </c>
      <c r="L32" s="342" t="s">
        <v>85</v>
      </c>
      <c r="M32" s="342" t="str">
        <f t="shared" si="0"/>
        <v>04222 CASHMERE SCHOOL DISTRICT</v>
      </c>
      <c r="N32" s="264">
        <v>3.0700000000000002E-2</v>
      </c>
      <c r="O32" s="265">
        <v>0.1754</v>
      </c>
    </row>
    <row r="33" spans="2:15">
      <c r="B33" s="59" t="s">
        <v>87</v>
      </c>
      <c r="C33" t="s">
        <v>88</v>
      </c>
      <c r="D33" s="12">
        <v>3.44E-2</v>
      </c>
      <c r="E33" s="12">
        <v>0.20519999999999999</v>
      </c>
      <c r="F33" s="12">
        <v>0.21759999999999999</v>
      </c>
      <c r="H33" s="271"/>
      <c r="I33">
        <f t="shared" si="1"/>
        <v>0</v>
      </c>
      <c r="K33" s="342" t="s">
        <v>88</v>
      </c>
      <c r="L33" s="342" t="s">
        <v>87</v>
      </c>
      <c r="M33" s="342" t="str">
        <f t="shared" si="0"/>
        <v>08401 CASTLE ROCK SCHOOL DISTRICT</v>
      </c>
      <c r="N33" s="264">
        <v>3.44E-2</v>
      </c>
      <c r="O33" s="265">
        <v>0.20519999999999999</v>
      </c>
    </row>
    <row r="34" spans="2:15">
      <c r="B34" s="59" t="s">
        <v>89</v>
      </c>
      <c r="C34" t="s">
        <v>1192</v>
      </c>
      <c r="D34" s="12">
        <v>0.08</v>
      </c>
      <c r="E34" s="12">
        <v>0.1</v>
      </c>
      <c r="F34" s="12">
        <v>0.1</v>
      </c>
      <c r="H34" s="271"/>
      <c r="I34">
        <f t="shared" si="1"/>
        <v>0</v>
      </c>
      <c r="K34" s="342" t="s">
        <v>90</v>
      </c>
      <c r="L34" s="343" t="s">
        <v>89</v>
      </c>
      <c r="M34" s="343" t="str">
        <f>CONCATENATE(L34," ",K34," PUBLIC SCHOOLS CHARTER")</f>
        <v>18901 CATALYST PUBLIC SCHOOLS CHARTER</v>
      </c>
      <c r="N34" s="264">
        <v>0.08</v>
      </c>
      <c r="O34" s="265">
        <v>0.1</v>
      </c>
    </row>
    <row r="35" spans="2:15">
      <c r="B35" s="59" t="s">
        <v>91</v>
      </c>
      <c r="C35" t="s">
        <v>92</v>
      </c>
      <c r="D35" s="12">
        <v>0.1479</v>
      </c>
      <c r="E35" s="12">
        <v>0.31769999999999998</v>
      </c>
      <c r="F35" s="12">
        <v>0.29459999999999997</v>
      </c>
      <c r="H35" s="271"/>
      <c r="I35">
        <f t="shared" si="1"/>
        <v>0</v>
      </c>
      <c r="K35" s="342" t="s">
        <v>92</v>
      </c>
      <c r="L35" s="342" t="s">
        <v>91</v>
      </c>
      <c r="M35" s="342" t="str">
        <f t="shared" ref="M35:M41" si="2">CONCATENATE(L35," ",K35," SCHOOL DISTRICT")</f>
        <v>20215 CENTERVILLE SCHOOL DISTRICT</v>
      </c>
      <c r="N35" s="264">
        <v>0.1479</v>
      </c>
      <c r="O35" s="265">
        <v>0.31769999999999998</v>
      </c>
    </row>
    <row r="36" spans="2:15">
      <c r="B36" s="59" t="s">
        <v>93</v>
      </c>
      <c r="C36" t="s">
        <v>94</v>
      </c>
      <c r="D36" s="12">
        <v>4.07E-2</v>
      </c>
      <c r="E36" s="12">
        <v>0.13519999999999999</v>
      </c>
      <c r="F36" s="12">
        <v>0.12820000000000001</v>
      </c>
      <c r="H36" s="271"/>
      <c r="I36">
        <f t="shared" si="1"/>
        <v>0</v>
      </c>
      <c r="K36" s="342" t="s">
        <v>94</v>
      </c>
      <c r="L36" s="342" t="s">
        <v>93</v>
      </c>
      <c r="M36" s="342" t="str">
        <f t="shared" si="2"/>
        <v>18401 CENTRAL KITSAP SCHOOL DISTRICT</v>
      </c>
      <c r="N36" s="264">
        <v>4.07E-2</v>
      </c>
      <c r="O36" s="265">
        <v>0.13519999999999999</v>
      </c>
    </row>
    <row r="37" spans="2:15">
      <c r="B37" s="59" t="s">
        <v>95</v>
      </c>
      <c r="C37" t="s">
        <v>96</v>
      </c>
      <c r="D37" s="12">
        <v>3.2300000000000002E-2</v>
      </c>
      <c r="E37" s="12">
        <v>0.1288</v>
      </c>
      <c r="F37" s="12">
        <v>0.12470000000000001</v>
      </c>
      <c r="H37" s="271"/>
      <c r="I37">
        <f t="shared" si="1"/>
        <v>0</v>
      </c>
      <c r="K37" s="342" t="s">
        <v>96</v>
      </c>
      <c r="L37" s="342" t="s">
        <v>95</v>
      </c>
      <c r="M37" s="342" t="str">
        <f t="shared" si="2"/>
        <v>32356 CENTRAL VALLEY SCHOOL DISTRICT</v>
      </c>
      <c r="N37" s="264">
        <v>3.2300000000000002E-2</v>
      </c>
      <c r="O37" s="265">
        <v>0.1288</v>
      </c>
    </row>
    <row r="38" spans="2:15">
      <c r="B38" s="59" t="s">
        <v>97</v>
      </c>
      <c r="C38" t="s">
        <v>98</v>
      </c>
      <c r="D38" s="12">
        <v>2.53E-2</v>
      </c>
      <c r="E38" s="12">
        <v>0.14180000000000001</v>
      </c>
      <c r="F38" s="12">
        <v>0.1394</v>
      </c>
      <c r="H38" s="271"/>
      <c r="I38">
        <f t="shared" si="1"/>
        <v>0</v>
      </c>
      <c r="K38" s="342" t="s">
        <v>98</v>
      </c>
      <c r="L38" s="342" t="s">
        <v>97</v>
      </c>
      <c r="M38" s="342" t="str">
        <f t="shared" si="2"/>
        <v>21401 CENTRALIA SCHOOL DISTRICT</v>
      </c>
      <c r="N38" s="264">
        <v>2.53E-2</v>
      </c>
      <c r="O38" s="265">
        <v>0.14180000000000001</v>
      </c>
    </row>
    <row r="39" spans="2:15">
      <c r="B39" s="59" t="s">
        <v>99</v>
      </c>
      <c r="C39" t="s">
        <v>100</v>
      </c>
      <c r="D39" s="12">
        <v>3.7100000000000001E-2</v>
      </c>
      <c r="E39" s="12">
        <v>0.1605</v>
      </c>
      <c r="F39" s="12">
        <v>0.17449999999999999</v>
      </c>
      <c r="H39" s="271"/>
      <c r="I39">
        <f t="shared" si="1"/>
        <v>0</v>
      </c>
      <c r="K39" s="342" t="s">
        <v>100</v>
      </c>
      <c r="L39" s="342" t="s">
        <v>99</v>
      </c>
      <c r="M39" s="342" t="str">
        <f t="shared" si="2"/>
        <v>21302 CHEHALIS SCHOOL DISTRICT</v>
      </c>
      <c r="N39" s="264">
        <v>3.7100000000000001E-2</v>
      </c>
      <c r="O39" s="265">
        <v>0.1605</v>
      </c>
    </row>
    <row r="40" spans="2:15">
      <c r="B40" s="59" t="s">
        <v>101</v>
      </c>
      <c r="C40" t="s">
        <v>102</v>
      </c>
      <c r="D40" s="12">
        <v>1.9699999999999999E-2</v>
      </c>
      <c r="E40" s="12">
        <v>0.16750000000000001</v>
      </c>
      <c r="F40" s="12">
        <v>0.17050000000000001</v>
      </c>
      <c r="H40" s="271"/>
      <c r="I40">
        <f t="shared" si="1"/>
        <v>0</v>
      </c>
      <c r="K40" s="342" t="s">
        <v>102</v>
      </c>
      <c r="L40" s="342" t="s">
        <v>101</v>
      </c>
      <c r="M40" s="342" t="str">
        <f t="shared" si="2"/>
        <v>32360 CHENEY SCHOOL DISTRICT</v>
      </c>
      <c r="N40" s="264">
        <v>1.9699999999999999E-2</v>
      </c>
      <c r="O40" s="265">
        <v>0.16750000000000001</v>
      </c>
    </row>
    <row r="41" spans="2:15">
      <c r="B41" s="163" t="s">
        <v>103</v>
      </c>
      <c r="C41" t="s">
        <v>104</v>
      </c>
      <c r="D41" s="12">
        <v>2.52E-2</v>
      </c>
      <c r="E41" s="12">
        <v>0.1681</v>
      </c>
      <c r="F41" s="12">
        <v>0.16089999999999999</v>
      </c>
      <c r="H41" s="271"/>
      <c r="I41">
        <f t="shared" si="1"/>
        <v>0</v>
      </c>
      <c r="K41" s="342" t="s">
        <v>104</v>
      </c>
      <c r="L41" s="342" t="s">
        <v>103</v>
      </c>
      <c r="M41" s="342" t="str">
        <f t="shared" si="2"/>
        <v>33036 CHEWELAH SCHOOL DISTRICT</v>
      </c>
      <c r="N41" s="264">
        <v>2.52E-2</v>
      </c>
      <c r="O41" s="265">
        <v>0.1681</v>
      </c>
    </row>
    <row r="42" spans="2:15">
      <c r="B42" s="348" t="s">
        <v>105</v>
      </c>
      <c r="C42" t="s">
        <v>106</v>
      </c>
      <c r="D42" s="12">
        <v>0.08</v>
      </c>
      <c r="E42" s="12">
        <v>0.1</v>
      </c>
      <c r="F42" s="12">
        <v>0.1</v>
      </c>
      <c r="H42" s="271"/>
      <c r="I42">
        <f t="shared" si="1"/>
        <v>0</v>
      </c>
      <c r="K42" s="342" t="s">
        <v>861</v>
      </c>
      <c r="L42" s="343" t="s">
        <v>105</v>
      </c>
      <c r="M42" s="343" t="str">
        <f>CONCATENATE(L42," ",K42," TRIBAL COMPACT")</f>
        <v>27901 CHIEF LESCHI TRIBAL COMPACT</v>
      </c>
      <c r="N42" s="264">
        <v>0.08</v>
      </c>
      <c r="O42" s="266">
        <v>0.1</v>
      </c>
    </row>
    <row r="43" spans="2:15">
      <c r="B43" s="59" t="s">
        <v>107</v>
      </c>
      <c r="C43" t="s">
        <v>108</v>
      </c>
      <c r="D43" s="12">
        <v>5.8200000000000002E-2</v>
      </c>
      <c r="E43" s="12">
        <v>0.28470000000000001</v>
      </c>
      <c r="F43" s="12">
        <v>0.29859999999999998</v>
      </c>
      <c r="H43" s="271"/>
      <c r="I43">
        <f t="shared" si="1"/>
        <v>0</v>
      </c>
      <c r="K43" s="342" t="s">
        <v>108</v>
      </c>
      <c r="L43" s="342" t="s">
        <v>107</v>
      </c>
      <c r="M43" s="342" t="str">
        <f t="shared" ref="M43:M80" si="3">CONCATENATE(L43," ",K43," SCHOOL DISTRICT")</f>
        <v>16049 CHIMACUM SCHOOL DISTRICT</v>
      </c>
      <c r="N43" s="264">
        <v>5.8200000000000002E-2</v>
      </c>
      <c r="O43" s="265">
        <v>0.28470000000000001</v>
      </c>
    </row>
    <row r="44" spans="2:15">
      <c r="B44" s="59" t="s">
        <v>109</v>
      </c>
      <c r="C44" t="s">
        <v>110</v>
      </c>
      <c r="D44" s="12">
        <v>3.9199999999999999E-2</v>
      </c>
      <c r="E44" s="12">
        <v>0.17730000000000001</v>
      </c>
      <c r="F44" s="12">
        <v>0.17169999999999999</v>
      </c>
      <c r="H44" s="271"/>
      <c r="I44">
        <f t="shared" si="1"/>
        <v>0</v>
      </c>
      <c r="K44" s="342" t="s">
        <v>110</v>
      </c>
      <c r="L44" s="342" t="s">
        <v>109</v>
      </c>
      <c r="M44" s="342" t="str">
        <f t="shared" si="3"/>
        <v>02250 CLARKSTON SCHOOL DISTRICT</v>
      </c>
      <c r="N44" s="264">
        <v>3.9199999999999999E-2</v>
      </c>
      <c r="O44" s="265">
        <v>0.17730000000000001</v>
      </c>
    </row>
    <row r="45" spans="2:15">
      <c r="B45" s="59" t="s">
        <v>111</v>
      </c>
      <c r="C45" t="s">
        <v>112</v>
      </c>
      <c r="D45" s="12">
        <v>0.10249999999999999</v>
      </c>
      <c r="E45" s="12">
        <v>0.2175</v>
      </c>
      <c r="F45" s="12">
        <v>0.2014</v>
      </c>
      <c r="H45" s="271"/>
      <c r="I45">
        <f t="shared" si="1"/>
        <v>0</v>
      </c>
      <c r="K45" s="342" t="s">
        <v>112</v>
      </c>
      <c r="L45" s="342" t="s">
        <v>111</v>
      </c>
      <c r="M45" s="342" t="str">
        <f t="shared" si="3"/>
        <v>19404 CLE ELUM-ROSLYN SCHOOL DISTRICT</v>
      </c>
      <c r="N45" s="264">
        <v>0.10249999999999999</v>
      </c>
      <c r="O45" s="265">
        <v>0.2175</v>
      </c>
    </row>
    <row r="46" spans="2:15">
      <c r="B46" s="59" t="s">
        <v>113</v>
      </c>
      <c r="C46" t="s">
        <v>114</v>
      </c>
      <c r="D46" s="12">
        <v>5.3999999999999999E-2</v>
      </c>
      <c r="E46" s="12">
        <v>0.1636</v>
      </c>
      <c r="F46" s="12">
        <v>0.16769999999999999</v>
      </c>
      <c r="H46" s="271"/>
      <c r="I46">
        <f t="shared" si="1"/>
        <v>0</v>
      </c>
      <c r="K46" s="342" t="s">
        <v>114</v>
      </c>
      <c r="L46" s="342" t="s">
        <v>113</v>
      </c>
      <c r="M46" s="342" t="str">
        <f t="shared" si="3"/>
        <v>27400 CLOVER PARK SCHOOL DISTRICT</v>
      </c>
      <c r="N46" s="264">
        <v>5.3999999999999999E-2</v>
      </c>
      <c r="O46" s="265">
        <v>0.1636</v>
      </c>
    </row>
    <row r="47" spans="2:15">
      <c r="B47" s="59" t="s">
        <v>115</v>
      </c>
      <c r="C47" t="s">
        <v>116</v>
      </c>
      <c r="D47" s="12">
        <v>4.6899999999999997E-2</v>
      </c>
      <c r="E47" s="12">
        <v>0.24030000000000001</v>
      </c>
      <c r="F47" s="12">
        <v>0.24990000000000001</v>
      </c>
      <c r="H47" s="271"/>
      <c r="I47">
        <f t="shared" si="1"/>
        <v>0</v>
      </c>
      <c r="K47" s="342" t="s">
        <v>116</v>
      </c>
      <c r="L47" s="342" t="s">
        <v>115</v>
      </c>
      <c r="M47" s="342" t="str">
        <f t="shared" si="3"/>
        <v>38300 COLFAX SCHOOL DISTRICT</v>
      </c>
      <c r="N47" s="264">
        <v>4.6899999999999997E-2</v>
      </c>
      <c r="O47" s="265">
        <v>0.24030000000000001</v>
      </c>
    </row>
    <row r="48" spans="2:15">
      <c r="B48" s="59" t="s">
        <v>117</v>
      </c>
      <c r="C48" t="s">
        <v>118</v>
      </c>
      <c r="D48" s="12">
        <v>2.5700000000000001E-2</v>
      </c>
      <c r="E48" s="12">
        <v>0.19489999999999999</v>
      </c>
      <c r="F48" s="12">
        <v>0.125</v>
      </c>
      <c r="H48" s="271"/>
      <c r="I48">
        <f t="shared" si="1"/>
        <v>0</v>
      </c>
      <c r="K48" s="342" t="s">
        <v>118</v>
      </c>
      <c r="L48" s="342" t="s">
        <v>117</v>
      </c>
      <c r="M48" s="342" t="str">
        <f t="shared" si="3"/>
        <v>36250 COLLEGE PLACE SCHOOL DISTRICT</v>
      </c>
      <c r="N48" s="264">
        <v>2.5700000000000001E-2</v>
      </c>
      <c r="O48" s="265">
        <v>0.19489999999999999</v>
      </c>
    </row>
    <row r="49" spans="2:15">
      <c r="B49" s="59" t="s">
        <v>119</v>
      </c>
      <c r="C49" t="s">
        <v>120</v>
      </c>
      <c r="D49" s="12">
        <v>3.4200000000000001E-2</v>
      </c>
      <c r="E49" s="12">
        <v>0.22539999999999999</v>
      </c>
      <c r="F49" s="12">
        <v>0.20349999999999999</v>
      </c>
      <c r="H49" s="271"/>
      <c r="I49">
        <f t="shared" si="1"/>
        <v>0</v>
      </c>
      <c r="K49" s="342" t="s">
        <v>120</v>
      </c>
      <c r="L49" s="342" t="s">
        <v>119</v>
      </c>
      <c r="M49" s="342" t="str">
        <f t="shared" si="3"/>
        <v>38306 COLTON SCHOOL DISTRICT</v>
      </c>
      <c r="N49" s="264">
        <v>3.4200000000000001E-2</v>
      </c>
      <c r="O49" s="265">
        <v>0.22539999999999999</v>
      </c>
    </row>
    <row r="50" spans="2:15">
      <c r="B50" s="59" t="s">
        <v>121</v>
      </c>
      <c r="C50" t="s">
        <v>1193</v>
      </c>
      <c r="D50" s="12">
        <v>3.5200000000000002E-2</v>
      </c>
      <c r="E50" s="12">
        <v>0.2389</v>
      </c>
      <c r="F50" s="12">
        <v>0.20300000000000001</v>
      </c>
      <c r="H50" s="271"/>
      <c r="I50">
        <f t="shared" si="1"/>
        <v>0</v>
      </c>
      <c r="K50" s="342" t="s">
        <v>122</v>
      </c>
      <c r="L50" s="342" t="s">
        <v>121</v>
      </c>
      <c r="M50" s="342" t="str">
        <f t="shared" si="3"/>
        <v>33206 COLUMBIA (STEVENS) SCHOOL DISTRICT</v>
      </c>
      <c r="N50" s="264">
        <v>3.5200000000000002E-2</v>
      </c>
      <c r="O50" s="265">
        <v>0.2389</v>
      </c>
    </row>
    <row r="51" spans="2:15">
      <c r="B51" s="59" t="s">
        <v>123</v>
      </c>
      <c r="C51" t="s">
        <v>1194</v>
      </c>
      <c r="D51" s="12">
        <v>8.6800000000000002E-2</v>
      </c>
      <c r="E51" s="12">
        <v>0.20269999999999999</v>
      </c>
      <c r="F51" s="12">
        <v>0.18920000000000001</v>
      </c>
      <c r="H51" s="271"/>
      <c r="I51">
        <f t="shared" si="1"/>
        <v>0</v>
      </c>
      <c r="K51" s="342" t="s">
        <v>871</v>
      </c>
      <c r="L51" s="342" t="s">
        <v>123</v>
      </c>
      <c r="M51" s="342" t="str">
        <f t="shared" si="3"/>
        <v>36400 COLUMBIA (WALLA) SCHOOL DISTRICT</v>
      </c>
      <c r="N51" s="264">
        <v>8.6800000000000002E-2</v>
      </c>
      <c r="O51" s="265">
        <v>0.20269999999999999</v>
      </c>
    </row>
    <row r="52" spans="2:15">
      <c r="B52" s="59" t="s">
        <v>125</v>
      </c>
      <c r="C52" t="s">
        <v>126</v>
      </c>
      <c r="D52" s="12">
        <v>2.3699999999999999E-2</v>
      </c>
      <c r="E52" s="12">
        <v>0.1802</v>
      </c>
      <c r="F52" s="12">
        <v>0.1552</v>
      </c>
      <c r="H52" s="271"/>
      <c r="I52">
        <f t="shared" si="1"/>
        <v>0</v>
      </c>
      <c r="K52" s="342" t="s">
        <v>126</v>
      </c>
      <c r="L52" s="342" t="s">
        <v>125</v>
      </c>
      <c r="M52" s="342" t="str">
        <f t="shared" si="3"/>
        <v>33115 COLVILLE SCHOOL DISTRICT</v>
      </c>
      <c r="N52" s="264">
        <v>2.3699999999999999E-2</v>
      </c>
      <c r="O52" s="265">
        <v>0.1802</v>
      </c>
    </row>
    <row r="53" spans="2:15">
      <c r="B53" s="59" t="s">
        <v>127</v>
      </c>
      <c r="C53" t="s">
        <v>128</v>
      </c>
      <c r="D53" s="12">
        <v>5.3100000000000001E-2</v>
      </c>
      <c r="E53" s="12">
        <v>0.22289999999999999</v>
      </c>
      <c r="F53" s="12">
        <v>0.22289999999999999</v>
      </c>
      <c r="H53" s="271"/>
      <c r="I53">
        <f t="shared" si="1"/>
        <v>0</v>
      </c>
      <c r="K53" s="342" t="s">
        <v>128</v>
      </c>
      <c r="L53" s="342" t="s">
        <v>127</v>
      </c>
      <c r="M53" s="342" t="str">
        <f t="shared" si="3"/>
        <v>29011 CONCRETE SCHOOL DISTRICT</v>
      </c>
      <c r="N53" s="264">
        <v>5.3100000000000001E-2</v>
      </c>
      <c r="O53" s="265">
        <v>0.22289999999999999</v>
      </c>
    </row>
    <row r="54" spans="2:15">
      <c r="B54" s="59" t="s">
        <v>129</v>
      </c>
      <c r="C54" t="s">
        <v>130</v>
      </c>
      <c r="D54" s="12">
        <v>2.8400000000000002E-2</v>
      </c>
      <c r="E54" s="12">
        <v>0.18049999999999999</v>
      </c>
      <c r="F54" s="12">
        <v>0.1663</v>
      </c>
      <c r="H54" s="271"/>
      <c r="I54">
        <f t="shared" si="1"/>
        <v>0</v>
      </c>
      <c r="K54" s="342" t="s">
        <v>130</v>
      </c>
      <c r="L54" s="342" t="s">
        <v>129</v>
      </c>
      <c r="M54" s="342" t="str">
        <f t="shared" si="3"/>
        <v>29317 CONWAY SCHOOL DISTRICT</v>
      </c>
      <c r="N54" s="264">
        <v>2.8400000000000002E-2</v>
      </c>
      <c r="O54" s="265">
        <v>0.18049999999999999</v>
      </c>
    </row>
    <row r="55" spans="2:15">
      <c r="B55" s="59" t="s">
        <v>131</v>
      </c>
      <c r="C55" t="s">
        <v>132</v>
      </c>
      <c r="D55" s="12">
        <v>4.3900000000000002E-2</v>
      </c>
      <c r="E55" s="12">
        <v>0.29210000000000003</v>
      </c>
      <c r="F55" s="12">
        <v>0.29559999999999997</v>
      </c>
      <c r="H55" s="271"/>
      <c r="I55">
        <f t="shared" si="1"/>
        <v>0</v>
      </c>
      <c r="K55" s="342" t="s">
        <v>132</v>
      </c>
      <c r="L55" s="342" t="s">
        <v>131</v>
      </c>
      <c r="M55" s="342" t="str">
        <f t="shared" si="3"/>
        <v>14099 COSMOPOLIS SCHOOL DISTRICT</v>
      </c>
      <c r="N55" s="264">
        <v>4.3900000000000002E-2</v>
      </c>
      <c r="O55" s="265">
        <v>0.29210000000000003</v>
      </c>
    </row>
    <row r="56" spans="2:15">
      <c r="B56" s="59" t="s">
        <v>133</v>
      </c>
      <c r="C56" t="s">
        <v>134</v>
      </c>
      <c r="D56" s="12">
        <v>4.2000000000000003E-2</v>
      </c>
      <c r="E56" s="12">
        <v>0.18940000000000001</v>
      </c>
      <c r="F56" s="12">
        <v>0.1946</v>
      </c>
      <c r="H56" s="271"/>
      <c r="I56">
        <f t="shared" si="1"/>
        <v>0</v>
      </c>
      <c r="K56" s="342" t="s">
        <v>877</v>
      </c>
      <c r="L56" s="342" t="s">
        <v>133</v>
      </c>
      <c r="M56" s="342" t="str">
        <f t="shared" si="3"/>
        <v>13151 COULEE/HARTLINE SCHOOL DISTRICT</v>
      </c>
      <c r="N56" s="264">
        <v>4.2000000000000003E-2</v>
      </c>
      <c r="O56" s="265">
        <v>0.18940000000000001</v>
      </c>
    </row>
    <row r="57" spans="2:15">
      <c r="B57" s="59" t="s">
        <v>135</v>
      </c>
      <c r="C57" t="s">
        <v>136</v>
      </c>
      <c r="D57" s="12">
        <v>5.7599999999999998E-2</v>
      </c>
      <c r="E57" s="12">
        <v>0.21590000000000001</v>
      </c>
      <c r="F57" s="12">
        <v>0.21360000000000001</v>
      </c>
      <c r="H57" s="271"/>
      <c r="I57">
        <f t="shared" si="1"/>
        <v>0</v>
      </c>
      <c r="K57" s="342" t="s">
        <v>136</v>
      </c>
      <c r="L57" s="342" t="s">
        <v>135</v>
      </c>
      <c r="M57" s="342" t="str">
        <f t="shared" si="3"/>
        <v>15204 COUPEVILLE SCHOOL DISTRICT</v>
      </c>
      <c r="N57" s="264">
        <v>5.7599999999999998E-2</v>
      </c>
      <c r="O57" s="265">
        <v>0.21590000000000001</v>
      </c>
    </row>
    <row r="58" spans="2:15">
      <c r="B58" s="59" t="s">
        <v>137</v>
      </c>
      <c r="C58" t="s">
        <v>138</v>
      </c>
      <c r="D58" s="12">
        <v>1.8100000000000002E-2</v>
      </c>
      <c r="E58" s="12">
        <v>0.2233</v>
      </c>
      <c r="F58" s="12">
        <v>0.20519999999999999</v>
      </c>
      <c r="H58" s="271"/>
      <c r="I58">
        <f t="shared" si="1"/>
        <v>0</v>
      </c>
      <c r="K58" s="342" t="s">
        <v>138</v>
      </c>
      <c r="L58" s="342" t="s">
        <v>137</v>
      </c>
      <c r="M58" s="342" t="str">
        <f t="shared" si="3"/>
        <v>05313 CRESCENT SCHOOL DISTRICT</v>
      </c>
      <c r="N58" s="264">
        <v>1.8100000000000002E-2</v>
      </c>
      <c r="O58" s="265">
        <v>0.2233</v>
      </c>
    </row>
    <row r="59" spans="2:15">
      <c r="B59" s="59" t="s">
        <v>139</v>
      </c>
      <c r="C59" t="s">
        <v>140</v>
      </c>
      <c r="D59" s="12">
        <v>6.9199999999999998E-2</v>
      </c>
      <c r="E59" s="12">
        <v>0.2944</v>
      </c>
      <c r="F59" s="12">
        <v>0.30509999999999998</v>
      </c>
      <c r="H59" s="271"/>
      <c r="I59">
        <f t="shared" si="1"/>
        <v>0</v>
      </c>
      <c r="K59" s="342" t="s">
        <v>140</v>
      </c>
      <c r="L59" s="342" t="s">
        <v>139</v>
      </c>
      <c r="M59" s="342" t="str">
        <f t="shared" si="3"/>
        <v>22073 CRESTON SCHOOL DISTRICT</v>
      </c>
      <c r="N59" s="264">
        <v>6.9199999999999998E-2</v>
      </c>
      <c r="O59" s="265">
        <v>0.2944</v>
      </c>
    </row>
    <row r="60" spans="2:15">
      <c r="B60" s="59" t="s">
        <v>141</v>
      </c>
      <c r="C60" t="s">
        <v>142</v>
      </c>
      <c r="D60" s="12">
        <v>4.2599999999999999E-2</v>
      </c>
      <c r="E60" s="12">
        <v>0.24210000000000001</v>
      </c>
      <c r="F60" s="12">
        <v>0.22309999999999999</v>
      </c>
      <c r="H60" s="271"/>
      <c r="I60">
        <f t="shared" si="1"/>
        <v>0</v>
      </c>
      <c r="K60" s="342" t="s">
        <v>142</v>
      </c>
      <c r="L60" s="342" t="s">
        <v>141</v>
      </c>
      <c r="M60" s="342" t="str">
        <f t="shared" si="3"/>
        <v>10050 CURLEW SCHOOL DISTRICT</v>
      </c>
      <c r="N60" s="264">
        <v>4.2599999999999999E-2</v>
      </c>
      <c r="O60" s="265">
        <v>0.24210000000000001</v>
      </c>
    </row>
    <row r="61" spans="2:15">
      <c r="B61" s="59" t="s">
        <v>143</v>
      </c>
      <c r="C61" t="s">
        <v>144</v>
      </c>
      <c r="D61" s="12">
        <v>3.7400000000000003E-2</v>
      </c>
      <c r="E61" s="12">
        <v>0.2079</v>
      </c>
      <c r="F61" s="12">
        <v>0.16739999999999999</v>
      </c>
      <c r="H61" s="271"/>
      <c r="I61">
        <f t="shared" si="1"/>
        <v>0</v>
      </c>
      <c r="K61" s="342" t="s">
        <v>144</v>
      </c>
      <c r="L61" s="342" t="s">
        <v>143</v>
      </c>
      <c r="M61" s="342" t="str">
        <f t="shared" si="3"/>
        <v>26059 CUSICK SCHOOL DISTRICT</v>
      </c>
      <c r="N61" s="264">
        <v>3.7400000000000003E-2</v>
      </c>
      <c r="O61" s="265">
        <v>0.2079</v>
      </c>
    </row>
    <row r="62" spans="2:15">
      <c r="B62" s="59" t="s">
        <v>145</v>
      </c>
      <c r="C62" t="s">
        <v>146</v>
      </c>
      <c r="D62" s="12">
        <v>3.8300000000000001E-2</v>
      </c>
      <c r="E62" s="12">
        <v>0.38450000000000001</v>
      </c>
      <c r="F62" s="12">
        <v>0.33550000000000002</v>
      </c>
      <c r="H62" s="271"/>
      <c r="I62">
        <f t="shared" si="1"/>
        <v>0</v>
      </c>
      <c r="K62" s="342" t="s">
        <v>146</v>
      </c>
      <c r="L62" s="342" t="s">
        <v>145</v>
      </c>
      <c r="M62" s="342" t="str">
        <f t="shared" si="3"/>
        <v>19007 DAMMAN SCHOOL DISTRICT</v>
      </c>
      <c r="N62" s="264">
        <v>3.8300000000000001E-2</v>
      </c>
      <c r="O62" s="265">
        <v>0.38450000000000001</v>
      </c>
    </row>
    <row r="63" spans="2:15">
      <c r="B63" s="59" t="s">
        <v>147</v>
      </c>
      <c r="C63" t="s">
        <v>148</v>
      </c>
      <c r="D63" s="12">
        <v>7.5499999999999998E-2</v>
      </c>
      <c r="E63" s="12">
        <v>0.26450000000000001</v>
      </c>
      <c r="F63" s="12">
        <v>0.29470000000000002</v>
      </c>
      <c r="H63" s="271"/>
      <c r="I63">
        <f t="shared" si="1"/>
        <v>0</v>
      </c>
      <c r="K63" s="342" t="s">
        <v>148</v>
      </c>
      <c r="L63" s="342" t="s">
        <v>147</v>
      </c>
      <c r="M63" s="342" t="str">
        <f t="shared" si="3"/>
        <v>31330 DARRINGTON SCHOOL DISTRICT</v>
      </c>
      <c r="N63" s="264">
        <v>7.5499999999999998E-2</v>
      </c>
      <c r="O63" s="265">
        <v>0.26450000000000001</v>
      </c>
    </row>
    <row r="64" spans="2:15">
      <c r="B64" s="59" t="s">
        <v>149</v>
      </c>
      <c r="C64" t="s">
        <v>150</v>
      </c>
      <c r="D64" s="12">
        <v>2.5600000000000001E-2</v>
      </c>
      <c r="E64" s="12">
        <v>0.22170000000000001</v>
      </c>
      <c r="F64" s="12">
        <v>0.22120000000000001</v>
      </c>
      <c r="H64" s="271"/>
      <c r="I64">
        <f t="shared" si="1"/>
        <v>0</v>
      </c>
      <c r="K64" s="342" t="s">
        <v>150</v>
      </c>
      <c r="L64" s="342" t="s">
        <v>149</v>
      </c>
      <c r="M64" s="342" t="str">
        <f t="shared" si="3"/>
        <v>22207 DAVENPORT SCHOOL DISTRICT</v>
      </c>
      <c r="N64" s="264">
        <v>2.5600000000000001E-2</v>
      </c>
      <c r="O64" s="265">
        <v>0.22170000000000001</v>
      </c>
    </row>
    <row r="65" spans="2:15">
      <c r="B65" s="59" t="s">
        <v>151</v>
      </c>
      <c r="C65" t="s">
        <v>152</v>
      </c>
      <c r="D65" s="12">
        <v>2.75E-2</v>
      </c>
      <c r="E65" s="12">
        <v>0.2109</v>
      </c>
      <c r="F65" s="12">
        <v>0.20150000000000001</v>
      </c>
      <c r="H65" s="271"/>
      <c r="I65">
        <f t="shared" si="1"/>
        <v>0</v>
      </c>
      <c r="K65" s="342" t="s">
        <v>152</v>
      </c>
      <c r="L65" s="342" t="s">
        <v>151</v>
      </c>
      <c r="M65" s="342" t="str">
        <f t="shared" si="3"/>
        <v>07002 DAYTON SCHOOL DISTRICT</v>
      </c>
      <c r="N65" s="264">
        <v>2.75E-2</v>
      </c>
      <c r="O65" s="265">
        <v>0.2109</v>
      </c>
    </row>
    <row r="66" spans="2:15">
      <c r="B66" s="59" t="s">
        <v>153</v>
      </c>
      <c r="C66" t="s">
        <v>154</v>
      </c>
      <c r="D66" s="12">
        <v>4.7500000000000001E-2</v>
      </c>
      <c r="E66" s="12">
        <v>0.1633</v>
      </c>
      <c r="F66" s="12">
        <v>0.15690000000000001</v>
      </c>
      <c r="H66" s="271"/>
      <c r="I66">
        <f t="shared" si="1"/>
        <v>0</v>
      </c>
      <c r="K66" s="342" t="s">
        <v>154</v>
      </c>
      <c r="L66" s="342" t="s">
        <v>153</v>
      </c>
      <c r="M66" s="342" t="str">
        <f t="shared" si="3"/>
        <v>32414 DEER PARK SCHOOL DISTRICT</v>
      </c>
      <c r="N66" s="264">
        <v>4.7500000000000001E-2</v>
      </c>
      <c r="O66" s="265">
        <v>0.1633</v>
      </c>
    </row>
    <row r="67" spans="2:15">
      <c r="B67" s="59" t="s">
        <v>155</v>
      </c>
      <c r="C67" t="s">
        <v>156</v>
      </c>
      <c r="D67" s="12">
        <v>1.4800000000000001E-2</v>
      </c>
      <c r="E67" s="12">
        <v>0.15570000000000001</v>
      </c>
      <c r="F67" s="12">
        <v>0.13420000000000001</v>
      </c>
      <c r="H67" s="271"/>
      <c r="I67">
        <f t="shared" si="1"/>
        <v>0</v>
      </c>
      <c r="K67" s="342" t="s">
        <v>156</v>
      </c>
      <c r="L67" s="342" t="s">
        <v>155</v>
      </c>
      <c r="M67" s="342" t="str">
        <f t="shared" si="3"/>
        <v>27343 DIERINGER SCHOOL DISTRICT</v>
      </c>
      <c r="N67" s="264">
        <v>1.4800000000000001E-2</v>
      </c>
      <c r="O67" s="265">
        <v>0.15570000000000001</v>
      </c>
    </row>
    <row r="68" spans="2:15">
      <c r="B68" s="59" t="s">
        <v>157</v>
      </c>
      <c r="C68" t="s">
        <v>158</v>
      </c>
      <c r="D68" s="12">
        <v>0.1857</v>
      </c>
      <c r="E68" s="12">
        <v>0.47589999999999999</v>
      </c>
      <c r="F68" s="12">
        <v>0.50870000000000004</v>
      </c>
      <c r="H68" s="271"/>
      <c r="I68">
        <f t="shared" si="1"/>
        <v>0</v>
      </c>
      <c r="K68" s="342" t="s">
        <v>158</v>
      </c>
      <c r="L68" s="342" t="s">
        <v>157</v>
      </c>
      <c r="M68" s="342" t="str">
        <f t="shared" si="3"/>
        <v>36101 DIXIE SCHOOL DISTRICT</v>
      </c>
      <c r="N68" s="264">
        <v>0.1857</v>
      </c>
      <c r="O68" s="265">
        <v>0.47589999999999999</v>
      </c>
    </row>
    <row r="69" spans="2:15">
      <c r="B69" s="59" t="s">
        <v>159</v>
      </c>
      <c r="C69" t="s">
        <v>1195</v>
      </c>
      <c r="D69" s="12">
        <v>3.4799999999999998E-2</v>
      </c>
      <c r="E69" s="12">
        <v>0.16619999999999999</v>
      </c>
      <c r="F69" s="12">
        <v>0.1694</v>
      </c>
      <c r="H69" s="271"/>
      <c r="I69">
        <f t="shared" si="1"/>
        <v>0</v>
      </c>
      <c r="K69" s="342" t="s">
        <v>891</v>
      </c>
      <c r="L69" s="342" t="s">
        <v>159</v>
      </c>
      <c r="M69" s="342" t="str">
        <f t="shared" si="3"/>
        <v>32361 EAST VALLEY SCHOOL DISTRICT</v>
      </c>
      <c r="N69" s="264">
        <v>3.4799999999999998E-2</v>
      </c>
      <c r="O69" s="265">
        <v>0.16619999999999999</v>
      </c>
    </row>
    <row r="70" spans="2:15">
      <c r="B70" s="59" t="s">
        <v>161</v>
      </c>
      <c r="C70" t="s">
        <v>1196</v>
      </c>
      <c r="D70" s="12">
        <v>4.7399999999999998E-2</v>
      </c>
      <c r="E70" s="12">
        <v>0.1595</v>
      </c>
      <c r="F70" s="12">
        <v>0.16220000000000001</v>
      </c>
      <c r="H70" s="271"/>
      <c r="I70">
        <f t="shared" si="1"/>
        <v>0</v>
      </c>
      <c r="K70" s="342" t="s">
        <v>162</v>
      </c>
      <c r="L70" s="342" t="s">
        <v>161</v>
      </c>
      <c r="M70" s="342" t="str">
        <f t="shared" si="3"/>
        <v>39090 EAST VALLEY (YAKIMA) SCHOOL DISTRICT</v>
      </c>
      <c r="N70" s="264">
        <v>4.7399999999999998E-2</v>
      </c>
      <c r="O70" s="265">
        <v>0.1595</v>
      </c>
    </row>
    <row r="71" spans="2:15">
      <c r="B71" s="59" t="s">
        <v>163</v>
      </c>
      <c r="C71" t="s">
        <v>164</v>
      </c>
      <c r="D71" s="12">
        <v>4.4600000000000001E-2</v>
      </c>
      <c r="E71" s="12">
        <v>0.13739999999999999</v>
      </c>
      <c r="F71" s="12">
        <v>0.13289999999999999</v>
      </c>
      <c r="H71" s="271"/>
      <c r="I71">
        <f t="shared" si="1"/>
        <v>0</v>
      </c>
      <c r="K71" s="342" t="s">
        <v>164</v>
      </c>
      <c r="L71" s="342" t="s">
        <v>163</v>
      </c>
      <c r="M71" s="342" t="str">
        <f t="shared" si="3"/>
        <v>09206 EASTMONT SCHOOL DISTRICT</v>
      </c>
      <c r="N71" s="264">
        <v>4.4600000000000001E-2</v>
      </c>
      <c r="O71" s="265">
        <v>0.13739999999999999</v>
      </c>
    </row>
    <row r="72" spans="2:15">
      <c r="B72" s="59" t="s">
        <v>165</v>
      </c>
      <c r="C72" t="s">
        <v>166</v>
      </c>
      <c r="D72" s="12">
        <v>0.4042</v>
      </c>
      <c r="E72" s="12">
        <v>0.42270000000000002</v>
      </c>
      <c r="F72" s="12">
        <v>0.4884</v>
      </c>
      <c r="H72" s="271"/>
      <c r="I72">
        <f t="shared" ref="I72:I135" si="4">+L72-B72</f>
        <v>0</v>
      </c>
      <c r="K72" s="342" t="s">
        <v>166</v>
      </c>
      <c r="L72" s="342" t="s">
        <v>165</v>
      </c>
      <c r="M72" s="342" t="str">
        <f t="shared" si="3"/>
        <v>19028 EASTON SCHOOL DISTRICT</v>
      </c>
      <c r="N72" s="264">
        <v>0.4042</v>
      </c>
      <c r="O72" s="265">
        <v>0.42270000000000002</v>
      </c>
    </row>
    <row r="73" spans="2:15">
      <c r="B73" s="59" t="s">
        <v>167</v>
      </c>
      <c r="C73" t="s">
        <v>168</v>
      </c>
      <c r="D73" s="12">
        <v>3.2199999999999999E-2</v>
      </c>
      <c r="E73" s="12">
        <v>0.18970000000000001</v>
      </c>
      <c r="F73" s="12">
        <v>0.1946</v>
      </c>
      <c r="H73" s="271"/>
      <c r="I73">
        <f t="shared" si="4"/>
        <v>0</v>
      </c>
      <c r="K73" s="342" t="s">
        <v>168</v>
      </c>
      <c r="L73" s="342" t="s">
        <v>167</v>
      </c>
      <c r="M73" s="342" t="str">
        <f t="shared" si="3"/>
        <v>27404 EATONVILLE SCHOOL DISTRICT</v>
      </c>
      <c r="N73" s="264">
        <v>3.2199999999999999E-2</v>
      </c>
      <c r="O73" s="265">
        <v>0.18970000000000001</v>
      </c>
    </row>
    <row r="74" spans="2:15">
      <c r="B74" s="59" t="s">
        <v>169</v>
      </c>
      <c r="C74" t="s">
        <v>170</v>
      </c>
      <c r="D74" s="12">
        <v>4.2299999999999997E-2</v>
      </c>
      <c r="E74" s="12">
        <v>0.1197</v>
      </c>
      <c r="F74" s="12">
        <v>0.125</v>
      </c>
      <c r="H74" s="271"/>
      <c r="I74">
        <f t="shared" si="4"/>
        <v>0</v>
      </c>
      <c r="K74" s="342" t="s">
        <v>170</v>
      </c>
      <c r="L74" s="342" t="s">
        <v>169</v>
      </c>
      <c r="M74" s="342" t="str">
        <f t="shared" si="3"/>
        <v>31015 EDMONDS SCHOOL DISTRICT</v>
      </c>
      <c r="N74" s="264">
        <v>4.2299999999999997E-2</v>
      </c>
      <c r="O74" s="265">
        <v>0.1197</v>
      </c>
    </row>
    <row r="75" spans="2:15">
      <c r="B75" s="59" t="s">
        <v>171</v>
      </c>
      <c r="C75" t="s">
        <v>172</v>
      </c>
      <c r="D75" s="12">
        <v>4.9500000000000002E-2</v>
      </c>
      <c r="E75" s="12">
        <v>0.16139999999999999</v>
      </c>
      <c r="F75" s="12">
        <v>0.123</v>
      </c>
      <c r="H75" s="271"/>
      <c r="I75">
        <f t="shared" si="4"/>
        <v>0</v>
      </c>
      <c r="K75" s="342" t="s">
        <v>172</v>
      </c>
      <c r="L75" s="342" t="s">
        <v>171</v>
      </c>
      <c r="M75" s="342" t="str">
        <f t="shared" si="3"/>
        <v>19401 ELLENSBURG SCHOOL DISTRICT</v>
      </c>
      <c r="N75" s="264">
        <v>4.9500000000000002E-2</v>
      </c>
      <c r="O75" s="265">
        <v>0.16139999999999999</v>
      </c>
    </row>
    <row r="76" spans="2:15">
      <c r="B76" s="59" t="s">
        <v>173</v>
      </c>
      <c r="C76" t="s">
        <v>174</v>
      </c>
      <c r="D76" s="12">
        <v>6.3799999999999996E-2</v>
      </c>
      <c r="E76" s="12">
        <v>0.1585</v>
      </c>
      <c r="F76" s="12">
        <v>0.1103</v>
      </c>
      <c r="H76" s="271"/>
      <c r="I76">
        <f t="shared" si="4"/>
        <v>0</v>
      </c>
      <c r="K76" s="342" t="s">
        <v>174</v>
      </c>
      <c r="L76" s="342" t="s">
        <v>173</v>
      </c>
      <c r="M76" s="342" t="str">
        <f t="shared" si="3"/>
        <v>14068 ELMA SCHOOL DISTRICT</v>
      </c>
      <c r="N76" s="264">
        <v>6.3799999999999996E-2</v>
      </c>
      <c r="O76" s="265">
        <v>0.1585</v>
      </c>
    </row>
    <row r="77" spans="2:15">
      <c r="B77" s="59" t="s">
        <v>175</v>
      </c>
      <c r="C77" t="s">
        <v>176</v>
      </c>
      <c r="D77" s="12">
        <v>2.8400000000000002E-2</v>
      </c>
      <c r="E77" s="12">
        <v>0.26600000000000001</v>
      </c>
      <c r="F77" s="12">
        <v>0.26479999999999998</v>
      </c>
      <c r="H77" s="271"/>
      <c r="I77">
        <f t="shared" si="4"/>
        <v>0</v>
      </c>
      <c r="K77" s="342" t="s">
        <v>176</v>
      </c>
      <c r="L77" s="342" t="s">
        <v>175</v>
      </c>
      <c r="M77" s="342" t="str">
        <f t="shared" si="3"/>
        <v>38308 ENDICOTT SCHOOL DISTRICT</v>
      </c>
      <c r="N77" s="264">
        <v>2.8400000000000002E-2</v>
      </c>
      <c r="O77" s="265">
        <v>0.26600000000000001</v>
      </c>
    </row>
    <row r="78" spans="2:15">
      <c r="B78" s="59" t="s">
        <v>177</v>
      </c>
      <c r="C78" t="s">
        <v>178</v>
      </c>
      <c r="D78" s="12">
        <v>7.8100000000000003E-2</v>
      </c>
      <c r="E78" s="12">
        <v>0.22539999999999999</v>
      </c>
      <c r="F78" s="12">
        <v>0.218</v>
      </c>
      <c r="H78" s="271"/>
      <c r="I78">
        <f t="shared" si="4"/>
        <v>0</v>
      </c>
      <c r="K78" s="342" t="s">
        <v>178</v>
      </c>
      <c r="L78" s="342" t="s">
        <v>177</v>
      </c>
      <c r="M78" s="342" t="str">
        <f t="shared" si="3"/>
        <v>04127 ENTIAT SCHOOL DISTRICT</v>
      </c>
      <c r="N78" s="264">
        <v>7.8100000000000003E-2</v>
      </c>
      <c r="O78" s="265">
        <v>0.22539999999999999</v>
      </c>
    </row>
    <row r="79" spans="2:15">
      <c r="B79" s="59" t="s">
        <v>179</v>
      </c>
      <c r="C79" t="s">
        <v>180</v>
      </c>
      <c r="D79" s="12">
        <v>4.2000000000000003E-2</v>
      </c>
      <c r="E79" s="12">
        <v>0.1673</v>
      </c>
      <c r="F79" s="12">
        <v>0.13250000000000001</v>
      </c>
      <c r="H79" s="271"/>
      <c r="I79">
        <f t="shared" si="4"/>
        <v>0</v>
      </c>
      <c r="K79" s="342" t="s">
        <v>180</v>
      </c>
      <c r="L79" s="342" t="s">
        <v>179</v>
      </c>
      <c r="M79" s="342" t="str">
        <f t="shared" si="3"/>
        <v>17216 ENUMCLAW SCHOOL DISTRICT</v>
      </c>
      <c r="N79" s="264">
        <v>4.2000000000000003E-2</v>
      </c>
      <c r="O79" s="265">
        <v>0.1673</v>
      </c>
    </row>
    <row r="80" spans="2:15">
      <c r="B80" s="59" t="s">
        <v>181</v>
      </c>
      <c r="C80" t="s">
        <v>182</v>
      </c>
      <c r="D80" s="12">
        <v>5.1999999999999998E-2</v>
      </c>
      <c r="E80" s="12">
        <v>0.14380000000000001</v>
      </c>
      <c r="F80" s="12">
        <v>0.14560000000000001</v>
      </c>
      <c r="H80" s="271"/>
      <c r="I80">
        <f t="shared" si="4"/>
        <v>0</v>
      </c>
      <c r="K80" s="342" t="s">
        <v>182</v>
      </c>
      <c r="L80" s="342" t="s">
        <v>181</v>
      </c>
      <c r="M80" s="342" t="str">
        <f t="shared" si="3"/>
        <v>13165 EPHRATA SCHOOL DISTRICT</v>
      </c>
      <c r="N80" s="264">
        <v>5.1999999999999998E-2</v>
      </c>
      <c r="O80" s="265">
        <v>0.14380000000000001</v>
      </c>
    </row>
    <row r="81" spans="2:15">
      <c r="B81" s="349" t="s">
        <v>183</v>
      </c>
      <c r="C81" s="350" t="str">
        <f>CONCATENATE(B81," ",A81)</f>
        <v xml:space="preserve">06701 </v>
      </c>
      <c r="D81" s="12"/>
      <c r="E81" s="12"/>
      <c r="F81" s="12"/>
      <c r="H81" s="271"/>
      <c r="I81">
        <f t="shared" si="4"/>
        <v>0</v>
      </c>
      <c r="K81" s="342" t="s">
        <v>184</v>
      </c>
      <c r="L81" s="344" t="s">
        <v>183</v>
      </c>
      <c r="M81" s="345" t="str">
        <f>CONCATENATE(L81," ",K81)</f>
        <v>06701 ESA 112</v>
      </c>
      <c r="N81" s="264">
        <v>0</v>
      </c>
      <c r="O81" s="265">
        <v>0</v>
      </c>
    </row>
    <row r="82" spans="2:15">
      <c r="B82" s="347" t="s">
        <v>185</v>
      </c>
      <c r="C82" s="350" t="str">
        <f>CONCATENATE(B82," ",A82)</f>
        <v xml:space="preserve">32801 </v>
      </c>
      <c r="D82" s="12"/>
      <c r="E82" s="12"/>
      <c r="F82" s="12"/>
      <c r="H82" s="271"/>
      <c r="I82">
        <f t="shared" si="4"/>
        <v>0</v>
      </c>
      <c r="K82" s="342" t="s">
        <v>186</v>
      </c>
      <c r="L82" s="342" t="s">
        <v>185</v>
      </c>
      <c r="M82" s="345" t="str">
        <f>CONCATENATE(L82," ",K82)</f>
        <v>32801 ESD 101</v>
      </c>
      <c r="N82" s="264">
        <v>0</v>
      </c>
      <c r="O82" s="265">
        <v>0</v>
      </c>
    </row>
    <row r="83" spans="2:15">
      <c r="B83" s="349" t="s">
        <v>187</v>
      </c>
      <c r="C83" s="350" t="str">
        <f>CONCATENATE(B83," ",A83)</f>
        <v xml:space="preserve">39801 </v>
      </c>
      <c r="D83" s="12"/>
      <c r="E83" s="12"/>
      <c r="F83" s="12"/>
      <c r="H83" s="271"/>
      <c r="I83">
        <f t="shared" si="4"/>
        <v>0</v>
      </c>
      <c r="K83" s="342" t="s">
        <v>188</v>
      </c>
      <c r="L83" s="344" t="s">
        <v>187</v>
      </c>
      <c r="M83" s="345" t="str">
        <f>CONCATENATE(L83," ",K83)</f>
        <v>39801 ESD 105</v>
      </c>
      <c r="N83" s="264">
        <v>0</v>
      </c>
      <c r="O83" s="265">
        <v>0</v>
      </c>
    </row>
    <row r="84" spans="2:15">
      <c r="B84" s="349" t="s">
        <v>189</v>
      </c>
      <c r="C84" s="350" t="str">
        <f>CONCATENATE(B84," ",A84)</f>
        <v xml:space="preserve">06801 </v>
      </c>
      <c r="D84" s="12"/>
      <c r="E84" s="12"/>
      <c r="F84" s="12"/>
      <c r="H84" s="271"/>
      <c r="I84">
        <f t="shared" si="4"/>
        <v>0</v>
      </c>
      <c r="K84" s="342" t="s">
        <v>190</v>
      </c>
      <c r="L84" s="344" t="s">
        <v>189</v>
      </c>
      <c r="M84" s="345" t="str">
        <f>CONCATENATE(L84," ",K84)</f>
        <v>06801 ESD 112</v>
      </c>
      <c r="N84" s="264">
        <v>0</v>
      </c>
      <c r="O84" s="265">
        <v>0</v>
      </c>
    </row>
    <row r="85" spans="2:15">
      <c r="B85" s="347" t="s">
        <v>191</v>
      </c>
      <c r="C85" s="350" t="str">
        <f>CONCATENATE(B85," CAPITAL REGION ",A85)</f>
        <v xml:space="preserve">34801 CAPITAL REGION </v>
      </c>
      <c r="D85" s="12"/>
      <c r="E85" s="12"/>
      <c r="F85" s="12"/>
      <c r="H85" s="271"/>
      <c r="I85">
        <f t="shared" si="4"/>
        <v>0</v>
      </c>
      <c r="K85" s="342" t="s">
        <v>192</v>
      </c>
      <c r="L85" s="342" t="s">
        <v>191</v>
      </c>
      <c r="M85" s="345" t="str">
        <f>CONCATENATE(L85," CAPITAL REGION ",K85)</f>
        <v>34801 CAPITAL REGION ESD 113</v>
      </c>
      <c r="N85" s="264">
        <v>0</v>
      </c>
      <c r="O85" s="265">
        <v>0</v>
      </c>
    </row>
    <row r="86" spans="2:15">
      <c r="B86" s="349" t="s">
        <v>193</v>
      </c>
      <c r="C86" s="350" t="str">
        <f>CONCATENATE(B86," OLYMPIC ",A86)</f>
        <v xml:space="preserve">18801 OLYMPIC </v>
      </c>
      <c r="D86" s="12"/>
      <c r="E86" s="12"/>
      <c r="F86" s="12"/>
      <c r="H86" s="271"/>
      <c r="I86">
        <f t="shared" si="4"/>
        <v>0</v>
      </c>
      <c r="K86" s="342" t="s">
        <v>194</v>
      </c>
      <c r="L86" s="344" t="s">
        <v>193</v>
      </c>
      <c r="M86" s="345" t="str">
        <f>CONCATENATE(L86," OLYMPIC ",K86)</f>
        <v>18801 OLYMPIC ESD 114</v>
      </c>
      <c r="N86" s="264">
        <v>0</v>
      </c>
      <c r="O86" s="265">
        <v>0</v>
      </c>
    </row>
    <row r="87" spans="2:15">
      <c r="B87" s="349" t="s">
        <v>195</v>
      </c>
      <c r="C87" s="350" t="str">
        <f>CONCATENATE(B87," PUGET SOUND ",A87)</f>
        <v xml:space="preserve">17801 PUGET SOUND </v>
      </c>
      <c r="D87" s="12"/>
      <c r="E87" s="12"/>
      <c r="F87" s="12"/>
      <c r="H87" s="271"/>
      <c r="I87">
        <f t="shared" si="4"/>
        <v>0</v>
      </c>
      <c r="K87" s="342" t="s">
        <v>196</v>
      </c>
      <c r="L87" s="344" t="s">
        <v>195</v>
      </c>
      <c r="M87" s="345" t="str">
        <f>CONCATENATE(L87," PUGET SOUND ",K87)</f>
        <v>17801 PUGET SOUND ESD 121</v>
      </c>
      <c r="N87" s="264">
        <v>0</v>
      </c>
      <c r="O87" s="265">
        <v>0</v>
      </c>
    </row>
    <row r="88" spans="2:15">
      <c r="B88" s="349" t="s">
        <v>197</v>
      </c>
      <c r="C88" s="350" t="str">
        <f>CONCATENATE(B88," ",A88)</f>
        <v xml:space="preserve">11801 </v>
      </c>
      <c r="D88" s="12"/>
      <c r="E88" s="12"/>
      <c r="F88" s="12"/>
      <c r="H88" s="271"/>
      <c r="I88">
        <f t="shared" si="4"/>
        <v>0</v>
      </c>
      <c r="K88" s="342" t="s">
        <v>198</v>
      </c>
      <c r="L88" s="344" t="s">
        <v>197</v>
      </c>
      <c r="M88" s="345" t="str">
        <f>CONCATENATE(L88," ",K88)</f>
        <v>11801 ESD 123</v>
      </c>
      <c r="N88" s="264">
        <v>0</v>
      </c>
      <c r="O88" s="265">
        <v>0</v>
      </c>
    </row>
    <row r="89" spans="2:15">
      <c r="B89" s="349" t="s">
        <v>199</v>
      </c>
      <c r="C89" s="350" t="str">
        <f>CONCATENATE(B89," ",A89)</f>
        <v xml:space="preserve">04801 </v>
      </c>
      <c r="D89" s="12"/>
      <c r="E89" s="12"/>
      <c r="F89" s="12"/>
      <c r="H89" s="271"/>
      <c r="I89">
        <f t="shared" si="4"/>
        <v>0</v>
      </c>
      <c r="K89" s="342" t="s">
        <v>200</v>
      </c>
      <c r="L89" s="344" t="s">
        <v>199</v>
      </c>
      <c r="M89" s="345" t="str">
        <f>CONCATENATE(L89," ",K89)</f>
        <v>04801 ESD 171</v>
      </c>
      <c r="N89" s="264">
        <v>0</v>
      </c>
      <c r="O89" s="265">
        <v>0</v>
      </c>
    </row>
    <row r="90" spans="2:15">
      <c r="B90" s="347" t="s">
        <v>201</v>
      </c>
      <c r="C90" s="350" t="str">
        <f>CONCATENATE(B90," NORTHWEST ",A90)</f>
        <v xml:space="preserve">29801 NORTHWEST </v>
      </c>
      <c r="D90" s="12"/>
      <c r="E90" s="12"/>
      <c r="F90" s="12"/>
      <c r="H90" s="271"/>
      <c r="I90">
        <f t="shared" si="4"/>
        <v>0</v>
      </c>
      <c r="K90" s="342" t="s">
        <v>202</v>
      </c>
      <c r="L90" s="342" t="s">
        <v>201</v>
      </c>
      <c r="M90" s="345" t="str">
        <f>CONCATENATE(L90," NORTHWEST ",K90)</f>
        <v>29801 NORTHWEST ESD 189</v>
      </c>
      <c r="N90" s="264">
        <v>0</v>
      </c>
      <c r="O90" s="265">
        <v>0</v>
      </c>
    </row>
    <row r="91" spans="2:15">
      <c r="B91" s="59" t="s">
        <v>203</v>
      </c>
      <c r="C91" t="s">
        <v>204</v>
      </c>
      <c r="D91" s="12">
        <v>0.17269999999999999</v>
      </c>
      <c r="E91" s="12">
        <v>0.4425</v>
      </c>
      <c r="F91" s="12">
        <v>0.53790000000000004</v>
      </c>
      <c r="H91" s="271"/>
      <c r="I91">
        <f t="shared" si="4"/>
        <v>0</v>
      </c>
      <c r="K91" s="342" t="s">
        <v>204</v>
      </c>
      <c r="L91" s="342" t="s">
        <v>203</v>
      </c>
      <c r="M91" s="342" t="str">
        <f t="shared" ref="M91:M117" si="5">CONCATENATE(L91," ",K91," SCHOOL DISTRICT")</f>
        <v>21036 EVALINE SCHOOL DISTRICT</v>
      </c>
      <c r="N91" s="264">
        <v>0.17269999999999999</v>
      </c>
      <c r="O91" s="265">
        <v>0.4425</v>
      </c>
    </row>
    <row r="92" spans="2:15">
      <c r="B92" s="59" t="s">
        <v>205</v>
      </c>
      <c r="C92" t="s">
        <v>206</v>
      </c>
      <c r="D92" s="12">
        <v>3.7100000000000001E-2</v>
      </c>
      <c r="E92" s="12">
        <v>0.1174</v>
      </c>
      <c r="F92" s="12">
        <v>0.10929999999999999</v>
      </c>
      <c r="H92" s="271"/>
      <c r="I92">
        <f t="shared" si="4"/>
        <v>0</v>
      </c>
      <c r="K92" s="342" t="s">
        <v>206</v>
      </c>
      <c r="L92" s="342" t="s">
        <v>205</v>
      </c>
      <c r="M92" s="342" t="str">
        <f t="shared" si="5"/>
        <v>31002 EVERETT SCHOOL DISTRICT</v>
      </c>
      <c r="N92" s="264">
        <v>3.7100000000000001E-2</v>
      </c>
      <c r="O92" s="265">
        <v>0.1174</v>
      </c>
    </row>
    <row r="93" spans="2:15">
      <c r="B93" s="59" t="s">
        <v>207</v>
      </c>
      <c r="C93" t="s">
        <v>1197</v>
      </c>
      <c r="D93" s="12">
        <v>3.9E-2</v>
      </c>
      <c r="E93" s="12">
        <v>0.11890000000000001</v>
      </c>
      <c r="F93" s="12">
        <v>0.1003</v>
      </c>
      <c r="H93" s="271"/>
      <c r="I93">
        <f t="shared" si="4"/>
        <v>0</v>
      </c>
      <c r="K93" s="342" t="s">
        <v>208</v>
      </c>
      <c r="L93" s="342" t="s">
        <v>207</v>
      </c>
      <c r="M93" s="342" t="str">
        <f t="shared" si="5"/>
        <v>06114 EVERGREEN (CLARK) SCHOOL DISTRICT</v>
      </c>
      <c r="N93" s="264">
        <v>3.9E-2</v>
      </c>
      <c r="O93" s="265">
        <v>0.11890000000000001</v>
      </c>
    </row>
    <row r="94" spans="2:15">
      <c r="B94" s="59" t="s">
        <v>209</v>
      </c>
      <c r="C94" t="s">
        <v>1197</v>
      </c>
      <c r="D94" s="12">
        <v>7.5700000000000003E-2</v>
      </c>
      <c r="E94" s="12">
        <v>0.25569999999999998</v>
      </c>
      <c r="F94" s="12">
        <v>0.27500000000000002</v>
      </c>
      <c r="H94" s="271"/>
      <c r="I94">
        <f t="shared" si="4"/>
        <v>0</v>
      </c>
      <c r="K94" s="342" t="s">
        <v>210</v>
      </c>
      <c r="L94" s="342" t="s">
        <v>209</v>
      </c>
      <c r="M94" s="342" t="str">
        <f t="shared" si="5"/>
        <v>33205 EVERGREEN (STEVENS) SCHOOL DISTRICT</v>
      </c>
      <c r="N94" s="264">
        <v>7.5700000000000003E-2</v>
      </c>
      <c r="O94" s="265">
        <v>0.25569999999999998</v>
      </c>
    </row>
    <row r="95" spans="2:15">
      <c r="B95" s="59" t="s">
        <v>211</v>
      </c>
      <c r="C95" t="s">
        <v>212</v>
      </c>
      <c r="D95" s="12">
        <v>3.7100000000000001E-2</v>
      </c>
      <c r="E95" s="12">
        <v>0.13350000000000001</v>
      </c>
      <c r="F95" s="12">
        <v>0.14399999999999999</v>
      </c>
      <c r="H95" s="271"/>
      <c r="I95">
        <f t="shared" si="4"/>
        <v>0</v>
      </c>
      <c r="K95" s="342" t="s">
        <v>212</v>
      </c>
      <c r="L95" s="342" t="s">
        <v>211</v>
      </c>
      <c r="M95" s="342" t="str">
        <f t="shared" si="5"/>
        <v>17210 FEDERAL WAY SCHOOL DISTRICT</v>
      </c>
      <c r="N95" s="264">
        <v>3.7100000000000001E-2</v>
      </c>
      <c r="O95" s="265">
        <v>0.13350000000000001</v>
      </c>
    </row>
    <row r="96" spans="2:15">
      <c r="B96" s="59" t="s">
        <v>213</v>
      </c>
      <c r="C96" t="s">
        <v>214</v>
      </c>
      <c r="D96" s="12">
        <v>5.1200000000000002E-2</v>
      </c>
      <c r="E96" s="12">
        <v>0.15640000000000001</v>
      </c>
      <c r="F96" s="12">
        <v>0.15920000000000001</v>
      </c>
      <c r="H96" s="271"/>
      <c r="I96">
        <f t="shared" si="4"/>
        <v>0</v>
      </c>
      <c r="K96" s="342" t="s">
        <v>214</v>
      </c>
      <c r="L96" s="342" t="s">
        <v>213</v>
      </c>
      <c r="M96" s="342" t="str">
        <f t="shared" si="5"/>
        <v>37502 FERNDALE SCHOOL DISTRICT</v>
      </c>
      <c r="N96" s="264">
        <v>5.1200000000000002E-2</v>
      </c>
      <c r="O96" s="265">
        <v>0.15640000000000001</v>
      </c>
    </row>
    <row r="97" spans="2:15">
      <c r="B97" s="59" t="s">
        <v>215</v>
      </c>
      <c r="C97" t="s">
        <v>216</v>
      </c>
      <c r="D97" s="12">
        <v>6.5500000000000003E-2</v>
      </c>
      <c r="E97" s="12">
        <v>0.15359999999999999</v>
      </c>
      <c r="F97" s="12">
        <v>0.1656</v>
      </c>
      <c r="H97" s="271"/>
      <c r="I97">
        <f t="shared" si="4"/>
        <v>0</v>
      </c>
      <c r="K97" s="342" t="s">
        <v>216</v>
      </c>
      <c r="L97" s="342" t="s">
        <v>215</v>
      </c>
      <c r="M97" s="342" t="str">
        <f t="shared" si="5"/>
        <v>27417 FIFE SCHOOL DISTRICT</v>
      </c>
      <c r="N97" s="264">
        <v>6.5500000000000003E-2</v>
      </c>
      <c r="O97" s="265">
        <v>0.15359999999999999</v>
      </c>
    </row>
    <row r="98" spans="2:15">
      <c r="B98" s="59" t="s">
        <v>217</v>
      </c>
      <c r="C98" t="s">
        <v>218</v>
      </c>
      <c r="D98" s="12">
        <v>2.8199999999999999E-2</v>
      </c>
      <c r="E98" s="12">
        <v>0.19209999999999999</v>
      </c>
      <c r="F98" s="12">
        <v>0.19639999999999999</v>
      </c>
      <c r="H98" s="271"/>
      <c r="I98">
        <f t="shared" si="4"/>
        <v>0</v>
      </c>
      <c r="K98" s="342" t="s">
        <v>218</v>
      </c>
      <c r="L98" s="342" t="s">
        <v>217</v>
      </c>
      <c r="M98" s="342" t="str">
        <f t="shared" si="5"/>
        <v>03053 FINLEY SCHOOL DISTRICT</v>
      </c>
      <c r="N98" s="264">
        <v>2.8199999999999999E-2</v>
      </c>
      <c r="O98" s="265">
        <v>0.19209999999999999</v>
      </c>
    </row>
    <row r="99" spans="2:15">
      <c r="B99" s="59" t="s">
        <v>219</v>
      </c>
      <c r="C99" t="s">
        <v>220</v>
      </c>
      <c r="D99" s="12">
        <v>3.5200000000000002E-2</v>
      </c>
      <c r="E99" s="12">
        <v>0.1565</v>
      </c>
      <c r="F99" s="12">
        <v>0.1389</v>
      </c>
      <c r="H99" s="271"/>
      <c r="I99">
        <f t="shared" si="4"/>
        <v>0</v>
      </c>
      <c r="K99" s="342" t="s">
        <v>220</v>
      </c>
      <c r="L99" s="342" t="s">
        <v>219</v>
      </c>
      <c r="M99" s="342" t="str">
        <f t="shared" si="5"/>
        <v>27402 FRANKLIN PIERCE SCHOOL DISTRICT</v>
      </c>
      <c r="N99" s="264">
        <v>3.5200000000000002E-2</v>
      </c>
      <c r="O99" s="265">
        <v>0.1565</v>
      </c>
    </row>
    <row r="100" spans="2:15">
      <c r="B100" s="59" t="s">
        <v>221</v>
      </c>
      <c r="C100" t="s">
        <v>222</v>
      </c>
      <c r="D100" s="12">
        <v>3.1099999999999999E-2</v>
      </c>
      <c r="E100" s="12">
        <v>0.19550000000000001</v>
      </c>
      <c r="F100" s="12">
        <v>0.21640000000000001</v>
      </c>
      <c r="H100" s="271"/>
      <c r="I100">
        <f t="shared" si="4"/>
        <v>0</v>
      </c>
      <c r="K100" s="342" t="s">
        <v>222</v>
      </c>
      <c r="L100" s="342" t="s">
        <v>221</v>
      </c>
      <c r="M100" s="342" t="str">
        <f t="shared" si="5"/>
        <v>32358 FREEMAN SCHOOL DISTRICT</v>
      </c>
      <c r="N100" s="264">
        <v>3.1099999999999999E-2</v>
      </c>
      <c r="O100" s="265">
        <v>0.19550000000000001</v>
      </c>
    </row>
    <row r="101" spans="2:15">
      <c r="B101" s="59" t="s">
        <v>223</v>
      </c>
      <c r="C101" t="s">
        <v>224</v>
      </c>
      <c r="D101" s="12">
        <v>6.0100000000000001E-2</v>
      </c>
      <c r="E101" s="12">
        <v>0.2651</v>
      </c>
      <c r="F101" s="12">
        <v>0.31690000000000002</v>
      </c>
      <c r="H101" s="271"/>
      <c r="I101">
        <f t="shared" si="4"/>
        <v>0</v>
      </c>
      <c r="K101" s="342" t="s">
        <v>224</v>
      </c>
      <c r="L101" s="342" t="s">
        <v>223</v>
      </c>
      <c r="M101" s="342" t="str">
        <f t="shared" si="5"/>
        <v>38302 GARFIELD SCHOOL DISTRICT</v>
      </c>
      <c r="N101" s="264">
        <v>6.0100000000000001E-2</v>
      </c>
      <c r="O101" s="265">
        <v>0.2651</v>
      </c>
    </row>
    <row r="102" spans="2:15">
      <c r="B102" s="59" t="s">
        <v>225</v>
      </c>
      <c r="C102" t="s">
        <v>226</v>
      </c>
      <c r="D102" s="12">
        <v>5.3499999999999999E-2</v>
      </c>
      <c r="E102" s="12">
        <v>0.27979999999999999</v>
      </c>
      <c r="F102" s="12">
        <v>0.29310000000000003</v>
      </c>
      <c r="H102" s="271"/>
      <c r="I102">
        <f t="shared" si="4"/>
        <v>0</v>
      </c>
      <c r="K102" s="342" t="s">
        <v>226</v>
      </c>
      <c r="L102" s="342" t="s">
        <v>225</v>
      </c>
      <c r="M102" s="342" t="str">
        <f t="shared" si="5"/>
        <v>20401 GLENWOOD SCHOOL DISTRICT</v>
      </c>
      <c r="N102" s="264">
        <v>5.3499999999999999E-2</v>
      </c>
      <c r="O102" s="265">
        <v>0.27979999999999999</v>
      </c>
    </row>
    <row r="103" spans="2:15">
      <c r="B103" s="59" t="s">
        <v>227</v>
      </c>
      <c r="C103" t="s">
        <v>228</v>
      </c>
      <c r="D103" s="12">
        <v>6.6299999999999998E-2</v>
      </c>
      <c r="E103" s="12">
        <v>9.0700000000000003E-2</v>
      </c>
      <c r="F103" s="12">
        <v>0.1419</v>
      </c>
      <c r="H103" s="271"/>
      <c r="I103">
        <f t="shared" si="4"/>
        <v>0</v>
      </c>
      <c r="K103" s="342" t="s">
        <v>228</v>
      </c>
      <c r="L103" s="342" t="s">
        <v>227</v>
      </c>
      <c r="M103" s="342" t="str">
        <f t="shared" si="5"/>
        <v>20404 GOLDENDALE SCHOOL DISTRICT</v>
      </c>
      <c r="N103" s="264">
        <v>6.6299999999999998E-2</v>
      </c>
      <c r="O103" s="265">
        <v>9.0700000000000003E-2</v>
      </c>
    </row>
    <row r="104" spans="2:15">
      <c r="B104" s="59" t="s">
        <v>229</v>
      </c>
      <c r="C104" t="s">
        <v>230</v>
      </c>
      <c r="D104" s="12">
        <v>6.2600000000000003E-2</v>
      </c>
      <c r="E104" s="12">
        <v>0.21970000000000001</v>
      </c>
      <c r="F104" s="12">
        <v>0.22389999999999999</v>
      </c>
      <c r="H104" s="271"/>
      <c r="I104">
        <f t="shared" si="4"/>
        <v>0</v>
      </c>
      <c r="K104" s="342" t="s">
        <v>230</v>
      </c>
      <c r="L104" s="342" t="s">
        <v>229</v>
      </c>
      <c r="M104" s="342" t="str">
        <f t="shared" si="5"/>
        <v>13301 GRAND COULEE DAM SCHOOL DISTRICT</v>
      </c>
      <c r="N104" s="264">
        <v>6.2600000000000003E-2</v>
      </c>
      <c r="O104" s="265">
        <v>0.21970000000000001</v>
      </c>
    </row>
    <row r="105" spans="2:15">
      <c r="B105" s="59" t="s">
        <v>231</v>
      </c>
      <c r="C105" t="s">
        <v>232</v>
      </c>
      <c r="D105" s="12">
        <v>6.5299999999999997E-2</v>
      </c>
      <c r="E105" s="12">
        <v>0.17499999999999999</v>
      </c>
      <c r="F105" s="12">
        <v>0.18329999999999999</v>
      </c>
      <c r="H105" s="271"/>
      <c r="I105">
        <f t="shared" si="4"/>
        <v>0</v>
      </c>
      <c r="K105" s="342" t="s">
        <v>232</v>
      </c>
      <c r="L105" s="342" t="s">
        <v>231</v>
      </c>
      <c r="M105" s="342" t="str">
        <f t="shared" si="5"/>
        <v>39200 GRANDVIEW SCHOOL DISTRICT</v>
      </c>
      <c r="N105" s="264">
        <v>6.5299999999999997E-2</v>
      </c>
      <c r="O105" s="265">
        <v>0.17499999999999999</v>
      </c>
    </row>
    <row r="106" spans="2:15">
      <c r="B106" s="59" t="s">
        <v>233</v>
      </c>
      <c r="C106" t="s">
        <v>234</v>
      </c>
      <c r="D106" s="12">
        <v>3.2199999999999999E-2</v>
      </c>
      <c r="E106" s="12">
        <v>0.15790000000000001</v>
      </c>
      <c r="F106" s="12">
        <v>0.1409</v>
      </c>
      <c r="H106" s="271"/>
      <c r="I106">
        <f t="shared" si="4"/>
        <v>0</v>
      </c>
      <c r="K106" s="342" t="s">
        <v>234</v>
      </c>
      <c r="L106" s="342" t="s">
        <v>233</v>
      </c>
      <c r="M106" s="342" t="str">
        <f t="shared" si="5"/>
        <v>39204 GRANGER SCHOOL DISTRICT</v>
      </c>
      <c r="N106" s="264">
        <v>3.2199999999999999E-2</v>
      </c>
      <c r="O106" s="265">
        <v>0.15790000000000001</v>
      </c>
    </row>
    <row r="107" spans="2:15">
      <c r="B107" s="59" t="s">
        <v>235</v>
      </c>
      <c r="C107" t="s">
        <v>236</v>
      </c>
      <c r="D107" s="12">
        <v>3.9300000000000002E-2</v>
      </c>
      <c r="E107" s="12">
        <v>0.15609999999999999</v>
      </c>
      <c r="F107" s="12">
        <v>0.152</v>
      </c>
      <c r="H107" s="271"/>
      <c r="I107">
        <f t="shared" si="4"/>
        <v>0</v>
      </c>
      <c r="K107" s="342" t="s">
        <v>236</v>
      </c>
      <c r="L107" s="342" t="s">
        <v>235</v>
      </c>
      <c r="M107" s="342" t="str">
        <f t="shared" si="5"/>
        <v>31332 GRANITE FALLS SCHOOL DISTRICT</v>
      </c>
      <c r="N107" s="264">
        <v>3.9300000000000002E-2</v>
      </c>
      <c r="O107" s="265">
        <v>0.15609999999999999</v>
      </c>
    </row>
    <row r="108" spans="2:15">
      <c r="B108" s="59" t="s">
        <v>237</v>
      </c>
      <c r="C108" t="s">
        <v>238</v>
      </c>
      <c r="D108" s="12">
        <v>9.2499999999999999E-2</v>
      </c>
      <c r="E108" s="12">
        <v>0.28289999999999998</v>
      </c>
      <c r="F108" s="12">
        <v>0.33689999999999998</v>
      </c>
      <c r="H108" s="271"/>
      <c r="I108">
        <f t="shared" si="4"/>
        <v>0</v>
      </c>
      <c r="K108" s="342" t="s">
        <v>238</v>
      </c>
      <c r="L108" s="342" t="s">
        <v>237</v>
      </c>
      <c r="M108" s="342" t="str">
        <f t="shared" si="5"/>
        <v>23054 GRAPEVIEW SCHOOL DISTRICT</v>
      </c>
      <c r="N108" s="264">
        <v>9.2499999999999999E-2</v>
      </c>
      <c r="O108" s="265">
        <v>0.28289999999999998</v>
      </c>
    </row>
    <row r="109" spans="2:15">
      <c r="B109" s="59" t="s">
        <v>239</v>
      </c>
      <c r="C109" t="s">
        <v>240</v>
      </c>
      <c r="D109" s="12">
        <v>9.5500000000000002E-2</v>
      </c>
      <c r="E109" s="12">
        <v>0.26529999999999998</v>
      </c>
      <c r="F109" s="12">
        <v>0.3372</v>
      </c>
      <c r="H109" s="271"/>
      <c r="I109">
        <f t="shared" si="4"/>
        <v>0</v>
      </c>
      <c r="K109" s="342" t="s">
        <v>240</v>
      </c>
      <c r="L109" s="342" t="s">
        <v>239</v>
      </c>
      <c r="M109" s="342" t="str">
        <f t="shared" si="5"/>
        <v>32312 GREAT NORTHERN SCHOOL DISTRICT</v>
      </c>
      <c r="N109" s="264">
        <v>9.5500000000000002E-2</v>
      </c>
      <c r="O109" s="265">
        <v>0.26529999999999998</v>
      </c>
    </row>
    <row r="110" spans="2:15">
      <c r="B110" s="59" t="s">
        <v>241</v>
      </c>
      <c r="C110" t="s">
        <v>242</v>
      </c>
      <c r="D110" s="12">
        <v>5.8500000000000003E-2</v>
      </c>
      <c r="E110" s="12">
        <v>0.31569999999999998</v>
      </c>
      <c r="F110" s="12">
        <v>0.34639999999999999</v>
      </c>
      <c r="H110" s="271"/>
      <c r="I110">
        <f t="shared" si="4"/>
        <v>0</v>
      </c>
      <c r="K110" s="342" t="s">
        <v>242</v>
      </c>
      <c r="L110" s="342" t="s">
        <v>241</v>
      </c>
      <c r="M110" s="342" t="str">
        <f t="shared" si="5"/>
        <v>06103 GREEN MOUNTAIN SCHOOL DISTRICT</v>
      </c>
      <c r="N110" s="264">
        <v>5.8500000000000003E-2</v>
      </c>
      <c r="O110" s="265">
        <v>0.31569999999999998</v>
      </c>
    </row>
    <row r="111" spans="2:15">
      <c r="B111" s="59" t="s">
        <v>243</v>
      </c>
      <c r="C111" t="s">
        <v>244</v>
      </c>
      <c r="D111" s="12">
        <v>3.95E-2</v>
      </c>
      <c r="E111" s="12">
        <v>0.2447</v>
      </c>
      <c r="F111" s="12">
        <v>0.25990000000000002</v>
      </c>
      <c r="H111" s="271"/>
      <c r="I111">
        <f t="shared" si="4"/>
        <v>0</v>
      </c>
      <c r="K111" s="342" t="s">
        <v>244</v>
      </c>
      <c r="L111" s="342" t="s">
        <v>243</v>
      </c>
      <c r="M111" s="342" t="str">
        <f t="shared" si="5"/>
        <v>34324 GRIFFIN SCHOOL DISTRICT</v>
      </c>
      <c r="N111" s="264">
        <v>3.95E-2</v>
      </c>
      <c r="O111" s="265">
        <v>0.2447</v>
      </c>
    </row>
    <row r="112" spans="2:15">
      <c r="B112" s="59" t="s">
        <v>245</v>
      </c>
      <c r="C112" t="s">
        <v>246</v>
      </c>
      <c r="D112" s="12">
        <v>4.4699999999999997E-2</v>
      </c>
      <c r="E112" s="12">
        <v>0.17929999999999999</v>
      </c>
      <c r="F112" s="12">
        <v>0.1171</v>
      </c>
      <c r="H112" s="271"/>
      <c r="I112">
        <f t="shared" si="4"/>
        <v>0</v>
      </c>
      <c r="K112" s="342" t="s">
        <v>246</v>
      </c>
      <c r="L112" s="342" t="s">
        <v>245</v>
      </c>
      <c r="M112" s="342" t="str">
        <f t="shared" si="5"/>
        <v>22204 HARRINGTON SCHOOL DISTRICT</v>
      </c>
      <c r="N112" s="264">
        <v>4.4699999999999997E-2</v>
      </c>
      <c r="O112" s="265">
        <v>0.17929999999999999</v>
      </c>
    </row>
    <row r="113" spans="2:15">
      <c r="B113" s="59" t="s">
        <v>247</v>
      </c>
      <c r="C113" t="s">
        <v>248</v>
      </c>
      <c r="D113" s="12">
        <v>5.4199999999999998E-2</v>
      </c>
      <c r="E113" s="12">
        <v>0.19869999999999999</v>
      </c>
      <c r="F113" s="12">
        <v>0.20150000000000001</v>
      </c>
      <c r="H113" s="271"/>
      <c r="I113">
        <f t="shared" si="4"/>
        <v>0</v>
      </c>
      <c r="K113" s="342" t="s">
        <v>248</v>
      </c>
      <c r="L113" s="342" t="s">
        <v>247</v>
      </c>
      <c r="M113" s="342" t="str">
        <f t="shared" si="5"/>
        <v>39203 HIGHLAND SCHOOL DISTRICT</v>
      </c>
      <c r="N113" s="264">
        <v>5.4199999999999998E-2</v>
      </c>
      <c r="O113" s="265">
        <v>0.19869999999999999</v>
      </c>
    </row>
    <row r="114" spans="2:15">
      <c r="B114" s="59" t="s">
        <v>249</v>
      </c>
      <c r="C114" t="s">
        <v>250</v>
      </c>
      <c r="D114" s="12">
        <v>3.85E-2</v>
      </c>
      <c r="E114" s="12">
        <v>0.1396</v>
      </c>
      <c r="F114" s="12">
        <v>0.14280000000000001</v>
      </c>
      <c r="H114" s="271"/>
      <c r="I114">
        <f t="shared" si="4"/>
        <v>0</v>
      </c>
      <c r="K114" s="342" t="s">
        <v>250</v>
      </c>
      <c r="L114" s="342" t="s">
        <v>249</v>
      </c>
      <c r="M114" s="342" t="str">
        <f t="shared" si="5"/>
        <v>17401 HIGHLINE SCHOOL DISTRICT</v>
      </c>
      <c r="N114" s="264">
        <v>3.85E-2</v>
      </c>
      <c r="O114" s="265">
        <v>0.1396</v>
      </c>
    </row>
    <row r="115" spans="2:15">
      <c r="B115" s="59" t="s">
        <v>251</v>
      </c>
      <c r="C115" t="s">
        <v>252</v>
      </c>
      <c r="D115" s="12">
        <v>5.3100000000000001E-2</v>
      </c>
      <c r="E115" s="12">
        <v>0.19239999999999999</v>
      </c>
      <c r="F115" s="12">
        <v>0.16289999999999999</v>
      </c>
      <c r="H115" s="271"/>
      <c r="I115">
        <f t="shared" si="4"/>
        <v>0</v>
      </c>
      <c r="K115" s="342" t="s">
        <v>252</v>
      </c>
      <c r="L115" s="342" t="s">
        <v>251</v>
      </c>
      <c r="M115" s="342" t="str">
        <f t="shared" si="5"/>
        <v>06098 HOCKINSON SCHOOL DISTRICT</v>
      </c>
      <c r="N115" s="264">
        <v>5.3100000000000001E-2</v>
      </c>
      <c r="O115" s="265">
        <v>0.19239999999999999</v>
      </c>
    </row>
    <row r="116" spans="2:15">
      <c r="B116" s="59" t="s">
        <v>253</v>
      </c>
      <c r="C116" t="s">
        <v>254</v>
      </c>
      <c r="D116" s="12">
        <v>7.1400000000000005E-2</v>
      </c>
      <c r="E116" s="12">
        <v>0.2225</v>
      </c>
      <c r="F116" s="12">
        <v>0.22109999999999999</v>
      </c>
      <c r="H116" s="271"/>
      <c r="I116">
        <f t="shared" si="4"/>
        <v>0</v>
      </c>
      <c r="K116" s="342" t="s">
        <v>254</v>
      </c>
      <c r="L116" s="342" t="s">
        <v>253</v>
      </c>
      <c r="M116" s="342" t="str">
        <f t="shared" si="5"/>
        <v>23404 HOOD CANAL SCHOOL DISTRICT</v>
      </c>
      <c r="N116" s="264">
        <v>7.1400000000000005E-2</v>
      </c>
      <c r="O116" s="265">
        <v>0.2225</v>
      </c>
    </row>
    <row r="117" spans="2:15">
      <c r="B117" s="59" t="s">
        <v>255</v>
      </c>
      <c r="C117" t="s">
        <v>256</v>
      </c>
      <c r="D117" s="12">
        <v>4.0500000000000001E-2</v>
      </c>
      <c r="E117" s="12">
        <v>0.2011</v>
      </c>
      <c r="F117" s="12">
        <v>0.21560000000000001</v>
      </c>
      <c r="H117" s="271"/>
      <c r="I117">
        <f t="shared" si="4"/>
        <v>0</v>
      </c>
      <c r="K117" s="342" t="s">
        <v>256</v>
      </c>
      <c r="L117" s="342" t="s">
        <v>255</v>
      </c>
      <c r="M117" s="342" t="str">
        <f t="shared" si="5"/>
        <v>14028 HOQUIAM SCHOOL DISTRICT</v>
      </c>
      <c r="N117" s="264">
        <v>4.0500000000000001E-2</v>
      </c>
      <c r="O117" s="265">
        <v>0.2011</v>
      </c>
    </row>
    <row r="118" spans="2:15">
      <c r="B118" s="351" t="s">
        <v>257</v>
      </c>
      <c r="C118" t="s">
        <v>1198</v>
      </c>
      <c r="D118" s="12">
        <v>0.08</v>
      </c>
      <c r="E118" s="12">
        <v>0.1</v>
      </c>
      <c r="F118" s="12">
        <v>0.1</v>
      </c>
      <c r="H118" s="271"/>
      <c r="I118">
        <f t="shared" si="4"/>
        <v>0</v>
      </c>
      <c r="K118" s="342" t="s">
        <v>941</v>
      </c>
      <c r="L118" s="343" t="s">
        <v>257</v>
      </c>
      <c r="M118" s="343" t="str">
        <f>CONCATENATE(L118," ",K118," CHARTER")</f>
        <v>27902 IMPACT TACOMA CHARTER</v>
      </c>
      <c r="N118" s="264">
        <v>0.08</v>
      </c>
      <c r="O118" s="265">
        <v>0.1</v>
      </c>
    </row>
    <row r="119" spans="2:15">
      <c r="B119" s="348" t="s">
        <v>259</v>
      </c>
      <c r="C119" t="s">
        <v>1199</v>
      </c>
      <c r="D119" s="12">
        <v>0.08</v>
      </c>
      <c r="E119" s="12">
        <v>0.1</v>
      </c>
      <c r="F119" s="12">
        <v>0.1</v>
      </c>
      <c r="H119" s="271"/>
      <c r="I119">
        <f t="shared" si="4"/>
        <v>0</v>
      </c>
      <c r="K119" s="342" t="s">
        <v>260</v>
      </c>
      <c r="L119" s="343" t="s">
        <v>259</v>
      </c>
      <c r="M119" s="343" t="str">
        <f>CONCATENATE(L119," ",K119," CHARTER")</f>
        <v>17911 IMPACT PUGET SOUND CHARTER</v>
      </c>
      <c r="N119" s="264">
        <v>0.08</v>
      </c>
      <c r="O119" s="265">
        <v>0.1</v>
      </c>
    </row>
    <row r="120" spans="2:15">
      <c r="B120" s="59" t="s">
        <v>261</v>
      </c>
      <c r="C120" t="s">
        <v>1200</v>
      </c>
      <c r="D120" s="12">
        <v>0.08</v>
      </c>
      <c r="E120" s="12">
        <v>0.1</v>
      </c>
      <c r="F120" s="12">
        <v>0.1</v>
      </c>
      <c r="H120" s="271"/>
      <c r="I120">
        <f t="shared" si="4"/>
        <v>0</v>
      </c>
      <c r="K120" s="342" t="s">
        <v>262</v>
      </c>
      <c r="L120" s="343" t="s">
        <v>261</v>
      </c>
      <c r="M120" s="343" t="str">
        <f>CONCATENATE(L120," ",K120," CHARTER")</f>
        <v>17916 IMPACT SALISH SEA CHARTER</v>
      </c>
      <c r="N120" s="264">
        <v>0.08</v>
      </c>
      <c r="O120" s="265">
        <v>0.1</v>
      </c>
    </row>
    <row r="121" spans="2:15">
      <c r="B121" s="59" t="s">
        <v>263</v>
      </c>
      <c r="C121" t="s">
        <v>264</v>
      </c>
      <c r="D121" s="12">
        <v>9.6600000000000005E-2</v>
      </c>
      <c r="E121" s="12">
        <v>0.3281</v>
      </c>
      <c r="F121" s="12">
        <v>0.37530000000000002</v>
      </c>
      <c r="H121" s="271"/>
      <c r="I121">
        <f t="shared" si="4"/>
        <v>0</v>
      </c>
      <c r="K121" s="342" t="s">
        <v>264</v>
      </c>
      <c r="L121" s="342" t="s">
        <v>263</v>
      </c>
      <c r="M121" s="342" t="str">
        <f t="shared" ref="M121:M146" si="6">CONCATENATE(L121," ",K121," SCHOOL DISTRICT")</f>
        <v>10070 INCHELIUM SCHOOL DISTRICT</v>
      </c>
      <c r="N121" s="264">
        <v>9.6600000000000005E-2</v>
      </c>
      <c r="O121" s="265">
        <v>0.3281</v>
      </c>
    </row>
    <row r="122" spans="2:15">
      <c r="B122" s="59" t="s">
        <v>265</v>
      </c>
      <c r="C122" t="s">
        <v>266</v>
      </c>
      <c r="D122" s="12">
        <v>0.26629999999999998</v>
      </c>
      <c r="E122" s="12">
        <v>0.56259999999999999</v>
      </c>
      <c r="F122" s="12">
        <v>0.56110000000000004</v>
      </c>
      <c r="H122" s="271"/>
      <c r="I122">
        <f t="shared" si="4"/>
        <v>0</v>
      </c>
      <c r="K122" s="342" t="s">
        <v>266</v>
      </c>
      <c r="L122" s="342" t="s">
        <v>265</v>
      </c>
      <c r="M122" s="342" t="str">
        <f t="shared" si="6"/>
        <v>31063 INDEX SCHOOL DISTRICT</v>
      </c>
      <c r="N122" s="264">
        <v>0.26629999999999998</v>
      </c>
      <c r="O122" s="265">
        <v>0.56259999999999999</v>
      </c>
    </row>
    <row r="123" spans="2:15">
      <c r="B123" s="59" t="s">
        <v>267</v>
      </c>
      <c r="C123" t="s">
        <v>268</v>
      </c>
      <c r="D123" s="12">
        <v>2.8899999999999999E-2</v>
      </c>
      <c r="E123" s="12">
        <v>0.12770000000000001</v>
      </c>
      <c r="F123" s="12">
        <v>0.12820000000000001</v>
      </c>
      <c r="H123" s="271"/>
      <c r="I123">
        <f t="shared" si="4"/>
        <v>0</v>
      </c>
      <c r="K123" s="342" t="s">
        <v>268</v>
      </c>
      <c r="L123" s="342" t="s">
        <v>267</v>
      </c>
      <c r="M123" s="342" t="str">
        <f t="shared" si="6"/>
        <v>17411 ISSAQUAH SCHOOL DISTRICT</v>
      </c>
      <c r="N123" s="264">
        <v>2.8899999999999999E-2</v>
      </c>
      <c r="O123" s="265">
        <v>0.12770000000000001</v>
      </c>
    </row>
    <row r="124" spans="2:15">
      <c r="B124" s="59" t="s">
        <v>269</v>
      </c>
      <c r="C124" t="s">
        <v>270</v>
      </c>
      <c r="D124" s="12">
        <v>6.7400000000000002E-2</v>
      </c>
      <c r="E124" s="12">
        <v>0.51029999999999998</v>
      </c>
      <c r="F124" s="12">
        <v>0.41439999999999999</v>
      </c>
      <c r="H124" s="271"/>
      <c r="I124">
        <f t="shared" si="4"/>
        <v>0</v>
      </c>
      <c r="K124" s="342" t="s">
        <v>270</v>
      </c>
      <c r="L124" s="342" t="s">
        <v>269</v>
      </c>
      <c r="M124" s="342" t="str">
        <f t="shared" si="6"/>
        <v>11056 KAHLOTUS SCHOOL DISTRICT</v>
      </c>
      <c r="N124" s="264">
        <v>6.7400000000000002E-2</v>
      </c>
      <c r="O124" s="265">
        <v>0.51029999999999998</v>
      </c>
    </row>
    <row r="125" spans="2:15">
      <c r="B125" s="59" t="s">
        <v>271</v>
      </c>
      <c r="C125" t="s">
        <v>272</v>
      </c>
      <c r="D125" s="12">
        <v>3.6600000000000001E-2</v>
      </c>
      <c r="E125" s="12">
        <v>0.20050000000000001</v>
      </c>
      <c r="F125" s="12">
        <v>0.1714</v>
      </c>
      <c r="H125" s="271"/>
      <c r="I125">
        <f t="shared" si="4"/>
        <v>0</v>
      </c>
      <c r="K125" s="342" t="s">
        <v>272</v>
      </c>
      <c r="L125" s="342" t="s">
        <v>271</v>
      </c>
      <c r="M125" s="342" t="str">
        <f t="shared" si="6"/>
        <v>08402 KALAMA SCHOOL DISTRICT</v>
      </c>
      <c r="N125" s="264">
        <v>3.6600000000000001E-2</v>
      </c>
      <c r="O125" s="265">
        <v>0.20050000000000001</v>
      </c>
    </row>
    <row r="126" spans="2:15">
      <c r="B126" s="59" t="s">
        <v>273</v>
      </c>
      <c r="C126" t="s">
        <v>274</v>
      </c>
      <c r="D126" s="12">
        <v>2.4299999999999999E-2</v>
      </c>
      <c r="E126" s="12">
        <v>0.25609999999999999</v>
      </c>
      <c r="F126" s="12">
        <v>0.20730000000000001</v>
      </c>
      <c r="H126" s="271"/>
      <c r="I126">
        <f t="shared" si="4"/>
        <v>0</v>
      </c>
      <c r="K126" s="342" t="s">
        <v>274</v>
      </c>
      <c r="L126" s="342" t="s">
        <v>273</v>
      </c>
      <c r="M126" s="342" t="str">
        <f t="shared" si="6"/>
        <v>10003 KELLER SCHOOL DISTRICT</v>
      </c>
      <c r="N126" s="264">
        <v>2.4299999999999999E-2</v>
      </c>
      <c r="O126" s="265">
        <v>0.25609999999999999</v>
      </c>
    </row>
    <row r="127" spans="2:15">
      <c r="B127" s="59" t="s">
        <v>275</v>
      </c>
      <c r="C127" t="s">
        <v>276</v>
      </c>
      <c r="D127" s="12">
        <v>5.2900000000000003E-2</v>
      </c>
      <c r="E127" s="12">
        <v>0.16020000000000001</v>
      </c>
      <c r="F127" s="12">
        <v>0.16869999999999999</v>
      </c>
      <c r="H127" s="271"/>
      <c r="I127">
        <f t="shared" si="4"/>
        <v>0</v>
      </c>
      <c r="K127" s="342" t="s">
        <v>276</v>
      </c>
      <c r="L127" s="342" t="s">
        <v>275</v>
      </c>
      <c r="M127" s="342" t="str">
        <f t="shared" si="6"/>
        <v>08458 KELSO SCHOOL DISTRICT</v>
      </c>
      <c r="N127" s="264">
        <v>5.2900000000000003E-2</v>
      </c>
      <c r="O127" s="265">
        <v>0.16020000000000001</v>
      </c>
    </row>
    <row r="128" spans="2:15">
      <c r="B128" s="59" t="s">
        <v>277</v>
      </c>
      <c r="C128" t="s">
        <v>278</v>
      </c>
      <c r="D128" s="12">
        <v>4.99E-2</v>
      </c>
      <c r="E128" s="12">
        <v>0.1215</v>
      </c>
      <c r="F128" s="12">
        <v>0.1096</v>
      </c>
      <c r="H128" s="271"/>
      <c r="I128">
        <f t="shared" si="4"/>
        <v>0</v>
      </c>
      <c r="K128" s="342" t="s">
        <v>278</v>
      </c>
      <c r="L128" s="342" t="s">
        <v>277</v>
      </c>
      <c r="M128" s="342" t="str">
        <f t="shared" si="6"/>
        <v>03017 KENNEWICK SCHOOL DISTRICT</v>
      </c>
      <c r="N128" s="264">
        <v>4.99E-2</v>
      </c>
      <c r="O128" s="265">
        <v>0.1215</v>
      </c>
    </row>
    <row r="129" spans="2:15">
      <c r="B129" s="59" t="s">
        <v>279</v>
      </c>
      <c r="C129" t="s">
        <v>280</v>
      </c>
      <c r="D129" s="12">
        <v>4.2900000000000001E-2</v>
      </c>
      <c r="E129" s="12">
        <v>0.12180000000000001</v>
      </c>
      <c r="F129" s="12">
        <v>0.11550000000000001</v>
      </c>
      <c r="H129" s="271"/>
      <c r="I129">
        <f t="shared" si="4"/>
        <v>0</v>
      </c>
      <c r="K129" s="342" t="s">
        <v>280</v>
      </c>
      <c r="L129" s="342" t="s">
        <v>279</v>
      </c>
      <c r="M129" s="342" t="str">
        <f t="shared" si="6"/>
        <v>17415 KENT SCHOOL DISTRICT</v>
      </c>
      <c r="N129" s="264">
        <v>4.2900000000000001E-2</v>
      </c>
      <c r="O129" s="265">
        <v>0.12180000000000001</v>
      </c>
    </row>
    <row r="130" spans="2:15">
      <c r="B130" s="59" t="s">
        <v>281</v>
      </c>
      <c r="C130" t="s">
        <v>282</v>
      </c>
      <c r="D130" s="12">
        <v>4.7199999999999999E-2</v>
      </c>
      <c r="E130" s="12">
        <v>0.1646</v>
      </c>
      <c r="F130" s="12">
        <v>0.16750000000000001</v>
      </c>
      <c r="H130" s="271"/>
      <c r="I130">
        <f t="shared" si="4"/>
        <v>0</v>
      </c>
      <c r="K130" s="342" t="s">
        <v>282</v>
      </c>
      <c r="L130" s="342" t="s">
        <v>281</v>
      </c>
      <c r="M130" s="342" t="str">
        <f t="shared" si="6"/>
        <v>33212 KETTLE FALLS SCHOOL DISTRICT</v>
      </c>
      <c r="N130" s="264">
        <v>4.7199999999999999E-2</v>
      </c>
      <c r="O130" s="265">
        <v>0.1646</v>
      </c>
    </row>
    <row r="131" spans="2:15">
      <c r="B131" s="59" t="s">
        <v>283</v>
      </c>
      <c r="C131" t="s">
        <v>1201</v>
      </c>
      <c r="D131" s="12">
        <v>7.6499999999999999E-2</v>
      </c>
      <c r="E131" s="12">
        <v>0.1988</v>
      </c>
      <c r="F131" s="12">
        <v>0.19570000000000001</v>
      </c>
      <c r="H131" s="271"/>
      <c r="I131">
        <f t="shared" si="4"/>
        <v>0</v>
      </c>
      <c r="K131" s="342" t="s">
        <v>284</v>
      </c>
      <c r="L131" s="342" t="s">
        <v>283</v>
      </c>
      <c r="M131" s="342" t="str">
        <f t="shared" si="6"/>
        <v>03052 KIONA BENTON SCHOOL DISTRICT</v>
      </c>
      <c r="N131" s="264">
        <v>6.5100000000000005E-2</v>
      </c>
      <c r="O131" s="265">
        <v>0.1988</v>
      </c>
    </row>
    <row r="132" spans="2:15">
      <c r="B132" s="59" t="s">
        <v>285</v>
      </c>
      <c r="C132" t="s">
        <v>286</v>
      </c>
      <c r="D132" s="12">
        <v>5.4800000000000001E-2</v>
      </c>
      <c r="E132" s="12">
        <v>0.28960000000000002</v>
      </c>
      <c r="F132" s="12">
        <v>0.31459999999999999</v>
      </c>
      <c r="H132" s="271"/>
      <c r="I132">
        <f t="shared" si="4"/>
        <v>0</v>
      </c>
      <c r="K132" s="342" t="s">
        <v>286</v>
      </c>
      <c r="L132" s="342" t="s">
        <v>285</v>
      </c>
      <c r="M132" s="342" t="str">
        <f t="shared" si="6"/>
        <v>19403 KITTITAS SCHOOL DISTRICT</v>
      </c>
      <c r="N132" s="264">
        <v>5.4800000000000001E-2</v>
      </c>
      <c r="O132" s="265">
        <v>0.28960000000000002</v>
      </c>
    </row>
    <row r="133" spans="2:15">
      <c r="B133" s="59" t="s">
        <v>287</v>
      </c>
      <c r="C133" t="s">
        <v>288</v>
      </c>
      <c r="D133" s="12">
        <v>7.8200000000000006E-2</v>
      </c>
      <c r="E133" s="12">
        <v>0.3866</v>
      </c>
      <c r="F133" s="12">
        <v>0.42</v>
      </c>
      <c r="H133" s="271"/>
      <c r="I133">
        <f t="shared" si="4"/>
        <v>0</v>
      </c>
      <c r="K133" s="342" t="s">
        <v>288</v>
      </c>
      <c r="L133" s="342" t="s">
        <v>287</v>
      </c>
      <c r="M133" s="342" t="str">
        <f t="shared" si="6"/>
        <v>20402 KLICKITAT SCHOOL DISTRICT</v>
      </c>
      <c r="N133" s="264">
        <v>7.8200000000000006E-2</v>
      </c>
      <c r="O133" s="265">
        <v>0.3866</v>
      </c>
    </row>
    <row r="134" spans="2:15">
      <c r="B134" s="59" t="s">
        <v>289</v>
      </c>
      <c r="C134" t="s">
        <v>290</v>
      </c>
      <c r="D134" s="12">
        <v>6.5799999999999997E-2</v>
      </c>
      <c r="E134" s="12">
        <v>0.1973</v>
      </c>
      <c r="F134" s="12">
        <v>0.18759999999999999</v>
      </c>
      <c r="H134" s="271"/>
      <c r="I134">
        <f t="shared" si="4"/>
        <v>0</v>
      </c>
      <c r="K134" s="342" t="s">
        <v>290</v>
      </c>
      <c r="L134" s="342" t="s">
        <v>289</v>
      </c>
      <c r="M134" s="342" t="str">
        <f t="shared" si="6"/>
        <v>29311 LA CONNER SCHOOL DISTRICT</v>
      </c>
      <c r="N134" s="264">
        <v>6.5799999999999997E-2</v>
      </c>
      <c r="O134" s="265">
        <v>0.1973</v>
      </c>
    </row>
    <row r="135" spans="2:15">
      <c r="B135" s="59" t="s">
        <v>291</v>
      </c>
      <c r="C135" t="s">
        <v>1202</v>
      </c>
      <c r="D135" s="12">
        <v>4.1000000000000002E-2</v>
      </c>
      <c r="E135" s="12">
        <v>0.18140000000000001</v>
      </c>
      <c r="F135" s="12">
        <v>0.18110000000000001</v>
      </c>
      <c r="H135" s="271"/>
      <c r="I135">
        <f t="shared" si="4"/>
        <v>0</v>
      </c>
      <c r="K135" s="342" t="s">
        <v>292</v>
      </c>
      <c r="L135" s="342" t="s">
        <v>291</v>
      </c>
      <c r="M135" s="342" t="str">
        <f t="shared" si="6"/>
        <v>06101 LACENTER SCHOOL DISTRICT</v>
      </c>
      <c r="N135" s="264">
        <v>4.1000000000000002E-2</v>
      </c>
      <c r="O135" s="265">
        <v>0.18140000000000001</v>
      </c>
    </row>
    <row r="136" spans="2:15">
      <c r="B136" s="59" t="s">
        <v>293</v>
      </c>
      <c r="C136" t="s">
        <v>1203</v>
      </c>
      <c r="D136" s="12">
        <v>3.5200000000000002E-2</v>
      </c>
      <c r="E136" s="12">
        <v>0.26369999999999999</v>
      </c>
      <c r="F136" s="12">
        <v>0.2291</v>
      </c>
      <c r="H136" s="271"/>
      <c r="I136">
        <f t="shared" ref="I136:I199" si="7">+L136-B136</f>
        <v>0</v>
      </c>
      <c r="K136" s="342" t="s">
        <v>294</v>
      </c>
      <c r="L136" s="342" t="s">
        <v>293</v>
      </c>
      <c r="M136" s="342" t="str">
        <f t="shared" si="6"/>
        <v>38126 LACROSSE JOINT SCHOOL DISTRICT</v>
      </c>
      <c r="N136" s="264">
        <v>3.5200000000000002E-2</v>
      </c>
      <c r="O136" s="265">
        <v>0.26369999999999999</v>
      </c>
    </row>
    <row r="137" spans="2:15">
      <c r="B137" s="59" t="s">
        <v>295</v>
      </c>
      <c r="C137" t="s">
        <v>296</v>
      </c>
      <c r="D137" s="12">
        <v>2.6700000000000002E-2</v>
      </c>
      <c r="E137" s="12">
        <v>0.1764</v>
      </c>
      <c r="F137" s="12">
        <v>0.1648</v>
      </c>
      <c r="H137" s="271"/>
      <c r="I137">
        <f t="shared" si="7"/>
        <v>0</v>
      </c>
      <c r="K137" s="342" t="s">
        <v>296</v>
      </c>
      <c r="L137" s="342" t="s">
        <v>295</v>
      </c>
      <c r="M137" s="342" t="str">
        <f t="shared" si="6"/>
        <v>04129 LAKE CHELAN SCHOOL DISTRICT</v>
      </c>
      <c r="N137" s="264">
        <v>2.6700000000000002E-2</v>
      </c>
      <c r="O137" s="265">
        <v>0.1764</v>
      </c>
    </row>
    <row r="138" spans="2:15">
      <c r="B138" s="59" t="s">
        <v>297</v>
      </c>
      <c r="C138" t="s">
        <v>298</v>
      </c>
      <c r="D138" s="12">
        <v>4.02E-2</v>
      </c>
      <c r="E138" s="12">
        <v>0.14499999999999999</v>
      </c>
      <c r="F138" s="12">
        <v>0.14369999999999999</v>
      </c>
      <c r="H138" s="271"/>
      <c r="I138">
        <f t="shared" si="7"/>
        <v>0</v>
      </c>
      <c r="K138" s="342" t="s">
        <v>298</v>
      </c>
      <c r="L138" s="342" t="s">
        <v>297</v>
      </c>
      <c r="M138" s="342" t="str">
        <f t="shared" si="6"/>
        <v>31004 LAKE STEVENS SCHOOL DISTRICT</v>
      </c>
      <c r="N138" s="264">
        <v>4.02E-2</v>
      </c>
      <c r="O138" s="265">
        <v>0.14499999999999999</v>
      </c>
    </row>
    <row r="139" spans="2:15">
      <c r="B139" s="59" t="s">
        <v>299</v>
      </c>
      <c r="C139" t="s">
        <v>300</v>
      </c>
      <c r="D139" s="12">
        <v>3.95E-2</v>
      </c>
      <c r="E139" s="12">
        <v>0.1172</v>
      </c>
      <c r="F139" s="12">
        <v>0.12230000000000001</v>
      </c>
      <c r="H139" s="271"/>
      <c r="I139">
        <f t="shared" si="7"/>
        <v>0</v>
      </c>
      <c r="K139" s="342" t="s">
        <v>300</v>
      </c>
      <c r="L139" s="342" t="s">
        <v>299</v>
      </c>
      <c r="M139" s="342" t="str">
        <f t="shared" si="6"/>
        <v>17414 LAKE WASHINGTON SCHOOL DISTRICT</v>
      </c>
      <c r="N139" s="264">
        <v>3.95E-2</v>
      </c>
      <c r="O139" s="265">
        <v>0.1172</v>
      </c>
    </row>
    <row r="140" spans="2:15">
      <c r="B140" s="59" t="s">
        <v>301</v>
      </c>
      <c r="C140" t="s">
        <v>302</v>
      </c>
      <c r="D140" s="12">
        <v>6.1100000000000002E-2</v>
      </c>
      <c r="E140" s="12">
        <v>0.1762</v>
      </c>
      <c r="F140" s="12">
        <v>0.17369999999999999</v>
      </c>
      <c r="H140" s="271"/>
      <c r="I140">
        <f t="shared" si="7"/>
        <v>0</v>
      </c>
      <c r="K140" s="342" t="s">
        <v>302</v>
      </c>
      <c r="L140" s="342" t="s">
        <v>301</v>
      </c>
      <c r="M140" s="342" t="str">
        <f t="shared" si="6"/>
        <v>31306 LAKEWOOD SCHOOL DISTRICT</v>
      </c>
      <c r="N140" s="264">
        <v>6.1100000000000002E-2</v>
      </c>
      <c r="O140" s="265">
        <v>0.1762</v>
      </c>
    </row>
    <row r="141" spans="2:15">
      <c r="B141" s="59" t="s">
        <v>303</v>
      </c>
      <c r="C141" t="s">
        <v>304</v>
      </c>
      <c r="D141" s="12">
        <v>0.2198</v>
      </c>
      <c r="E141" s="12">
        <v>0.39319999999999999</v>
      </c>
      <c r="F141" s="12">
        <v>0.38319999999999999</v>
      </c>
      <c r="H141" s="271"/>
      <c r="I141">
        <f t="shared" si="7"/>
        <v>0</v>
      </c>
      <c r="K141" s="342" t="s">
        <v>304</v>
      </c>
      <c r="L141" s="342" t="s">
        <v>303</v>
      </c>
      <c r="M141" s="342" t="str">
        <f t="shared" si="6"/>
        <v>38264 LAMONT SCHOOL DISTRICT</v>
      </c>
      <c r="N141" s="264">
        <v>0.2198</v>
      </c>
      <c r="O141" s="265">
        <v>0.39319999999999999</v>
      </c>
    </row>
    <row r="142" spans="2:15">
      <c r="B142" s="59" t="s">
        <v>305</v>
      </c>
      <c r="C142" t="s">
        <v>306</v>
      </c>
      <c r="D142" s="12">
        <v>2.3699999999999999E-2</v>
      </c>
      <c r="E142" s="12">
        <v>0.2276</v>
      </c>
      <c r="F142" s="12">
        <v>0.24149999999999999</v>
      </c>
      <c r="H142" s="271"/>
      <c r="I142">
        <f t="shared" si="7"/>
        <v>0</v>
      </c>
      <c r="K142" s="342" t="s">
        <v>306</v>
      </c>
      <c r="L142" s="342" t="s">
        <v>305</v>
      </c>
      <c r="M142" s="342" t="str">
        <f t="shared" si="6"/>
        <v>32362 LIBERTY SCHOOL DISTRICT</v>
      </c>
      <c r="N142" s="264">
        <v>2.3699999999999999E-2</v>
      </c>
      <c r="O142" s="265">
        <v>0.2276</v>
      </c>
    </row>
    <row r="143" spans="2:15">
      <c r="B143" s="59" t="s">
        <v>307</v>
      </c>
      <c r="C143" t="s">
        <v>308</v>
      </c>
      <c r="D143" s="12">
        <v>5.4899999999999997E-2</v>
      </c>
      <c r="E143" s="12">
        <v>0.1925</v>
      </c>
      <c r="F143" s="12">
        <v>0.22109999999999999</v>
      </c>
      <c r="H143" s="271"/>
      <c r="I143">
        <f t="shared" si="7"/>
        <v>0</v>
      </c>
      <c r="K143" s="342" t="s">
        <v>308</v>
      </c>
      <c r="L143" s="342" t="s">
        <v>307</v>
      </c>
      <c r="M143" s="342" t="str">
        <f t="shared" si="6"/>
        <v>01158 LIND SCHOOL DISTRICT</v>
      </c>
      <c r="N143" s="264">
        <v>5.4899999999999997E-2</v>
      </c>
      <c r="O143" s="265">
        <v>0.1925</v>
      </c>
    </row>
    <row r="144" spans="2:15">
      <c r="B144" s="59" t="s">
        <v>309</v>
      </c>
      <c r="C144" t="s">
        <v>310</v>
      </c>
      <c r="D144" s="12">
        <v>5.8799999999999998E-2</v>
      </c>
      <c r="E144" s="12">
        <v>0.17710000000000001</v>
      </c>
      <c r="F144" s="12">
        <v>0.17330000000000001</v>
      </c>
      <c r="H144" s="271"/>
      <c r="I144">
        <f t="shared" si="7"/>
        <v>0</v>
      </c>
      <c r="K144" s="342" t="s">
        <v>310</v>
      </c>
      <c r="L144" s="342" t="s">
        <v>309</v>
      </c>
      <c r="M144" s="342" t="str">
        <f t="shared" si="6"/>
        <v>08122 LONGVIEW SCHOOL DISTRICT</v>
      </c>
      <c r="N144" s="264">
        <v>5.8799999999999998E-2</v>
      </c>
      <c r="O144" s="265">
        <v>0.17710000000000001</v>
      </c>
    </row>
    <row r="145" spans="2:15">
      <c r="B145" s="59" t="s">
        <v>311</v>
      </c>
      <c r="C145" t="s">
        <v>312</v>
      </c>
      <c r="D145" s="12">
        <v>0.14829999999999999</v>
      </c>
      <c r="E145" s="12">
        <v>0.29470000000000002</v>
      </c>
      <c r="F145" s="12">
        <v>0.30230000000000001</v>
      </c>
      <c r="H145" s="271"/>
      <c r="I145">
        <f t="shared" si="7"/>
        <v>0</v>
      </c>
      <c r="K145" s="342" t="s">
        <v>312</v>
      </c>
      <c r="L145" s="342" t="s">
        <v>311</v>
      </c>
      <c r="M145" s="342" t="str">
        <f t="shared" si="6"/>
        <v>33183 LOON LAKE SCHOOL DISTRICT</v>
      </c>
      <c r="N145" s="264">
        <v>0.14829999999999999</v>
      </c>
      <c r="O145" s="265">
        <v>0.29470000000000002</v>
      </c>
    </row>
    <row r="146" spans="2:15">
      <c r="B146" s="59" t="s">
        <v>313</v>
      </c>
      <c r="C146" t="s">
        <v>1204</v>
      </c>
      <c r="D146" s="12">
        <v>0.111</v>
      </c>
      <c r="E146" s="12">
        <v>0.29070000000000001</v>
      </c>
      <c r="F146" s="12">
        <v>0.31309999999999999</v>
      </c>
      <c r="H146" s="271"/>
      <c r="I146">
        <f t="shared" si="7"/>
        <v>0</v>
      </c>
      <c r="K146" s="342" t="s">
        <v>314</v>
      </c>
      <c r="L146" s="342" t="s">
        <v>313</v>
      </c>
      <c r="M146" s="342" t="str">
        <f t="shared" si="6"/>
        <v>28144 LOPEZ SCHOOL DISTRICT</v>
      </c>
      <c r="N146" s="264">
        <v>0.111</v>
      </c>
      <c r="O146" s="265">
        <v>0.29070000000000001</v>
      </c>
    </row>
    <row r="147" spans="2:15">
      <c r="B147" s="59" t="s">
        <v>315</v>
      </c>
      <c r="C147" t="s">
        <v>1205</v>
      </c>
      <c r="D147" s="12">
        <v>0.08</v>
      </c>
      <c r="E147" s="12">
        <v>0.1</v>
      </c>
      <c r="F147" s="12">
        <v>0.1</v>
      </c>
      <c r="H147" s="271"/>
      <c r="I147">
        <f t="shared" si="7"/>
        <v>0</v>
      </c>
      <c r="K147" s="342" t="s">
        <v>316</v>
      </c>
      <c r="L147" s="261" t="s">
        <v>315</v>
      </c>
      <c r="M147" s="343" t="str">
        <f>CONCATENATE(L147," ",K147," CHARTER")</f>
        <v>32903 LUMEN CHARTER</v>
      </c>
      <c r="N147" s="264">
        <v>0.08</v>
      </c>
      <c r="O147" s="265">
        <v>0.1</v>
      </c>
    </row>
    <row r="148" spans="2:15">
      <c r="B148" s="59" t="s">
        <v>317</v>
      </c>
      <c r="C148" t="s">
        <v>1206</v>
      </c>
      <c r="D148" s="12">
        <v>0.08</v>
      </c>
      <c r="E148" s="12">
        <v>0.1</v>
      </c>
      <c r="F148" s="12">
        <v>0.1</v>
      </c>
      <c r="H148" s="271"/>
      <c r="I148">
        <f t="shared" si="7"/>
        <v>0</v>
      </c>
      <c r="K148" s="342" t="s">
        <v>972</v>
      </c>
      <c r="L148" s="342" t="s">
        <v>317</v>
      </c>
      <c r="M148" s="345" t="str">
        <f>CONCATENATE(L148," ",K148," TRIBAL COMPACT")</f>
        <v>37903 LUMMI TRIBAL COMPACT</v>
      </c>
      <c r="N148" s="264">
        <v>0.08</v>
      </c>
      <c r="O148" s="265">
        <v>0.1</v>
      </c>
    </row>
    <row r="149" spans="2:15">
      <c r="B149" s="59" t="s">
        <v>319</v>
      </c>
      <c r="C149" t="s">
        <v>320</v>
      </c>
      <c r="D149" s="12">
        <v>2.98E-2</v>
      </c>
      <c r="E149" s="12">
        <v>0.20580000000000001</v>
      </c>
      <c r="F149" s="12">
        <v>0.2175</v>
      </c>
      <c r="H149" s="271"/>
      <c r="I149">
        <f t="shared" si="7"/>
        <v>0</v>
      </c>
      <c r="K149" s="342" t="s">
        <v>320</v>
      </c>
      <c r="L149" s="342" t="s">
        <v>319</v>
      </c>
      <c r="M149" s="342" t="str">
        <f t="shared" ref="M149:M172" si="8">CONCATENATE(L149," ",K149," SCHOOL DISTRICT")</f>
        <v>20406 LYLE SCHOOL DISTRICT</v>
      </c>
      <c r="N149" s="264">
        <v>2.98E-2</v>
      </c>
      <c r="O149" s="265">
        <v>0.20580000000000001</v>
      </c>
    </row>
    <row r="150" spans="2:15">
      <c r="B150" s="59" t="s">
        <v>321</v>
      </c>
      <c r="C150" t="s">
        <v>322</v>
      </c>
      <c r="D150" s="12">
        <v>4.4200000000000003E-2</v>
      </c>
      <c r="E150" s="12">
        <v>0.13500000000000001</v>
      </c>
      <c r="F150" s="12">
        <v>0.13020000000000001</v>
      </c>
      <c r="H150" s="271"/>
      <c r="I150">
        <f t="shared" si="7"/>
        <v>0</v>
      </c>
      <c r="K150" s="342" t="s">
        <v>322</v>
      </c>
      <c r="L150" s="342" t="s">
        <v>321</v>
      </c>
      <c r="M150" s="342" t="str">
        <f t="shared" si="8"/>
        <v>37504 LYNDEN SCHOOL DISTRICT</v>
      </c>
      <c r="N150" s="264">
        <v>4.4200000000000003E-2</v>
      </c>
      <c r="O150" s="265">
        <v>0.13500000000000001</v>
      </c>
    </row>
    <row r="151" spans="2:15">
      <c r="B151" s="59" t="s">
        <v>323</v>
      </c>
      <c r="C151" t="s">
        <v>324</v>
      </c>
      <c r="D151" s="12">
        <v>6.93E-2</v>
      </c>
      <c r="E151" s="12">
        <v>0.22120000000000001</v>
      </c>
      <c r="F151" s="12">
        <v>0.22209999999999999</v>
      </c>
      <c r="H151" s="271"/>
      <c r="I151">
        <f t="shared" si="7"/>
        <v>0</v>
      </c>
      <c r="K151" s="342" t="s">
        <v>324</v>
      </c>
      <c r="L151" s="342" t="s">
        <v>323</v>
      </c>
      <c r="M151" s="342" t="str">
        <f t="shared" si="8"/>
        <v>39120 MABTON SCHOOL DISTRICT</v>
      </c>
      <c r="N151" s="264">
        <v>6.93E-2</v>
      </c>
      <c r="O151" s="265">
        <v>0.22120000000000001</v>
      </c>
    </row>
    <row r="152" spans="2:15">
      <c r="B152" s="59" t="s">
        <v>325</v>
      </c>
      <c r="C152" t="s">
        <v>326</v>
      </c>
      <c r="D152" s="12">
        <v>2.4199999999999999E-2</v>
      </c>
      <c r="E152" s="12">
        <v>0.31080000000000002</v>
      </c>
      <c r="F152" s="12">
        <v>0.2908</v>
      </c>
      <c r="H152" s="271"/>
      <c r="I152">
        <f t="shared" si="7"/>
        <v>0</v>
      </c>
      <c r="K152" s="342" t="s">
        <v>326</v>
      </c>
      <c r="L152" s="342" t="s">
        <v>325</v>
      </c>
      <c r="M152" s="342" t="str">
        <f t="shared" si="8"/>
        <v>09207 MANSFIELD SCHOOL DISTRICT</v>
      </c>
      <c r="N152" s="264">
        <v>2.4199999999999999E-2</v>
      </c>
      <c r="O152" s="265">
        <v>0.31080000000000002</v>
      </c>
    </row>
    <row r="153" spans="2:15">
      <c r="B153" s="59" t="s">
        <v>327</v>
      </c>
      <c r="C153" t="s">
        <v>328</v>
      </c>
      <c r="D153" s="12">
        <v>3.9699999999999999E-2</v>
      </c>
      <c r="E153" s="12">
        <v>0.17560000000000001</v>
      </c>
      <c r="F153" s="12">
        <v>0.17699999999999999</v>
      </c>
      <c r="H153" s="271"/>
      <c r="I153">
        <f t="shared" si="7"/>
        <v>0</v>
      </c>
      <c r="K153" s="342" t="s">
        <v>328</v>
      </c>
      <c r="L153" s="342" t="s">
        <v>327</v>
      </c>
      <c r="M153" s="342" t="str">
        <f t="shared" si="8"/>
        <v>04019 MANSON SCHOOL DISTRICT</v>
      </c>
      <c r="N153" s="264">
        <v>3.9699999999999999E-2</v>
      </c>
      <c r="O153" s="265">
        <v>0.17560000000000001</v>
      </c>
    </row>
    <row r="154" spans="2:15">
      <c r="B154" s="59" t="s">
        <v>329</v>
      </c>
      <c r="C154" t="s">
        <v>1207</v>
      </c>
      <c r="D154" s="12">
        <v>2.5000000000000001E-3</v>
      </c>
      <c r="E154" s="12">
        <v>3.8899999999999997E-2</v>
      </c>
      <c r="F154" s="12">
        <v>6.1600000000000002E-2</v>
      </c>
      <c r="H154" s="271"/>
      <c r="I154">
        <f t="shared" si="7"/>
        <v>0</v>
      </c>
      <c r="K154" s="342" t="s">
        <v>330</v>
      </c>
      <c r="L154" s="342" t="s">
        <v>329</v>
      </c>
      <c r="M154" s="342" t="str">
        <f t="shared" si="8"/>
        <v>23311 MARY M KNIGHT SCHOOL DISTRICT</v>
      </c>
      <c r="N154" s="264">
        <v>2.5000000000000001E-3</v>
      </c>
      <c r="O154" s="265">
        <v>3.8899999999999997E-2</v>
      </c>
    </row>
    <row r="155" spans="2:15">
      <c r="B155" s="59" t="s">
        <v>331</v>
      </c>
      <c r="C155" t="s">
        <v>332</v>
      </c>
      <c r="D155" s="12">
        <v>7.3899999999999993E-2</v>
      </c>
      <c r="E155" s="12">
        <v>0.24879999999999999</v>
      </c>
      <c r="F155" s="12">
        <v>0.25440000000000002</v>
      </c>
      <c r="H155" s="271"/>
      <c r="I155">
        <f t="shared" si="7"/>
        <v>0</v>
      </c>
      <c r="K155" s="342" t="s">
        <v>332</v>
      </c>
      <c r="L155" s="342" t="s">
        <v>331</v>
      </c>
      <c r="M155" s="342" t="str">
        <f t="shared" si="8"/>
        <v>33207 MARY WALKER SCHOOL DISTRICT</v>
      </c>
      <c r="N155" s="264">
        <v>7.3899999999999993E-2</v>
      </c>
      <c r="O155" s="265">
        <v>0.24879999999999999</v>
      </c>
    </row>
    <row r="156" spans="2:15">
      <c r="B156" s="59" t="s">
        <v>333</v>
      </c>
      <c r="C156" t="s">
        <v>334</v>
      </c>
      <c r="D156" s="12">
        <v>4.53E-2</v>
      </c>
      <c r="E156" s="12">
        <v>0.14349999999999999</v>
      </c>
      <c r="F156" s="12">
        <v>0.13469999999999999</v>
      </c>
      <c r="H156" s="271"/>
      <c r="I156">
        <f t="shared" si="7"/>
        <v>0</v>
      </c>
      <c r="K156" s="342" t="s">
        <v>334</v>
      </c>
      <c r="L156" s="342" t="s">
        <v>333</v>
      </c>
      <c r="M156" s="342" t="str">
        <f t="shared" si="8"/>
        <v>31025 MARYSVILLE SCHOOL DISTRICT</v>
      </c>
      <c r="N156" s="264">
        <v>4.53E-2</v>
      </c>
      <c r="O156" s="265">
        <v>0.14349999999999999</v>
      </c>
    </row>
    <row r="157" spans="2:15">
      <c r="B157" s="59" t="s">
        <v>335</v>
      </c>
      <c r="C157" t="s">
        <v>1208</v>
      </c>
      <c r="D157" s="12">
        <v>4.6600000000000003E-2</v>
      </c>
      <c r="E157" s="12">
        <v>0.24809999999999999</v>
      </c>
      <c r="F157" s="12">
        <v>0.24740000000000001</v>
      </c>
      <c r="H157" s="271"/>
      <c r="I157">
        <f t="shared" si="7"/>
        <v>0</v>
      </c>
      <c r="K157" s="342" t="s">
        <v>336</v>
      </c>
      <c r="L157" s="342" t="s">
        <v>335</v>
      </c>
      <c r="M157" s="342" t="str">
        <f t="shared" si="8"/>
        <v>14065 MC CLEARY SCHOOL DISTRICT</v>
      </c>
      <c r="N157" s="264">
        <v>4.6600000000000003E-2</v>
      </c>
      <c r="O157" s="265">
        <v>0.24809999999999999</v>
      </c>
    </row>
    <row r="158" spans="2:15">
      <c r="B158" s="59" t="s">
        <v>337</v>
      </c>
      <c r="C158" t="s">
        <v>338</v>
      </c>
      <c r="D158" s="12">
        <v>4.1200000000000001E-2</v>
      </c>
      <c r="E158" s="12">
        <v>0.14230000000000001</v>
      </c>
      <c r="F158" s="12">
        <v>0.14319999999999999</v>
      </c>
      <c r="H158" s="271"/>
      <c r="I158">
        <f t="shared" si="7"/>
        <v>0</v>
      </c>
      <c r="K158" s="342" t="s">
        <v>338</v>
      </c>
      <c r="L158" s="342" t="s">
        <v>337</v>
      </c>
      <c r="M158" s="342" t="str">
        <f t="shared" si="8"/>
        <v>32354 MEAD SCHOOL DISTRICT</v>
      </c>
      <c r="N158" s="264">
        <v>4.1200000000000001E-2</v>
      </c>
      <c r="O158" s="265">
        <v>0.14230000000000001</v>
      </c>
    </row>
    <row r="159" spans="2:15">
      <c r="B159" s="59" t="s">
        <v>339</v>
      </c>
      <c r="C159" t="s">
        <v>340</v>
      </c>
      <c r="D159" s="12">
        <v>4.6899999999999997E-2</v>
      </c>
      <c r="E159" s="12">
        <v>0.1925</v>
      </c>
      <c r="F159" s="12">
        <v>0.19819999999999999</v>
      </c>
      <c r="H159" s="271"/>
      <c r="I159">
        <f t="shared" si="7"/>
        <v>0</v>
      </c>
      <c r="K159" s="342" t="s">
        <v>340</v>
      </c>
      <c r="L159" s="342" t="s">
        <v>339</v>
      </c>
      <c r="M159" s="342" t="str">
        <f t="shared" si="8"/>
        <v>32326 MEDICAL LAKE SCHOOL DISTRICT</v>
      </c>
      <c r="N159" s="264">
        <v>4.6899999999999997E-2</v>
      </c>
      <c r="O159" s="265">
        <v>0.1925</v>
      </c>
    </row>
    <row r="160" spans="2:15">
      <c r="B160" s="59" t="s">
        <v>341</v>
      </c>
      <c r="C160" t="s">
        <v>342</v>
      </c>
      <c r="D160" s="12">
        <v>3.8800000000000001E-2</v>
      </c>
      <c r="E160" s="12">
        <v>0.15590000000000001</v>
      </c>
      <c r="F160" s="12">
        <v>0.154</v>
      </c>
      <c r="H160" s="271"/>
      <c r="I160">
        <f t="shared" si="7"/>
        <v>0</v>
      </c>
      <c r="K160" s="342" t="s">
        <v>342</v>
      </c>
      <c r="L160" s="342" t="s">
        <v>341</v>
      </c>
      <c r="M160" s="342" t="str">
        <f t="shared" si="8"/>
        <v>17400 MERCER ISLAND SCHOOL DISTRICT</v>
      </c>
      <c r="N160" s="264">
        <v>3.8800000000000001E-2</v>
      </c>
      <c r="O160" s="265">
        <v>0.15590000000000001</v>
      </c>
    </row>
    <row r="161" spans="2:15">
      <c r="B161" s="59" t="s">
        <v>343</v>
      </c>
      <c r="C161" t="s">
        <v>344</v>
      </c>
      <c r="D161" s="12">
        <v>6.1400000000000003E-2</v>
      </c>
      <c r="E161" s="12">
        <v>0.2218</v>
      </c>
      <c r="F161" s="12">
        <v>0.21929999999999999</v>
      </c>
      <c r="H161" s="271"/>
      <c r="I161">
        <f t="shared" si="7"/>
        <v>0</v>
      </c>
      <c r="K161" s="342" t="s">
        <v>344</v>
      </c>
      <c r="L161" s="342" t="s">
        <v>343</v>
      </c>
      <c r="M161" s="342" t="str">
        <f t="shared" si="8"/>
        <v>37505 MERIDIAN SCHOOL DISTRICT</v>
      </c>
      <c r="N161" s="264">
        <v>6.1400000000000003E-2</v>
      </c>
      <c r="O161" s="265">
        <v>0.2218</v>
      </c>
    </row>
    <row r="162" spans="2:15">
      <c r="B162" s="59" t="s">
        <v>345</v>
      </c>
      <c r="C162" t="s">
        <v>346</v>
      </c>
      <c r="D162" s="12">
        <v>4.2299999999999997E-2</v>
      </c>
      <c r="E162" s="12">
        <v>0.2024</v>
      </c>
      <c r="F162" s="12">
        <v>0.19650000000000001</v>
      </c>
      <c r="H162" s="271"/>
      <c r="I162">
        <f t="shared" si="7"/>
        <v>0</v>
      </c>
      <c r="K162" s="342" t="s">
        <v>346</v>
      </c>
      <c r="L162" s="342" t="s">
        <v>345</v>
      </c>
      <c r="M162" s="342" t="str">
        <f t="shared" si="8"/>
        <v>24350 METHOW VALLEY SCHOOL DISTRICT</v>
      </c>
      <c r="N162" s="264">
        <v>4.2299999999999997E-2</v>
      </c>
      <c r="O162" s="265">
        <v>0.2024</v>
      </c>
    </row>
    <row r="163" spans="2:15">
      <c r="B163" s="59" t="s">
        <v>347</v>
      </c>
      <c r="C163" t="s">
        <v>348</v>
      </c>
      <c r="D163" s="12">
        <v>8.8300000000000003E-2</v>
      </c>
      <c r="E163" s="12">
        <v>0.28349999999999997</v>
      </c>
      <c r="F163" s="12">
        <v>0.32979999999999998</v>
      </c>
      <c r="H163" s="271"/>
      <c r="I163">
        <f t="shared" si="7"/>
        <v>0</v>
      </c>
      <c r="K163" s="342" t="s">
        <v>348</v>
      </c>
      <c r="L163" s="342" t="s">
        <v>347</v>
      </c>
      <c r="M163" s="342" t="str">
        <f t="shared" si="8"/>
        <v>30031 MILL A SCHOOL DISTRICT</v>
      </c>
      <c r="N163" s="264">
        <v>8.8300000000000003E-2</v>
      </c>
      <c r="O163" s="265">
        <v>0.28349999999999997</v>
      </c>
    </row>
    <row r="164" spans="2:15">
      <c r="B164" s="59" t="s">
        <v>349</v>
      </c>
      <c r="C164" t="s">
        <v>350</v>
      </c>
      <c r="D164" s="12">
        <v>5.0799999999999998E-2</v>
      </c>
      <c r="E164" s="12">
        <v>0.17780000000000001</v>
      </c>
      <c r="F164" s="12">
        <v>0.20300000000000001</v>
      </c>
      <c r="H164" s="271"/>
      <c r="I164">
        <f t="shared" si="7"/>
        <v>0</v>
      </c>
      <c r="K164" s="342" t="s">
        <v>350</v>
      </c>
      <c r="L164" s="342" t="s">
        <v>349</v>
      </c>
      <c r="M164" s="342" t="str">
        <f t="shared" si="8"/>
        <v>31103 MONROE SCHOOL DISTRICT</v>
      </c>
      <c r="N164" s="264">
        <v>5.0799999999999998E-2</v>
      </c>
      <c r="O164" s="265">
        <v>0.17780000000000001</v>
      </c>
    </row>
    <row r="165" spans="2:15">
      <c r="B165" s="59" t="s">
        <v>351</v>
      </c>
      <c r="C165" t="s">
        <v>352</v>
      </c>
      <c r="D165" s="12">
        <v>1.84E-2</v>
      </c>
      <c r="E165" s="12">
        <v>0.12670000000000001</v>
      </c>
      <c r="F165" s="12">
        <v>0.1128</v>
      </c>
      <c r="H165" s="271"/>
      <c r="I165">
        <f t="shared" si="7"/>
        <v>0</v>
      </c>
      <c r="K165" s="342" t="s">
        <v>352</v>
      </c>
      <c r="L165" s="342" t="s">
        <v>351</v>
      </c>
      <c r="M165" s="342" t="str">
        <f t="shared" si="8"/>
        <v>14066 MONTESANO SCHOOL DISTRICT</v>
      </c>
      <c r="N165" s="264">
        <v>1.84E-2</v>
      </c>
      <c r="O165" s="265">
        <v>0.12670000000000001</v>
      </c>
    </row>
    <row r="166" spans="2:15">
      <c r="B166" s="59" t="s">
        <v>353</v>
      </c>
      <c r="C166" t="s">
        <v>354</v>
      </c>
      <c r="D166" s="12">
        <v>3.3399999999999999E-2</v>
      </c>
      <c r="E166" s="12">
        <v>0.25280000000000002</v>
      </c>
      <c r="F166" s="12">
        <v>0.2311</v>
      </c>
      <c r="H166" s="271"/>
      <c r="I166">
        <f t="shared" si="7"/>
        <v>0</v>
      </c>
      <c r="K166" s="342" t="s">
        <v>354</v>
      </c>
      <c r="L166" s="342" t="s">
        <v>353</v>
      </c>
      <c r="M166" s="342" t="str">
        <f t="shared" si="8"/>
        <v>21214 MORTON SCHOOL DISTRICT</v>
      </c>
      <c r="N166" s="264">
        <v>3.3399999999999999E-2</v>
      </c>
      <c r="O166" s="265">
        <v>0.25280000000000002</v>
      </c>
    </row>
    <row r="167" spans="2:15">
      <c r="B167" s="59" t="s">
        <v>355</v>
      </c>
      <c r="C167" t="s">
        <v>356</v>
      </c>
      <c r="D167" s="12">
        <v>4.1500000000000002E-2</v>
      </c>
      <c r="E167" s="12">
        <v>0.1512</v>
      </c>
      <c r="F167" s="12">
        <v>0.1419</v>
      </c>
      <c r="H167" s="271"/>
      <c r="I167">
        <f t="shared" si="7"/>
        <v>0</v>
      </c>
      <c r="K167" s="342" t="s">
        <v>356</v>
      </c>
      <c r="L167" s="342" t="s">
        <v>355</v>
      </c>
      <c r="M167" s="342" t="str">
        <f t="shared" si="8"/>
        <v>13161 MOSES LAKE SCHOOL DISTRICT</v>
      </c>
      <c r="N167" s="264">
        <v>4.1500000000000002E-2</v>
      </c>
      <c r="O167" s="265">
        <v>0.1512</v>
      </c>
    </row>
    <row r="168" spans="2:15">
      <c r="B168" s="59" t="s">
        <v>357</v>
      </c>
      <c r="C168" t="s">
        <v>358</v>
      </c>
      <c r="D168" s="12">
        <v>3.7699999999999997E-2</v>
      </c>
      <c r="E168" s="12">
        <v>0.1946</v>
      </c>
      <c r="F168" s="12">
        <v>0.2238</v>
      </c>
      <c r="H168" s="271"/>
      <c r="I168">
        <f t="shared" si="7"/>
        <v>0</v>
      </c>
      <c r="K168" s="342" t="s">
        <v>358</v>
      </c>
      <c r="L168" s="342" t="s">
        <v>357</v>
      </c>
      <c r="M168" s="342" t="str">
        <f t="shared" si="8"/>
        <v>21206 MOSSYROCK SCHOOL DISTRICT</v>
      </c>
      <c r="N168" s="264">
        <v>3.7699999999999997E-2</v>
      </c>
      <c r="O168" s="265">
        <v>0.1946</v>
      </c>
    </row>
    <row r="169" spans="2:15">
      <c r="B169" s="59" t="s">
        <v>359</v>
      </c>
      <c r="C169" t="s">
        <v>360</v>
      </c>
      <c r="D169" s="12">
        <v>6.8000000000000005E-2</v>
      </c>
      <c r="E169" s="12">
        <v>0.30109999999999998</v>
      </c>
      <c r="F169" s="12">
        <v>0.24129999999999999</v>
      </c>
      <c r="H169" s="271"/>
      <c r="I169">
        <f t="shared" si="7"/>
        <v>0</v>
      </c>
      <c r="K169" s="342" t="s">
        <v>360</v>
      </c>
      <c r="L169" s="342" t="s">
        <v>359</v>
      </c>
      <c r="M169" s="342" t="str">
        <f t="shared" si="8"/>
        <v>39209 MOUNT ADAMS SCHOOL DISTRICT</v>
      </c>
      <c r="N169" s="264">
        <v>6.8000000000000005E-2</v>
      </c>
      <c r="O169" s="265">
        <v>0.30109999999999998</v>
      </c>
    </row>
    <row r="170" spans="2:15">
      <c r="B170" s="59" t="s">
        <v>361</v>
      </c>
      <c r="C170" t="s">
        <v>362</v>
      </c>
      <c r="D170" s="12">
        <v>4.2799999999999998E-2</v>
      </c>
      <c r="E170" s="12">
        <v>0.15429999999999999</v>
      </c>
      <c r="F170" s="12">
        <v>0.1484</v>
      </c>
      <c r="H170" s="271"/>
      <c r="I170">
        <f t="shared" si="7"/>
        <v>0</v>
      </c>
      <c r="K170" s="342" t="s">
        <v>362</v>
      </c>
      <c r="L170" s="342" t="s">
        <v>361</v>
      </c>
      <c r="M170" s="342" t="str">
        <f t="shared" si="8"/>
        <v>37507 MOUNT BAKER SCHOOL DISTRICT</v>
      </c>
      <c r="N170" s="264">
        <v>4.2799999999999998E-2</v>
      </c>
      <c r="O170" s="265">
        <v>0.15429999999999999</v>
      </c>
    </row>
    <row r="171" spans="2:15">
      <c r="B171" s="59" t="s">
        <v>363</v>
      </c>
      <c r="C171" t="s">
        <v>364</v>
      </c>
      <c r="D171" s="12">
        <v>3.0499999999999999E-2</v>
      </c>
      <c r="E171" s="12">
        <v>0.30409999999999998</v>
      </c>
      <c r="F171" s="12">
        <v>0.2477</v>
      </c>
      <c r="H171" s="271"/>
      <c r="I171">
        <f t="shared" si="7"/>
        <v>0</v>
      </c>
      <c r="K171" s="342" t="s">
        <v>364</v>
      </c>
      <c r="L171" s="342" t="s">
        <v>363</v>
      </c>
      <c r="M171" s="342" t="str">
        <f t="shared" si="8"/>
        <v>30029 MOUNT PLEASANT SCHOOL DISTRICT</v>
      </c>
      <c r="N171" s="264">
        <v>3.0499999999999999E-2</v>
      </c>
      <c r="O171" s="265">
        <v>0.30409999999999998</v>
      </c>
    </row>
    <row r="172" spans="2:15">
      <c r="B172" s="59" t="s">
        <v>365</v>
      </c>
      <c r="C172" t="s">
        <v>1209</v>
      </c>
      <c r="D172" s="12">
        <v>4.3799999999999999E-2</v>
      </c>
      <c r="E172" s="12">
        <v>0.1203</v>
      </c>
      <c r="F172" s="12">
        <v>0.1171</v>
      </c>
      <c r="H172" s="271"/>
      <c r="I172">
        <f t="shared" si="7"/>
        <v>0</v>
      </c>
      <c r="K172" s="342" t="s">
        <v>366</v>
      </c>
      <c r="L172" s="342" t="s">
        <v>365</v>
      </c>
      <c r="M172" s="342" t="str">
        <f t="shared" si="8"/>
        <v>29320 MT VERNON SCHOOL DISTRICT</v>
      </c>
      <c r="N172" s="264">
        <v>4.3799999999999999E-2</v>
      </c>
      <c r="O172" s="265">
        <v>0.1203</v>
      </c>
    </row>
    <row r="173" spans="2:15">
      <c r="B173" s="59" t="s">
        <v>367</v>
      </c>
      <c r="C173" t="s">
        <v>1210</v>
      </c>
      <c r="D173" s="12">
        <v>0.08</v>
      </c>
      <c r="E173" s="12">
        <v>0.1</v>
      </c>
      <c r="F173" s="12">
        <v>0.1</v>
      </c>
      <c r="H173" s="271"/>
      <c r="I173">
        <f t="shared" si="7"/>
        <v>0</v>
      </c>
      <c r="K173" s="342" t="s">
        <v>998</v>
      </c>
      <c r="L173" s="342" t="s">
        <v>367</v>
      </c>
      <c r="M173" s="345" t="str">
        <f>CONCATENATE(L173," ",K173," TRIBAL COMPACT")</f>
        <v>17903 MUCKLESHOOT TRIBAL COMPACT</v>
      </c>
      <c r="N173" s="264">
        <v>0.08</v>
      </c>
      <c r="O173" s="265">
        <v>0.1</v>
      </c>
    </row>
    <row r="174" spans="2:15">
      <c r="B174" s="59" t="s">
        <v>369</v>
      </c>
      <c r="C174" t="s">
        <v>370</v>
      </c>
      <c r="D174" s="12">
        <v>3.15E-2</v>
      </c>
      <c r="E174" s="12">
        <v>0.13500000000000001</v>
      </c>
      <c r="F174" s="12">
        <v>0.14399999999999999</v>
      </c>
      <c r="H174" s="271"/>
      <c r="I174">
        <f t="shared" si="7"/>
        <v>0</v>
      </c>
      <c r="K174" s="342" t="s">
        <v>370</v>
      </c>
      <c r="L174" s="342" t="s">
        <v>369</v>
      </c>
      <c r="M174" s="342" t="str">
        <f t="shared" ref="M174:M214" si="9">CONCATENATE(L174," ",K174," SCHOOL DISTRICT")</f>
        <v>31006 MUKILTEO SCHOOL DISTRICT</v>
      </c>
      <c r="N174" s="264">
        <v>3.15E-2</v>
      </c>
      <c r="O174" s="265">
        <v>0.13500000000000001</v>
      </c>
    </row>
    <row r="175" spans="2:15">
      <c r="B175" s="59" t="s">
        <v>371</v>
      </c>
      <c r="C175" t="s">
        <v>372</v>
      </c>
      <c r="D175" s="12">
        <v>5.5E-2</v>
      </c>
      <c r="E175" s="12">
        <v>0.21079999999999999</v>
      </c>
      <c r="F175" s="12">
        <v>0.19439999999999999</v>
      </c>
      <c r="H175" s="271"/>
      <c r="I175">
        <f t="shared" si="7"/>
        <v>0</v>
      </c>
      <c r="K175" s="342" t="s">
        <v>372</v>
      </c>
      <c r="L175" s="342" t="s">
        <v>371</v>
      </c>
      <c r="M175" s="342" t="str">
        <f t="shared" si="9"/>
        <v>39003 NACHES VALLEY SCHOOL DISTRICT</v>
      </c>
      <c r="N175" s="264">
        <v>5.5E-2</v>
      </c>
      <c r="O175" s="265">
        <v>0.21079999999999999</v>
      </c>
    </row>
    <row r="176" spans="2:15">
      <c r="B176" s="59" t="s">
        <v>373</v>
      </c>
      <c r="C176" t="s">
        <v>374</v>
      </c>
      <c r="D176" s="12">
        <v>5.5E-2</v>
      </c>
      <c r="E176" s="12">
        <v>0.19120000000000001</v>
      </c>
      <c r="F176" s="12">
        <v>0.21629999999999999</v>
      </c>
      <c r="H176" s="271"/>
      <c r="I176">
        <f t="shared" si="7"/>
        <v>0</v>
      </c>
      <c r="K176" s="342" t="s">
        <v>374</v>
      </c>
      <c r="L176" s="342" t="s">
        <v>373</v>
      </c>
      <c r="M176" s="342" t="str">
        <f t="shared" si="9"/>
        <v>21014 NAPAVINE SCHOOL DISTRICT</v>
      </c>
      <c r="N176" s="264">
        <v>5.5E-2</v>
      </c>
      <c r="O176" s="265">
        <v>0.19120000000000001</v>
      </c>
    </row>
    <row r="177" spans="2:15">
      <c r="B177" s="59" t="s">
        <v>375</v>
      </c>
      <c r="C177" t="s">
        <v>1211</v>
      </c>
      <c r="D177" s="12">
        <v>7.4000000000000003E-3</v>
      </c>
      <c r="E177" s="12">
        <v>0.15609999999999999</v>
      </c>
      <c r="F177" s="12">
        <v>0.1142</v>
      </c>
      <c r="H177" s="271"/>
      <c r="I177">
        <f t="shared" si="7"/>
        <v>0</v>
      </c>
      <c r="K177" s="342" t="s">
        <v>376</v>
      </c>
      <c r="L177" s="342" t="s">
        <v>375</v>
      </c>
      <c r="M177" s="342" t="str">
        <f t="shared" si="9"/>
        <v>25155 NASELLE GRAYS RIVER SCHOOL DISTRICT</v>
      </c>
      <c r="N177" s="264">
        <v>7.4000000000000003E-3</v>
      </c>
      <c r="O177" s="265">
        <v>0.15609999999999999</v>
      </c>
    </row>
    <row r="178" spans="2:15">
      <c r="B178" s="59" t="s">
        <v>377</v>
      </c>
      <c r="C178" t="s">
        <v>378</v>
      </c>
      <c r="D178" s="12">
        <v>0.1118</v>
      </c>
      <c r="E178" s="12">
        <v>0.25879999999999997</v>
      </c>
      <c r="F178" s="12">
        <v>0.30990000000000001</v>
      </c>
      <c r="H178" s="271"/>
      <c r="I178">
        <f t="shared" si="7"/>
        <v>0</v>
      </c>
      <c r="K178" s="342" t="s">
        <v>378</v>
      </c>
      <c r="L178" s="342" t="s">
        <v>377</v>
      </c>
      <c r="M178" s="342" t="str">
        <f t="shared" si="9"/>
        <v>24014 NESPELEM SCHOOL DISTRICT</v>
      </c>
      <c r="N178" s="264">
        <v>0.1118</v>
      </c>
      <c r="O178" s="265">
        <v>0.25879999999999997</v>
      </c>
    </row>
    <row r="179" spans="2:15">
      <c r="B179" s="59" t="s">
        <v>379</v>
      </c>
      <c r="C179" t="s">
        <v>380</v>
      </c>
      <c r="D179" s="12">
        <v>1.5800000000000002E-2</v>
      </c>
      <c r="E179" s="12">
        <v>0.16589999999999999</v>
      </c>
      <c r="F179" s="12">
        <v>0.152</v>
      </c>
      <c r="H179" s="271"/>
      <c r="I179">
        <f t="shared" si="7"/>
        <v>0</v>
      </c>
      <c r="K179" s="342" t="s">
        <v>380</v>
      </c>
      <c r="L179" s="342" t="s">
        <v>379</v>
      </c>
      <c r="M179" s="342" t="str">
        <f t="shared" si="9"/>
        <v>26056 NEWPORT SCHOOL DISTRICT</v>
      </c>
      <c r="N179" s="264">
        <v>1.5800000000000002E-2</v>
      </c>
      <c r="O179" s="265">
        <v>0.16589999999999999</v>
      </c>
    </row>
    <row r="180" spans="2:15">
      <c r="B180" s="59" t="s">
        <v>381</v>
      </c>
      <c r="C180" t="s">
        <v>382</v>
      </c>
      <c r="D180" s="12">
        <v>3.1600000000000003E-2</v>
      </c>
      <c r="E180" s="12">
        <v>0.20250000000000001</v>
      </c>
      <c r="F180" s="12">
        <v>0.22239999999999999</v>
      </c>
      <c r="H180" s="271"/>
      <c r="I180">
        <f t="shared" si="7"/>
        <v>0</v>
      </c>
      <c r="K180" s="342" t="s">
        <v>382</v>
      </c>
      <c r="L180" s="342" t="s">
        <v>381</v>
      </c>
      <c r="M180" s="342" t="str">
        <f t="shared" si="9"/>
        <v>32325 NINE MILE FALLS SCHOOL DISTRICT</v>
      </c>
      <c r="N180" s="264">
        <v>3.1600000000000003E-2</v>
      </c>
      <c r="O180" s="265">
        <v>0.20250000000000001</v>
      </c>
    </row>
    <row r="181" spans="2:15">
      <c r="B181" s="59" t="s">
        <v>383</v>
      </c>
      <c r="C181" t="s">
        <v>384</v>
      </c>
      <c r="D181" s="12">
        <v>3.1800000000000002E-2</v>
      </c>
      <c r="E181" s="12">
        <v>0.15959999999999999</v>
      </c>
      <c r="F181" s="12">
        <v>0.1477</v>
      </c>
      <c r="H181" s="271"/>
      <c r="I181">
        <f t="shared" si="7"/>
        <v>0</v>
      </c>
      <c r="K181" s="342" t="s">
        <v>384</v>
      </c>
      <c r="L181" s="342" t="s">
        <v>383</v>
      </c>
      <c r="M181" s="342" t="str">
        <f t="shared" si="9"/>
        <v>37506 NOOKSACK VALLEY SCHOOL DISTRICT</v>
      </c>
      <c r="N181" s="264">
        <v>3.1800000000000002E-2</v>
      </c>
      <c r="O181" s="265">
        <v>0.15959999999999999</v>
      </c>
    </row>
    <row r="182" spans="2:15">
      <c r="B182" s="59" t="s">
        <v>385</v>
      </c>
      <c r="C182" t="s">
        <v>386</v>
      </c>
      <c r="D182" s="12">
        <v>3.6799999999999999E-2</v>
      </c>
      <c r="E182" s="12">
        <v>0.222</v>
      </c>
      <c r="F182" s="12">
        <v>0.2082</v>
      </c>
      <c r="H182" s="271"/>
      <c r="I182">
        <f t="shared" si="7"/>
        <v>0</v>
      </c>
      <c r="K182" s="342" t="s">
        <v>386</v>
      </c>
      <c r="L182" s="342" t="s">
        <v>385</v>
      </c>
      <c r="M182" s="342" t="str">
        <f t="shared" si="9"/>
        <v>14064 NORTH BEACH SCHOOL DISTRICT</v>
      </c>
      <c r="N182" s="264">
        <v>3.6799999999999999E-2</v>
      </c>
      <c r="O182" s="265">
        <v>0.222</v>
      </c>
    </row>
    <row r="183" spans="2:15">
      <c r="B183" s="59" t="s">
        <v>387</v>
      </c>
      <c r="C183" t="s">
        <v>388</v>
      </c>
      <c r="D183" s="12">
        <v>2.4799999999999999E-2</v>
      </c>
      <c r="E183" s="12">
        <v>0.1578</v>
      </c>
      <c r="F183" s="12">
        <v>0.16300000000000001</v>
      </c>
      <c r="H183" s="271"/>
      <c r="I183">
        <f t="shared" si="7"/>
        <v>0</v>
      </c>
      <c r="K183" s="342" t="s">
        <v>388</v>
      </c>
      <c r="L183" s="342" t="s">
        <v>387</v>
      </c>
      <c r="M183" s="342" t="str">
        <f t="shared" si="9"/>
        <v>11051 NORTH FRANKLIN SCHOOL DISTRICT</v>
      </c>
      <c r="N183" s="264">
        <v>2.4799999999999999E-2</v>
      </c>
      <c r="O183" s="265">
        <v>0.1578</v>
      </c>
    </row>
    <row r="184" spans="2:15">
      <c r="B184" s="59" t="s">
        <v>389</v>
      </c>
      <c r="C184" t="s">
        <v>390</v>
      </c>
      <c r="D184" s="12">
        <v>8.5900000000000004E-2</v>
      </c>
      <c r="E184" s="12">
        <v>0.19350000000000001</v>
      </c>
      <c r="F184" s="12">
        <v>0.20250000000000001</v>
      </c>
      <c r="H184" s="271"/>
      <c r="I184">
        <f t="shared" si="7"/>
        <v>0</v>
      </c>
      <c r="K184" s="342" t="s">
        <v>390</v>
      </c>
      <c r="L184" s="342" t="s">
        <v>389</v>
      </c>
      <c r="M184" s="342" t="str">
        <f t="shared" si="9"/>
        <v>18400 NORTH KITSAP SCHOOL DISTRICT</v>
      </c>
      <c r="N184" s="264">
        <v>8.5900000000000004E-2</v>
      </c>
      <c r="O184" s="265">
        <v>0.19350000000000001</v>
      </c>
    </row>
    <row r="185" spans="2:15">
      <c r="B185" s="59" t="s">
        <v>391</v>
      </c>
      <c r="C185" t="s">
        <v>392</v>
      </c>
      <c r="D185" s="12">
        <v>2.6100000000000002E-2</v>
      </c>
      <c r="E185" s="12">
        <v>0.17599999999999999</v>
      </c>
      <c r="F185" s="12">
        <v>0.1807</v>
      </c>
      <c r="H185" s="271"/>
      <c r="I185">
        <f t="shared" si="7"/>
        <v>0</v>
      </c>
      <c r="K185" s="342" t="s">
        <v>392</v>
      </c>
      <c r="L185" s="342" t="s">
        <v>391</v>
      </c>
      <c r="M185" s="342" t="str">
        <f t="shared" si="9"/>
        <v>23403 NORTH MASON SCHOOL DISTRICT</v>
      </c>
      <c r="N185" s="264">
        <v>2.6100000000000002E-2</v>
      </c>
      <c r="O185" s="265">
        <v>0.17599999999999999</v>
      </c>
    </row>
    <row r="186" spans="2:15">
      <c r="B186" s="59" t="s">
        <v>393</v>
      </c>
      <c r="C186" t="s">
        <v>394</v>
      </c>
      <c r="D186" s="12">
        <v>0.1308</v>
      </c>
      <c r="E186" s="12">
        <v>0.38490000000000002</v>
      </c>
      <c r="F186" s="12">
        <v>0.29199999999999998</v>
      </c>
      <c r="H186" s="271"/>
      <c r="I186">
        <f t="shared" si="7"/>
        <v>0</v>
      </c>
      <c r="K186" s="342" t="s">
        <v>394</v>
      </c>
      <c r="L186" s="342" t="s">
        <v>393</v>
      </c>
      <c r="M186" s="342" t="str">
        <f t="shared" si="9"/>
        <v>25200 NORTH RIVER SCHOOL DISTRICT</v>
      </c>
      <c r="N186" s="264">
        <v>0.1308</v>
      </c>
      <c r="O186" s="265">
        <v>0.38490000000000002</v>
      </c>
    </row>
    <row r="187" spans="2:15">
      <c r="B187" s="59" t="s">
        <v>395</v>
      </c>
      <c r="C187" t="s">
        <v>396</v>
      </c>
      <c r="D187" s="12">
        <v>4.5699999999999998E-2</v>
      </c>
      <c r="E187" s="12">
        <v>0.1313</v>
      </c>
      <c r="F187" s="12">
        <v>0.13469999999999999</v>
      </c>
      <c r="H187" s="271"/>
      <c r="I187">
        <f t="shared" si="7"/>
        <v>0</v>
      </c>
      <c r="K187" s="342" t="s">
        <v>396</v>
      </c>
      <c r="L187" s="342" t="s">
        <v>395</v>
      </c>
      <c r="M187" s="342" t="str">
        <f t="shared" si="9"/>
        <v>34003 NORTH THURSTON SCHOOL DISTRICT</v>
      </c>
      <c r="N187" s="264">
        <v>4.5699999999999998E-2</v>
      </c>
      <c r="O187" s="265">
        <v>0.1313</v>
      </c>
    </row>
    <row r="188" spans="2:15">
      <c r="B188" s="59" t="s">
        <v>397</v>
      </c>
      <c r="C188" t="s">
        <v>398</v>
      </c>
      <c r="D188" s="12">
        <v>2.2100000000000002E-2</v>
      </c>
      <c r="E188" s="12">
        <v>0.20530000000000001</v>
      </c>
      <c r="F188" s="12">
        <v>0.1905</v>
      </c>
      <c r="H188" s="271"/>
      <c r="I188">
        <f t="shared" si="7"/>
        <v>0</v>
      </c>
      <c r="K188" s="342" t="s">
        <v>398</v>
      </c>
      <c r="L188" s="342" t="s">
        <v>397</v>
      </c>
      <c r="M188" s="342" t="str">
        <f t="shared" si="9"/>
        <v>33211 NORTHPORT SCHOOL DISTRICT</v>
      </c>
      <c r="N188" s="264">
        <v>2.2100000000000002E-2</v>
      </c>
      <c r="O188" s="265">
        <v>0.20530000000000001</v>
      </c>
    </row>
    <row r="189" spans="2:15">
      <c r="B189" s="59" t="s">
        <v>399</v>
      </c>
      <c r="C189" t="s">
        <v>400</v>
      </c>
      <c r="D189" s="12">
        <v>3.5499999999999997E-2</v>
      </c>
      <c r="E189" s="12">
        <v>0.1164</v>
      </c>
      <c r="F189" s="12">
        <v>0.1211</v>
      </c>
      <c r="H189" s="271"/>
      <c r="I189">
        <f t="shared" si="7"/>
        <v>0</v>
      </c>
      <c r="K189" s="342" t="s">
        <v>400</v>
      </c>
      <c r="L189" s="342" t="s">
        <v>399</v>
      </c>
      <c r="M189" s="342" t="str">
        <f t="shared" si="9"/>
        <v>17417 NORTHSHORE SCHOOL DISTRICT</v>
      </c>
      <c r="N189" s="264">
        <v>3.5499999999999997E-2</v>
      </c>
      <c r="O189" s="265">
        <v>0.1164</v>
      </c>
    </row>
    <row r="190" spans="2:15">
      <c r="B190" s="59" t="s">
        <v>401</v>
      </c>
      <c r="C190" t="s">
        <v>402</v>
      </c>
      <c r="D190" s="12">
        <v>3.95E-2</v>
      </c>
      <c r="E190" s="12">
        <v>0.14560000000000001</v>
      </c>
      <c r="F190" s="12">
        <v>0.1326</v>
      </c>
      <c r="H190" s="271"/>
      <c r="I190">
        <f t="shared" si="7"/>
        <v>0</v>
      </c>
      <c r="K190" s="342" t="s">
        <v>402</v>
      </c>
      <c r="L190" s="342" t="s">
        <v>401</v>
      </c>
      <c r="M190" s="342" t="str">
        <f t="shared" si="9"/>
        <v>15201 OAK HARBOR SCHOOL DISTRICT</v>
      </c>
      <c r="N190" s="264">
        <v>3.95E-2</v>
      </c>
      <c r="O190" s="265">
        <v>0.14560000000000001</v>
      </c>
    </row>
    <row r="191" spans="2:15">
      <c r="B191" s="59" t="s">
        <v>403</v>
      </c>
      <c r="C191" t="s">
        <v>404</v>
      </c>
      <c r="D191" s="12">
        <v>3.8100000000000002E-2</v>
      </c>
      <c r="E191" s="12">
        <v>0.27089999999999997</v>
      </c>
      <c r="F191" s="12">
        <v>0.24329999999999999</v>
      </c>
      <c r="H191" s="271"/>
      <c r="I191">
        <f t="shared" si="7"/>
        <v>0</v>
      </c>
      <c r="K191" s="342" t="s">
        <v>404</v>
      </c>
      <c r="L191" s="342" t="s">
        <v>403</v>
      </c>
      <c r="M191" s="342" t="str">
        <f t="shared" si="9"/>
        <v>38324 OAKESDALE SCHOOL DISTRICT</v>
      </c>
      <c r="N191" s="264">
        <v>3.8100000000000002E-2</v>
      </c>
      <c r="O191" s="265">
        <v>0.27089999999999997</v>
      </c>
    </row>
    <row r="192" spans="2:15">
      <c r="B192" s="59" t="s">
        <v>405</v>
      </c>
      <c r="C192" t="s">
        <v>406</v>
      </c>
      <c r="D192" s="12">
        <v>0.23069999999999999</v>
      </c>
      <c r="E192" s="12">
        <v>0.36530000000000001</v>
      </c>
      <c r="F192" s="12">
        <v>0.46239999999999998</v>
      </c>
      <c r="H192" s="271"/>
      <c r="I192">
        <f t="shared" si="7"/>
        <v>0</v>
      </c>
      <c r="K192" s="342" t="s">
        <v>406</v>
      </c>
      <c r="L192" s="342" t="s">
        <v>405</v>
      </c>
      <c r="M192" s="342" t="str">
        <f t="shared" si="9"/>
        <v>14400 OAKVILLE SCHOOL DISTRICT</v>
      </c>
      <c r="N192" s="264">
        <v>0.23069999999999999</v>
      </c>
      <c r="O192" s="265">
        <v>0.36530000000000001</v>
      </c>
    </row>
    <row r="193" spans="2:15">
      <c r="B193" s="59" t="s">
        <v>407</v>
      </c>
      <c r="C193" t="s">
        <v>408</v>
      </c>
      <c r="D193" s="12">
        <v>7.1199999999999999E-2</v>
      </c>
      <c r="E193" s="12">
        <v>0.21360000000000001</v>
      </c>
      <c r="F193" s="12">
        <v>0.2427</v>
      </c>
      <c r="H193" s="271"/>
      <c r="I193">
        <f t="shared" si="7"/>
        <v>0</v>
      </c>
      <c r="K193" s="342" t="s">
        <v>408</v>
      </c>
      <c r="L193" s="342" t="s">
        <v>407</v>
      </c>
      <c r="M193" s="342" t="str">
        <f t="shared" si="9"/>
        <v>25101 OCEAN BEACH SCHOOL DISTRICT</v>
      </c>
      <c r="N193" s="264">
        <v>7.1199999999999999E-2</v>
      </c>
      <c r="O193" s="265">
        <v>0.21360000000000001</v>
      </c>
    </row>
    <row r="194" spans="2:15">
      <c r="B194" s="59" t="s">
        <v>409</v>
      </c>
      <c r="C194" t="s">
        <v>410</v>
      </c>
      <c r="D194" s="12">
        <v>2.5899999999999999E-2</v>
      </c>
      <c r="E194" s="12">
        <v>0.185</v>
      </c>
      <c r="F194" s="12">
        <v>0.1719</v>
      </c>
      <c r="H194" s="271"/>
      <c r="I194">
        <f t="shared" si="7"/>
        <v>0</v>
      </c>
      <c r="K194" s="342" t="s">
        <v>410</v>
      </c>
      <c r="L194" s="342" t="s">
        <v>409</v>
      </c>
      <c r="M194" s="342" t="str">
        <f t="shared" si="9"/>
        <v>14172 OCOSTA SCHOOL DISTRICT</v>
      </c>
      <c r="N194" s="264">
        <v>2.5899999999999999E-2</v>
      </c>
      <c r="O194" s="265">
        <v>0.185</v>
      </c>
    </row>
    <row r="195" spans="2:15">
      <c r="B195" s="59" t="s">
        <v>411</v>
      </c>
      <c r="C195" t="s">
        <v>412</v>
      </c>
      <c r="D195" s="12">
        <v>2.6100000000000002E-2</v>
      </c>
      <c r="E195" s="12">
        <v>0.2112</v>
      </c>
      <c r="F195" s="12">
        <v>0.23100000000000001</v>
      </c>
      <c r="H195" s="271"/>
      <c r="I195">
        <f t="shared" si="7"/>
        <v>0</v>
      </c>
      <c r="K195" s="342" t="s">
        <v>412</v>
      </c>
      <c r="L195" s="342" t="s">
        <v>411</v>
      </c>
      <c r="M195" s="342" t="str">
        <f t="shared" si="9"/>
        <v>22105 ODESSA SCHOOL DISTRICT</v>
      </c>
      <c r="N195" s="264">
        <v>2.6100000000000002E-2</v>
      </c>
      <c r="O195" s="265">
        <v>0.2112</v>
      </c>
    </row>
    <row r="196" spans="2:15">
      <c r="B196" s="59" t="s">
        <v>413</v>
      </c>
      <c r="C196" t="s">
        <v>414</v>
      </c>
      <c r="D196" s="12">
        <v>2.9899999999999999E-2</v>
      </c>
      <c r="E196" s="12">
        <v>0.1961</v>
      </c>
      <c r="F196" s="12">
        <v>0.21729999999999999</v>
      </c>
      <c r="H196" s="271"/>
      <c r="I196">
        <f t="shared" si="7"/>
        <v>0</v>
      </c>
      <c r="K196" s="342" t="s">
        <v>414</v>
      </c>
      <c r="L196" s="342" t="s">
        <v>413</v>
      </c>
      <c r="M196" s="342" t="str">
        <f t="shared" si="9"/>
        <v>24105 OKANOGAN SCHOOL DISTRICT</v>
      </c>
      <c r="N196" s="264">
        <v>2.9899999999999999E-2</v>
      </c>
      <c r="O196" s="265">
        <v>0.1961</v>
      </c>
    </row>
    <row r="197" spans="2:15">
      <c r="B197" s="59" t="s">
        <v>415</v>
      </c>
      <c r="C197" t="s">
        <v>416</v>
      </c>
      <c r="D197" s="12">
        <v>2.8799999999999999E-2</v>
      </c>
      <c r="E197" s="12">
        <v>0.13700000000000001</v>
      </c>
      <c r="F197" s="12">
        <v>0.11260000000000001</v>
      </c>
      <c r="H197" s="271"/>
      <c r="I197">
        <f t="shared" si="7"/>
        <v>0</v>
      </c>
      <c r="K197" s="342" t="s">
        <v>416</v>
      </c>
      <c r="L197" s="342" t="s">
        <v>415</v>
      </c>
      <c r="M197" s="342" t="str">
        <f t="shared" si="9"/>
        <v>34111 OLYMPIA SCHOOL DISTRICT</v>
      </c>
      <c r="N197" s="264">
        <v>2.8799999999999999E-2</v>
      </c>
      <c r="O197" s="265">
        <v>0.13700000000000001</v>
      </c>
    </row>
    <row r="198" spans="2:15">
      <c r="B198" s="59" t="s">
        <v>417</v>
      </c>
      <c r="C198" t="s">
        <v>418</v>
      </c>
      <c r="D198" s="12">
        <v>2.5499999999999998E-2</v>
      </c>
      <c r="E198" s="12">
        <v>7.0300000000000001E-2</v>
      </c>
      <c r="F198" s="12">
        <v>4.3999999999999997E-2</v>
      </c>
      <c r="H198" s="271"/>
      <c r="I198">
        <f t="shared" si="7"/>
        <v>0</v>
      </c>
      <c r="K198" s="342" t="s">
        <v>418</v>
      </c>
      <c r="L198" s="342" t="s">
        <v>417</v>
      </c>
      <c r="M198" s="342" t="str">
        <f t="shared" si="9"/>
        <v>24019 OMAK SCHOOL DISTRICT</v>
      </c>
      <c r="N198" s="264">
        <v>2.5499999999999998E-2</v>
      </c>
      <c r="O198" s="265">
        <v>7.0300000000000001E-2</v>
      </c>
    </row>
    <row r="199" spans="2:15">
      <c r="B199" s="59" t="s">
        <v>419</v>
      </c>
      <c r="C199" t="s">
        <v>420</v>
      </c>
      <c r="D199" s="12">
        <v>3.2800000000000003E-2</v>
      </c>
      <c r="E199" s="12">
        <v>0.19120000000000001</v>
      </c>
      <c r="F199" s="12">
        <v>0.2114</v>
      </c>
      <c r="H199" s="271"/>
      <c r="I199">
        <f t="shared" si="7"/>
        <v>0</v>
      </c>
      <c r="K199" s="342" t="s">
        <v>420</v>
      </c>
      <c r="L199" s="342" t="s">
        <v>419</v>
      </c>
      <c r="M199" s="342" t="str">
        <f t="shared" si="9"/>
        <v>21300 ONALASKA SCHOOL DISTRICT</v>
      </c>
      <c r="N199" s="264">
        <v>3.2800000000000003E-2</v>
      </c>
      <c r="O199" s="265">
        <v>0.19120000000000001</v>
      </c>
    </row>
    <row r="200" spans="2:15">
      <c r="B200" s="59" t="s">
        <v>421</v>
      </c>
      <c r="C200" t="s">
        <v>422</v>
      </c>
      <c r="D200" s="12">
        <v>5.9799999999999999E-2</v>
      </c>
      <c r="E200" s="12">
        <v>0.22869999999999999</v>
      </c>
      <c r="F200" s="12">
        <v>0.1234</v>
      </c>
      <c r="H200" s="271"/>
      <c r="I200">
        <f t="shared" ref="I200:I263" si="10">+L200-B200</f>
        <v>0</v>
      </c>
      <c r="K200" s="342" t="s">
        <v>422</v>
      </c>
      <c r="L200" s="344" t="s">
        <v>421</v>
      </c>
      <c r="M200" s="342" t="str">
        <f t="shared" si="9"/>
        <v>33030 ONION CREEK SCHOOL DISTRICT</v>
      </c>
      <c r="N200" s="264">
        <v>5.9799999999999999E-2</v>
      </c>
      <c r="O200" s="265">
        <v>0.22869999999999999</v>
      </c>
    </row>
    <row r="201" spans="2:15">
      <c r="B201" s="59" t="s">
        <v>423</v>
      </c>
      <c r="C201" t="s">
        <v>1212</v>
      </c>
      <c r="D201" s="12">
        <v>6.9800000000000001E-2</v>
      </c>
      <c r="E201" s="12">
        <v>0.2301</v>
      </c>
      <c r="F201" s="12">
        <v>0.21779999999999999</v>
      </c>
      <c r="H201" s="271"/>
      <c r="I201">
        <f t="shared" si="10"/>
        <v>0</v>
      </c>
      <c r="K201" s="342" t="s">
        <v>424</v>
      </c>
      <c r="L201" s="342" t="s">
        <v>423</v>
      </c>
      <c r="M201" s="342" t="str">
        <f t="shared" si="9"/>
        <v>28137 ORCAS SCHOOL DISTRICT</v>
      </c>
      <c r="N201" s="264">
        <v>6.9800000000000001E-2</v>
      </c>
      <c r="O201" s="265">
        <v>0.2301</v>
      </c>
    </row>
    <row r="202" spans="2:15">
      <c r="B202" s="59" t="s">
        <v>425</v>
      </c>
      <c r="C202" t="s">
        <v>426</v>
      </c>
      <c r="D202" s="12">
        <v>5.4199999999999998E-2</v>
      </c>
      <c r="E202" s="12">
        <v>0.34710000000000002</v>
      </c>
      <c r="F202" s="12">
        <v>0.41620000000000001</v>
      </c>
      <c r="H202" s="271"/>
      <c r="I202">
        <f t="shared" si="10"/>
        <v>0</v>
      </c>
      <c r="K202" s="342" t="s">
        <v>426</v>
      </c>
      <c r="L202" s="342" t="s">
        <v>425</v>
      </c>
      <c r="M202" s="342" t="str">
        <f t="shared" si="9"/>
        <v>32123 ORCHARD PRAIRIE SCHOOL DISTRICT</v>
      </c>
      <c r="N202" s="264">
        <v>5.4199999999999998E-2</v>
      </c>
      <c r="O202" s="265">
        <v>0.34710000000000002</v>
      </c>
    </row>
    <row r="203" spans="2:15">
      <c r="B203" s="59" t="s">
        <v>427</v>
      </c>
      <c r="C203" t="s">
        <v>428</v>
      </c>
      <c r="D203" s="12">
        <v>6.4699999999999994E-2</v>
      </c>
      <c r="E203" s="12">
        <v>0.22670000000000001</v>
      </c>
      <c r="F203" s="12">
        <v>0.19020000000000001</v>
      </c>
      <c r="H203" s="271"/>
      <c r="I203">
        <f t="shared" si="10"/>
        <v>0</v>
      </c>
      <c r="K203" s="342" t="s">
        <v>428</v>
      </c>
      <c r="L203" s="342" t="s">
        <v>427</v>
      </c>
      <c r="M203" s="342" t="str">
        <f t="shared" si="9"/>
        <v>10065 ORIENT SCHOOL DISTRICT</v>
      </c>
      <c r="N203" s="264">
        <v>6.4699999999999994E-2</v>
      </c>
      <c r="O203" s="265">
        <v>0.22670000000000001</v>
      </c>
    </row>
    <row r="204" spans="2:15">
      <c r="B204" s="59" t="s">
        <v>429</v>
      </c>
      <c r="C204" t="s">
        <v>430</v>
      </c>
      <c r="D204" s="12">
        <v>5.8099999999999999E-2</v>
      </c>
      <c r="E204" s="12">
        <v>0.2157</v>
      </c>
      <c r="F204" s="12">
        <v>0.18140000000000001</v>
      </c>
      <c r="H204" s="271"/>
      <c r="I204">
        <f t="shared" si="10"/>
        <v>0</v>
      </c>
      <c r="K204" s="342" t="s">
        <v>430</v>
      </c>
      <c r="L204" s="342" t="s">
        <v>429</v>
      </c>
      <c r="M204" s="342" t="str">
        <f t="shared" si="9"/>
        <v>09013 ORONDO SCHOOL DISTRICT</v>
      </c>
      <c r="N204" s="264">
        <v>5.8099999999999999E-2</v>
      </c>
      <c r="O204" s="265">
        <v>0.2157</v>
      </c>
    </row>
    <row r="205" spans="2:15">
      <c r="B205" s="59" t="s">
        <v>431</v>
      </c>
      <c r="C205" t="s">
        <v>432</v>
      </c>
      <c r="D205" s="12">
        <v>4.1200000000000001E-2</v>
      </c>
      <c r="E205" s="12">
        <v>0.2666</v>
      </c>
      <c r="F205" s="12">
        <v>0.19120000000000001</v>
      </c>
      <c r="H205" s="271"/>
      <c r="I205">
        <f t="shared" si="10"/>
        <v>0</v>
      </c>
      <c r="K205" s="342" t="s">
        <v>432</v>
      </c>
      <c r="L205" s="342" t="s">
        <v>431</v>
      </c>
      <c r="M205" s="342" t="str">
        <f t="shared" si="9"/>
        <v>24410 OROVILLE SCHOOL DISTRICT</v>
      </c>
      <c r="N205" s="264">
        <v>4.1200000000000001E-2</v>
      </c>
      <c r="O205" s="265">
        <v>0.2666</v>
      </c>
    </row>
    <row r="206" spans="2:15">
      <c r="B206" s="59" t="s">
        <v>433</v>
      </c>
      <c r="C206" t="s">
        <v>434</v>
      </c>
      <c r="D206" s="12">
        <v>3.9699999999999999E-2</v>
      </c>
      <c r="E206" s="12">
        <v>0.192</v>
      </c>
      <c r="F206" s="12">
        <v>0.17680000000000001</v>
      </c>
      <c r="H206" s="271"/>
      <c r="I206">
        <f t="shared" si="10"/>
        <v>0</v>
      </c>
      <c r="K206" s="342" t="s">
        <v>434</v>
      </c>
      <c r="L206" s="342" t="s">
        <v>433</v>
      </c>
      <c r="M206" s="342" t="str">
        <f t="shared" si="9"/>
        <v>27344 ORTING SCHOOL DISTRICT</v>
      </c>
      <c r="N206" s="264">
        <v>3.9699999999999999E-2</v>
      </c>
      <c r="O206" s="265">
        <v>0.192</v>
      </c>
    </row>
    <row r="207" spans="2:15">
      <c r="B207" s="59" t="s">
        <v>435</v>
      </c>
      <c r="C207" t="s">
        <v>436</v>
      </c>
      <c r="D207" s="12">
        <v>5.5300000000000002E-2</v>
      </c>
      <c r="E207" s="12">
        <v>0.15110000000000001</v>
      </c>
      <c r="F207" s="12">
        <v>0.1623</v>
      </c>
      <c r="H207" s="271"/>
      <c r="I207">
        <f t="shared" si="10"/>
        <v>0</v>
      </c>
      <c r="K207" s="342" t="s">
        <v>436</v>
      </c>
      <c r="L207" s="342" t="s">
        <v>435</v>
      </c>
      <c r="M207" s="342" t="str">
        <f t="shared" si="9"/>
        <v>01147 OTHELLO SCHOOL DISTRICT</v>
      </c>
      <c r="N207" s="264">
        <v>5.5300000000000002E-2</v>
      </c>
      <c r="O207" s="265">
        <v>0.15110000000000001</v>
      </c>
    </row>
    <row r="208" spans="2:15">
      <c r="B208" s="59" t="s">
        <v>437</v>
      </c>
      <c r="C208" t="s">
        <v>438</v>
      </c>
      <c r="D208" s="12">
        <v>0.22059999999999999</v>
      </c>
      <c r="E208" s="12">
        <v>0.46439999999999998</v>
      </c>
      <c r="F208" s="12">
        <v>0.4032</v>
      </c>
      <c r="H208" s="271"/>
      <c r="I208">
        <f t="shared" si="10"/>
        <v>0</v>
      </c>
      <c r="K208" s="342" t="s">
        <v>438</v>
      </c>
      <c r="L208" s="342" t="s">
        <v>437</v>
      </c>
      <c r="M208" s="342" t="str">
        <f t="shared" si="9"/>
        <v>09102 PALISADES SCHOOL DISTRICT</v>
      </c>
      <c r="N208" s="264">
        <v>0.22059999999999999</v>
      </c>
      <c r="O208" s="265">
        <v>0.46439999999999998</v>
      </c>
    </row>
    <row r="209" spans="2:15">
      <c r="B209" s="59" t="s">
        <v>439</v>
      </c>
      <c r="C209" t="s">
        <v>440</v>
      </c>
      <c r="D209" s="12">
        <v>0</v>
      </c>
      <c r="E209" s="12">
        <v>0.2626</v>
      </c>
      <c r="F209" s="12">
        <v>0.2109</v>
      </c>
      <c r="H209" s="271"/>
      <c r="I209">
        <f t="shared" si="10"/>
        <v>0</v>
      </c>
      <c r="K209" s="342" t="s">
        <v>440</v>
      </c>
      <c r="L209" s="342" t="s">
        <v>439</v>
      </c>
      <c r="M209" s="342" t="str">
        <f t="shared" si="9"/>
        <v>38301 PALOUSE SCHOOL DISTRICT</v>
      </c>
      <c r="N209" s="264">
        <v>0</v>
      </c>
      <c r="O209" s="265">
        <v>0.2626</v>
      </c>
    </row>
    <row r="210" spans="2:15">
      <c r="B210" s="59" t="s">
        <v>441</v>
      </c>
      <c r="C210" t="s">
        <v>442</v>
      </c>
      <c r="D210" s="12">
        <v>2.7199999999999998E-2</v>
      </c>
      <c r="E210" s="12">
        <v>0.113</v>
      </c>
      <c r="F210" s="12">
        <v>0.1046</v>
      </c>
      <c r="H210" s="271"/>
      <c r="I210">
        <f t="shared" si="10"/>
        <v>0</v>
      </c>
      <c r="K210" s="342" t="s">
        <v>442</v>
      </c>
      <c r="L210" s="342" t="s">
        <v>441</v>
      </c>
      <c r="M210" s="342" t="str">
        <f t="shared" si="9"/>
        <v>11001 PASCO SCHOOL DISTRICT</v>
      </c>
      <c r="N210" s="264">
        <v>2.7199999999999998E-2</v>
      </c>
      <c r="O210" s="265">
        <v>0.113</v>
      </c>
    </row>
    <row r="211" spans="2:15">
      <c r="B211" s="59" t="s">
        <v>443</v>
      </c>
      <c r="C211" t="s">
        <v>444</v>
      </c>
      <c r="D211" s="12">
        <v>3.6299999999999999E-2</v>
      </c>
      <c r="E211" s="12">
        <v>0.24060000000000001</v>
      </c>
      <c r="F211" s="12">
        <v>0.20100000000000001</v>
      </c>
      <c r="H211" s="271"/>
      <c r="I211">
        <f t="shared" si="10"/>
        <v>0</v>
      </c>
      <c r="K211" s="342" t="s">
        <v>444</v>
      </c>
      <c r="L211" s="342" t="s">
        <v>443</v>
      </c>
      <c r="M211" s="342" t="str">
        <f t="shared" si="9"/>
        <v>24122 PATEROS SCHOOL DISTRICT</v>
      </c>
      <c r="N211" s="264">
        <v>3.6299999999999999E-2</v>
      </c>
      <c r="O211" s="265">
        <v>0.24060000000000001</v>
      </c>
    </row>
    <row r="212" spans="2:15">
      <c r="B212" s="59" t="s">
        <v>445</v>
      </c>
      <c r="C212" t="s">
        <v>446</v>
      </c>
      <c r="D212" s="12">
        <v>5.1999999999999998E-2</v>
      </c>
      <c r="E212" s="12">
        <v>0.27829999999999999</v>
      </c>
      <c r="F212" s="12">
        <v>0.35599999999999998</v>
      </c>
      <c r="H212" s="271"/>
      <c r="I212">
        <f t="shared" si="10"/>
        <v>0</v>
      </c>
      <c r="K212" s="342" t="s">
        <v>446</v>
      </c>
      <c r="L212" s="342" t="s">
        <v>445</v>
      </c>
      <c r="M212" s="342" t="str">
        <f t="shared" si="9"/>
        <v>03050 PATERSON SCHOOL DISTRICT</v>
      </c>
      <c r="N212" s="264">
        <v>5.1999999999999998E-2</v>
      </c>
      <c r="O212" s="265">
        <v>0.27829999999999999</v>
      </c>
    </row>
    <row r="213" spans="2:15">
      <c r="B213" s="59" t="s">
        <v>447</v>
      </c>
      <c r="C213" t="s">
        <v>448</v>
      </c>
      <c r="D213" s="12">
        <v>1.8800000000000001E-2</v>
      </c>
      <c r="E213" s="12">
        <v>0.19339999999999999</v>
      </c>
      <c r="F213" s="12">
        <v>0.17280000000000001</v>
      </c>
      <c r="H213" s="271"/>
      <c r="I213">
        <f t="shared" si="10"/>
        <v>0</v>
      </c>
      <c r="K213" s="342" t="s">
        <v>448</v>
      </c>
      <c r="L213" s="342" t="s">
        <v>447</v>
      </c>
      <c r="M213" s="342" t="str">
        <f t="shared" si="9"/>
        <v>21301 PE ELL SCHOOL DISTRICT</v>
      </c>
      <c r="N213" s="264">
        <v>1.8800000000000001E-2</v>
      </c>
      <c r="O213" s="265">
        <v>0.19339999999999999</v>
      </c>
    </row>
    <row r="214" spans="2:15">
      <c r="B214" s="59" t="s">
        <v>449</v>
      </c>
      <c r="C214" t="s">
        <v>450</v>
      </c>
      <c r="D214" s="12">
        <v>5.0599999999999999E-2</v>
      </c>
      <c r="E214" s="12">
        <v>0.151</v>
      </c>
      <c r="F214" s="12">
        <v>0.15920000000000001</v>
      </c>
      <c r="H214" s="271"/>
      <c r="I214">
        <f t="shared" si="10"/>
        <v>0</v>
      </c>
      <c r="K214" s="342" t="s">
        <v>450</v>
      </c>
      <c r="L214" s="342" t="s">
        <v>449</v>
      </c>
      <c r="M214" s="342" t="str">
        <f t="shared" si="9"/>
        <v>27401 PENINSULA SCHOOL DISTRICT</v>
      </c>
      <c r="N214" s="264">
        <v>5.0599999999999999E-2</v>
      </c>
      <c r="O214" s="265">
        <v>0.151</v>
      </c>
    </row>
    <row r="215" spans="2:15">
      <c r="B215" s="351" t="s">
        <v>451</v>
      </c>
      <c r="C215" t="s">
        <v>1213</v>
      </c>
      <c r="D215" s="12">
        <v>0.08</v>
      </c>
      <c r="E215" s="12">
        <v>0.1</v>
      </c>
      <c r="F215" s="12">
        <v>0.1</v>
      </c>
      <c r="H215" s="271"/>
      <c r="I215">
        <f t="shared" si="10"/>
        <v>0</v>
      </c>
      <c r="K215" s="342" t="s">
        <v>452</v>
      </c>
      <c r="L215" s="343" t="s">
        <v>451</v>
      </c>
      <c r="M215" s="343" t="str">
        <f>CONCATENATE(L215," ",K215," CHARTER")</f>
        <v>04901 PINNACLES PREP CHARTER</v>
      </c>
      <c r="N215" s="264">
        <v>0.08</v>
      </c>
      <c r="O215" s="265">
        <v>0.1</v>
      </c>
    </row>
    <row r="216" spans="2:15">
      <c r="B216" s="59" t="s">
        <v>453</v>
      </c>
      <c r="C216" t="s">
        <v>454</v>
      </c>
      <c r="D216" s="12">
        <v>4.3099999999999999E-2</v>
      </c>
      <c r="E216" s="12">
        <v>0.18379999999999999</v>
      </c>
      <c r="F216" s="12">
        <v>0.17510000000000001</v>
      </c>
      <c r="H216" s="271"/>
      <c r="I216">
        <f t="shared" si="10"/>
        <v>0</v>
      </c>
      <c r="K216" s="342" t="s">
        <v>454</v>
      </c>
      <c r="L216" s="342" t="s">
        <v>453</v>
      </c>
      <c r="M216" s="342" t="str">
        <f t="shared" ref="M216:M223" si="11">CONCATENATE(L216," ",K216," SCHOOL DISTRICT")</f>
        <v>23402 PIONEER SCHOOL DISTRICT</v>
      </c>
      <c r="N216" s="264">
        <v>4.3099999999999999E-2</v>
      </c>
      <c r="O216" s="265">
        <v>0.18379999999999999</v>
      </c>
    </row>
    <row r="217" spans="2:15">
      <c r="B217" s="59" t="s">
        <v>455</v>
      </c>
      <c r="C217" t="s">
        <v>456</v>
      </c>
      <c r="D217" s="12">
        <v>5.0299999999999997E-2</v>
      </c>
      <c r="E217" s="12">
        <v>0.2535</v>
      </c>
      <c r="F217" s="12">
        <v>0.24310000000000001</v>
      </c>
      <c r="H217" s="271"/>
      <c r="I217">
        <f t="shared" si="10"/>
        <v>0</v>
      </c>
      <c r="K217" s="342" t="s">
        <v>456</v>
      </c>
      <c r="L217" s="342" t="s">
        <v>455</v>
      </c>
      <c r="M217" s="342" t="str">
        <f t="shared" si="11"/>
        <v>12110 POMEROY SCHOOL DISTRICT</v>
      </c>
      <c r="N217" s="264">
        <v>5.0299999999999997E-2</v>
      </c>
      <c r="O217" s="265">
        <v>0.2535</v>
      </c>
    </row>
    <row r="218" spans="2:15">
      <c r="B218" s="59" t="s">
        <v>457</v>
      </c>
      <c r="C218" t="s">
        <v>458</v>
      </c>
      <c r="D218" s="12">
        <v>4.5199999999999997E-2</v>
      </c>
      <c r="E218" s="12">
        <v>0.15240000000000001</v>
      </c>
      <c r="F218" s="12">
        <v>0.13170000000000001</v>
      </c>
      <c r="H218" s="271"/>
      <c r="I218">
        <f t="shared" si="10"/>
        <v>0</v>
      </c>
      <c r="K218" s="342" t="s">
        <v>458</v>
      </c>
      <c r="L218" s="342" t="s">
        <v>457</v>
      </c>
      <c r="M218" s="342" t="str">
        <f t="shared" si="11"/>
        <v>05121 PORT ANGELES SCHOOL DISTRICT</v>
      </c>
      <c r="N218" s="264">
        <v>4.5199999999999997E-2</v>
      </c>
      <c r="O218" s="265">
        <v>0.15240000000000001</v>
      </c>
    </row>
    <row r="219" spans="2:15">
      <c r="B219" s="59" t="s">
        <v>459</v>
      </c>
      <c r="C219" t="s">
        <v>460</v>
      </c>
      <c r="D219" s="12">
        <v>4.6800000000000001E-2</v>
      </c>
      <c r="E219" s="12">
        <v>0.2392</v>
      </c>
      <c r="F219" s="12">
        <v>0.25340000000000001</v>
      </c>
      <c r="H219" s="271"/>
      <c r="I219">
        <f t="shared" si="10"/>
        <v>0</v>
      </c>
      <c r="K219" s="342" t="s">
        <v>460</v>
      </c>
      <c r="L219" s="342" t="s">
        <v>459</v>
      </c>
      <c r="M219" s="342" t="str">
        <f t="shared" si="11"/>
        <v>16050 PORT TOWNSEND SCHOOL DISTRICT</v>
      </c>
      <c r="N219" s="264">
        <v>4.6800000000000001E-2</v>
      </c>
      <c r="O219" s="265">
        <v>0.2392</v>
      </c>
    </row>
    <row r="220" spans="2:15">
      <c r="B220" s="59" t="s">
        <v>461</v>
      </c>
      <c r="C220" t="s">
        <v>462</v>
      </c>
      <c r="D220" s="12">
        <v>3.7699999999999997E-2</v>
      </c>
      <c r="E220" s="12">
        <v>0.2016</v>
      </c>
      <c r="F220" s="12">
        <v>0.1857</v>
      </c>
      <c r="H220" s="271"/>
      <c r="I220">
        <f t="shared" si="10"/>
        <v>0</v>
      </c>
      <c r="K220" s="342" t="s">
        <v>462</v>
      </c>
      <c r="L220" s="342" t="s">
        <v>461</v>
      </c>
      <c r="M220" s="342" t="str">
        <f t="shared" si="11"/>
        <v>36402 PRESCOTT SCHOOL DISTRICT</v>
      </c>
      <c r="N220" s="264">
        <v>3.7699999999999997E-2</v>
      </c>
      <c r="O220" s="266">
        <v>0.2016</v>
      </c>
    </row>
    <row r="221" spans="2:15">
      <c r="B221" s="163" t="s">
        <v>463</v>
      </c>
      <c r="C221" s="78" t="s">
        <v>464</v>
      </c>
      <c r="D221" s="12">
        <v>7.1400000000000005E-2</v>
      </c>
      <c r="E221" s="12">
        <v>0.37680000000000002</v>
      </c>
      <c r="F221" s="12">
        <v>0.4325</v>
      </c>
      <c r="H221" s="271"/>
      <c r="I221">
        <f t="shared" si="10"/>
        <v>0</v>
      </c>
      <c r="K221" s="342" t="s">
        <v>1047</v>
      </c>
      <c r="L221" s="342" t="s">
        <v>463</v>
      </c>
      <c r="M221" s="342" t="str">
        <f t="shared" si="11"/>
        <v>32907 PRIDE PREP SCHOOL DISTRICT</v>
      </c>
      <c r="N221" s="264">
        <v>7.1400000000000005E-2</v>
      </c>
      <c r="O221" s="265">
        <v>0.37680000000000002</v>
      </c>
    </row>
    <row r="222" spans="2:15">
      <c r="B222" s="59" t="s">
        <v>465</v>
      </c>
      <c r="C222" t="s">
        <v>466</v>
      </c>
      <c r="D222" s="12">
        <v>4.2799999999999998E-2</v>
      </c>
      <c r="E222" s="12">
        <v>0.15429999999999999</v>
      </c>
      <c r="F222" s="12">
        <v>0.15459999999999999</v>
      </c>
      <c r="H222" s="271"/>
      <c r="I222">
        <f t="shared" si="10"/>
        <v>0</v>
      </c>
      <c r="K222" s="342" t="s">
        <v>466</v>
      </c>
      <c r="L222" s="342" t="s">
        <v>465</v>
      </c>
      <c r="M222" s="342" t="str">
        <f t="shared" si="11"/>
        <v>03116 PROSSER SCHOOL DISTRICT</v>
      </c>
      <c r="N222" s="264">
        <v>4.2799999999999998E-2</v>
      </c>
      <c r="O222" s="265">
        <v>0.15429999999999999</v>
      </c>
    </row>
    <row r="223" spans="2:15">
      <c r="B223" s="59" t="s">
        <v>467</v>
      </c>
      <c r="C223" t="s">
        <v>468</v>
      </c>
      <c r="D223" s="12">
        <v>4.1599999999999998E-2</v>
      </c>
      <c r="E223" s="12">
        <v>0.2172</v>
      </c>
      <c r="F223" s="12">
        <v>0.22339999999999999</v>
      </c>
      <c r="H223" s="271"/>
      <c r="I223">
        <f t="shared" si="10"/>
        <v>0</v>
      </c>
      <c r="K223" s="342" t="s">
        <v>468</v>
      </c>
      <c r="L223" s="342" t="s">
        <v>467</v>
      </c>
      <c r="M223" s="342" t="str">
        <f t="shared" si="11"/>
        <v>38267 PULLMAN SCHOOL DISTRICT</v>
      </c>
      <c r="N223" s="264">
        <v>4.1599999999999998E-2</v>
      </c>
      <c r="O223" s="265">
        <v>0.2172</v>
      </c>
    </row>
    <row r="224" spans="2:15">
      <c r="B224" s="351" t="s">
        <v>469</v>
      </c>
      <c r="C224" t="s">
        <v>1214</v>
      </c>
      <c r="D224" s="12">
        <v>0.08</v>
      </c>
      <c r="E224" s="12">
        <v>0.1</v>
      </c>
      <c r="F224" s="12">
        <v>0.1</v>
      </c>
      <c r="H224" s="271"/>
      <c r="I224">
        <f t="shared" si="10"/>
        <v>0</v>
      </c>
      <c r="K224" s="342" t="s">
        <v>470</v>
      </c>
      <c r="L224" s="343" t="s">
        <v>469</v>
      </c>
      <c r="M224" s="343" t="str">
        <f>CONCATENATE(L224," ",K224," CHARTER")</f>
        <v>38901 PULLMAN COMMUNITY MONTESSORI CHARTER</v>
      </c>
      <c r="N224" s="264">
        <v>0.08</v>
      </c>
      <c r="O224" s="265">
        <v>0.1</v>
      </c>
    </row>
    <row r="225" spans="2:15">
      <c r="B225" s="59" t="s">
        <v>471</v>
      </c>
      <c r="C225" t="s">
        <v>472</v>
      </c>
      <c r="D225" s="12">
        <v>3.6999999999999998E-2</v>
      </c>
      <c r="E225" s="12">
        <v>0.1474</v>
      </c>
      <c r="F225" s="12">
        <v>0.14560000000000001</v>
      </c>
      <c r="H225" s="271"/>
      <c r="I225">
        <f t="shared" si="10"/>
        <v>0</v>
      </c>
      <c r="K225" s="342" t="s">
        <v>472</v>
      </c>
      <c r="L225" s="342" t="s">
        <v>471</v>
      </c>
      <c r="M225" s="342" t="str">
        <f>CONCATENATE(L225," ",K225," SCHOOL DISTRICT")</f>
        <v>27003 PUYALLUP SCHOOL DISTRICT</v>
      </c>
      <c r="N225" s="264">
        <v>3.6999999999999998E-2</v>
      </c>
      <c r="O225" s="265">
        <v>0.1474</v>
      </c>
    </row>
    <row r="226" spans="2:15">
      <c r="B226" s="59" t="s">
        <v>473</v>
      </c>
      <c r="C226" t="s">
        <v>474</v>
      </c>
      <c r="D226" s="12">
        <v>0.23930000000000001</v>
      </c>
      <c r="E226" s="12">
        <v>0.65490000000000004</v>
      </c>
      <c r="F226" s="12">
        <v>0.60329999999999995</v>
      </c>
      <c r="H226" s="271"/>
      <c r="I226">
        <f t="shared" si="10"/>
        <v>0</v>
      </c>
      <c r="K226" s="342" t="s">
        <v>474</v>
      </c>
      <c r="L226" s="342" t="s">
        <v>473</v>
      </c>
      <c r="M226" s="342" t="str">
        <f>CONCATENATE(L226," ",K226," SCHOOL DISTRICT")</f>
        <v>16020 QUEETS-CLEARWATER SCHOOL DISTRICT</v>
      </c>
      <c r="N226" s="264">
        <v>0.23930000000000001</v>
      </c>
      <c r="O226" s="265">
        <v>0.65490000000000004</v>
      </c>
    </row>
    <row r="227" spans="2:15">
      <c r="B227" s="59" t="s">
        <v>475</v>
      </c>
      <c r="C227" t="s">
        <v>476</v>
      </c>
      <c r="D227" s="12">
        <v>2.2499999999999999E-2</v>
      </c>
      <c r="E227" s="12">
        <v>0.1978</v>
      </c>
      <c r="F227" s="12">
        <v>0.1176</v>
      </c>
      <c r="H227" s="271"/>
      <c r="I227">
        <f t="shared" si="10"/>
        <v>0</v>
      </c>
      <c r="K227" s="342" t="s">
        <v>476</v>
      </c>
      <c r="L227" s="342" t="s">
        <v>475</v>
      </c>
      <c r="M227" s="342" t="str">
        <f>CONCATENATE(L227," ",K227," SCHOOL DISTRICT")</f>
        <v>16048 QUILCENE SCHOOL DISTRICT</v>
      </c>
      <c r="N227" s="264">
        <v>2.2499999999999999E-2</v>
      </c>
      <c r="O227" s="265">
        <v>0.1978</v>
      </c>
    </row>
    <row r="228" spans="2:15">
      <c r="B228" s="59" t="s">
        <v>477</v>
      </c>
      <c r="C228" t="s">
        <v>1215</v>
      </c>
      <c r="D228" s="12">
        <v>0.08</v>
      </c>
      <c r="E228" s="12">
        <v>0.1</v>
      </c>
      <c r="F228" s="12">
        <v>0.1</v>
      </c>
      <c r="H228" s="271"/>
      <c r="I228">
        <f t="shared" si="10"/>
        <v>0</v>
      </c>
      <c r="K228" s="342" t="s">
        <v>1055</v>
      </c>
      <c r="L228" s="342" t="s">
        <v>477</v>
      </c>
      <c r="M228" s="345" t="str">
        <f>CONCATENATE(L228," ",K228," TRIBAL COMPACT")</f>
        <v>05903 QUILEUTE TRIBAL COMPACT</v>
      </c>
      <c r="N228" s="264">
        <v>0.08</v>
      </c>
      <c r="O228" s="265">
        <v>0.1</v>
      </c>
    </row>
    <row r="229" spans="2:15">
      <c r="B229" s="59" t="s">
        <v>479</v>
      </c>
      <c r="C229" t="s">
        <v>480</v>
      </c>
      <c r="D229" s="12">
        <v>1.3599999999999999E-2</v>
      </c>
      <c r="E229" s="12">
        <v>9.5600000000000004E-2</v>
      </c>
      <c r="F229" s="12">
        <v>8.6800000000000002E-2</v>
      </c>
      <c r="H229" s="271"/>
      <c r="I229">
        <f t="shared" si="10"/>
        <v>0</v>
      </c>
      <c r="K229" s="342" t="s">
        <v>480</v>
      </c>
      <c r="L229" s="342" t="s">
        <v>479</v>
      </c>
      <c r="M229" s="342" t="str">
        <f>CONCATENATE(L229," ",K229," SCHOOL DISTRICT")</f>
        <v>05402 QUILLAYUTE VALLEY SCHOOL DISTRICT</v>
      </c>
      <c r="N229" s="264">
        <v>1.3599999999999999E-2</v>
      </c>
      <c r="O229" s="265">
        <v>9.5600000000000004E-2</v>
      </c>
    </row>
    <row r="230" spans="2:15">
      <c r="B230" s="59" t="s">
        <v>481</v>
      </c>
      <c r="C230" t="s">
        <v>482</v>
      </c>
      <c r="D230" s="12">
        <v>4.5999999999999999E-2</v>
      </c>
      <c r="E230" s="12">
        <v>0.24560000000000001</v>
      </c>
      <c r="F230" s="12">
        <v>0.2747</v>
      </c>
      <c r="H230" s="271"/>
      <c r="I230">
        <f t="shared" si="10"/>
        <v>0</v>
      </c>
      <c r="K230" s="342" t="s">
        <v>482</v>
      </c>
      <c r="L230" s="342" t="s">
        <v>481</v>
      </c>
      <c r="M230" s="342" t="str">
        <f>CONCATENATE(L230," ",K230," SCHOOL DISTRICT")</f>
        <v>14097 QUINAULT SCHOOL DISTRICT</v>
      </c>
      <c r="N230" s="264">
        <v>4.5999999999999999E-2</v>
      </c>
      <c r="O230" s="265">
        <v>0.24560000000000001</v>
      </c>
    </row>
    <row r="231" spans="2:15">
      <c r="B231" s="59" t="s">
        <v>483</v>
      </c>
      <c r="C231" t="s">
        <v>484</v>
      </c>
      <c r="D231" s="12">
        <v>3.7699999999999997E-2</v>
      </c>
      <c r="E231" s="12">
        <v>0.14960000000000001</v>
      </c>
      <c r="F231" s="12">
        <v>0.15820000000000001</v>
      </c>
      <c r="H231" s="271"/>
      <c r="I231">
        <f t="shared" si="10"/>
        <v>0</v>
      </c>
      <c r="K231" s="342" t="s">
        <v>484</v>
      </c>
      <c r="L231" s="342" t="s">
        <v>483</v>
      </c>
      <c r="M231" s="342" t="str">
        <f>CONCATENATE(L231," ",K231," SCHOOL DISTRICT")</f>
        <v>13144 QUINCY SCHOOL DISTRICT</v>
      </c>
      <c r="N231" s="264">
        <v>3.7699999999999997E-2</v>
      </c>
      <c r="O231" s="265">
        <v>0.14960000000000001</v>
      </c>
    </row>
    <row r="232" spans="2:15">
      <c r="B232" s="59" t="s">
        <v>485</v>
      </c>
      <c r="C232" t="s">
        <v>486</v>
      </c>
      <c r="D232" s="12">
        <v>4.5199999999999997E-2</v>
      </c>
      <c r="E232" s="12">
        <v>0.2132</v>
      </c>
      <c r="F232" s="12">
        <v>0.23899999999999999</v>
      </c>
      <c r="H232" s="271"/>
      <c r="I232">
        <f t="shared" si="10"/>
        <v>0</v>
      </c>
      <c r="K232" s="342" t="s">
        <v>486</v>
      </c>
      <c r="L232" s="342" t="s">
        <v>485</v>
      </c>
      <c r="M232" s="342" t="str">
        <f>CONCATENATE(L232," ",K232," SCHOOL DISTRICT")</f>
        <v>34307 RAINIER SCHOOL DISTRICT</v>
      </c>
      <c r="N232" s="264">
        <v>4.5199999999999997E-2</v>
      </c>
      <c r="O232" s="266">
        <v>0.2132</v>
      </c>
    </row>
    <row r="233" spans="2:15">
      <c r="B233" s="163" t="s">
        <v>487</v>
      </c>
      <c r="C233" s="78" t="s">
        <v>1216</v>
      </c>
      <c r="D233" s="12">
        <v>0</v>
      </c>
      <c r="E233" s="12">
        <v>0.10920000000000001</v>
      </c>
      <c r="F233" s="12">
        <v>9.74E-2</v>
      </c>
      <c r="H233" s="271"/>
      <c r="I233">
        <f t="shared" si="10"/>
        <v>0</v>
      </c>
      <c r="K233" s="342" t="s">
        <v>1061</v>
      </c>
      <c r="L233" s="342" t="s">
        <v>487</v>
      </c>
      <c r="M233" s="345" t="str">
        <f>CONCATENATE(L233," ",K233," CHARTER")</f>
        <v>17908 RAINIER PREP CHARTER</v>
      </c>
      <c r="N233" s="264">
        <v>0</v>
      </c>
      <c r="O233" s="265">
        <v>0.10920000000000001</v>
      </c>
    </row>
    <row r="234" spans="2:15">
      <c r="B234" s="279" t="s">
        <v>489</v>
      </c>
      <c r="C234" s="78" t="s">
        <v>1217</v>
      </c>
      <c r="D234" s="12">
        <v>0.08</v>
      </c>
      <c r="E234" s="12">
        <v>0.1</v>
      </c>
      <c r="F234" s="12">
        <v>0.1</v>
      </c>
      <c r="H234" s="271"/>
      <c r="I234">
        <f t="shared" si="10"/>
        <v>0</v>
      </c>
      <c r="K234" s="342" t="s">
        <v>490</v>
      </c>
      <c r="L234" s="342" t="s">
        <v>489</v>
      </c>
      <c r="M234" s="345" t="str">
        <f>CONCATENATE(L234," ",K234," CHARTER")</f>
        <v>17910 RAINIER VALLEY LEADERSHIP ACADEMY CHARTER</v>
      </c>
      <c r="N234" s="264">
        <v>0.08</v>
      </c>
      <c r="O234" s="265">
        <v>0.1</v>
      </c>
    </row>
    <row r="235" spans="2:15">
      <c r="B235" s="59" t="s">
        <v>491</v>
      </c>
      <c r="C235" t="s">
        <v>492</v>
      </c>
      <c r="D235" s="12">
        <v>2.3800000000000002E-2</v>
      </c>
      <c r="E235" s="12">
        <v>0.1898</v>
      </c>
      <c r="F235" s="12">
        <v>0.20899999999999999</v>
      </c>
      <c r="H235" s="271"/>
      <c r="I235">
        <f t="shared" si="10"/>
        <v>0</v>
      </c>
      <c r="K235" s="342" t="s">
        <v>492</v>
      </c>
      <c r="L235" s="342" t="s">
        <v>491</v>
      </c>
      <c r="M235" s="342" t="str">
        <f t="shared" ref="M235:M267" si="12">CONCATENATE(L235," ",K235," SCHOOL DISTRICT")</f>
        <v>25116 RAYMOND SCHOOL DISTRICT</v>
      </c>
      <c r="N235" s="264">
        <v>2.3800000000000002E-2</v>
      </c>
      <c r="O235" s="265">
        <v>0.1898</v>
      </c>
    </row>
    <row r="236" spans="2:15">
      <c r="B236" s="59" t="s">
        <v>493</v>
      </c>
      <c r="C236" t="s">
        <v>1218</v>
      </c>
      <c r="D236" s="12">
        <v>3.1399999999999997E-2</v>
      </c>
      <c r="E236" s="12">
        <v>0.29930000000000001</v>
      </c>
      <c r="F236" s="12">
        <v>0.315</v>
      </c>
      <c r="H236" s="271"/>
      <c r="I236">
        <f t="shared" si="10"/>
        <v>0</v>
      </c>
      <c r="K236" s="342" t="s">
        <v>494</v>
      </c>
      <c r="L236" s="342" t="s">
        <v>493</v>
      </c>
      <c r="M236" s="342" t="str">
        <f t="shared" si="12"/>
        <v>22009 REARDAN SCHOOL DISTRICT</v>
      </c>
      <c r="N236" s="264">
        <v>3.1399999999999997E-2</v>
      </c>
      <c r="O236" s="265">
        <v>0.29930000000000001</v>
      </c>
    </row>
    <row r="237" spans="2:15">
      <c r="B237" s="59" t="s">
        <v>495</v>
      </c>
      <c r="C237" t="s">
        <v>496</v>
      </c>
      <c r="D237" s="12">
        <v>3.1E-2</v>
      </c>
      <c r="E237" s="12">
        <v>0.1205</v>
      </c>
      <c r="F237" s="12">
        <v>0.1177</v>
      </c>
      <c r="H237" s="271"/>
      <c r="I237">
        <f t="shared" si="10"/>
        <v>0</v>
      </c>
      <c r="K237" s="342" t="s">
        <v>496</v>
      </c>
      <c r="L237" s="342" t="s">
        <v>495</v>
      </c>
      <c r="M237" s="342" t="str">
        <f t="shared" si="12"/>
        <v>17403 RENTON SCHOOL DISTRICT</v>
      </c>
      <c r="N237" s="264">
        <v>3.1E-2</v>
      </c>
      <c r="O237" s="265">
        <v>0.1205</v>
      </c>
    </row>
    <row r="238" spans="2:15">
      <c r="B238" s="59" t="s">
        <v>497</v>
      </c>
      <c r="C238" t="s">
        <v>498</v>
      </c>
      <c r="D238" s="12">
        <v>7.9399999999999998E-2</v>
      </c>
      <c r="E238" s="12">
        <v>0.2389</v>
      </c>
      <c r="F238" s="12">
        <v>0.19769999999999999</v>
      </c>
      <c r="H238" s="271"/>
      <c r="I238">
        <f t="shared" si="10"/>
        <v>0</v>
      </c>
      <c r="K238" s="342" t="s">
        <v>498</v>
      </c>
      <c r="L238" s="342" t="s">
        <v>497</v>
      </c>
      <c r="M238" s="342" t="str">
        <f t="shared" si="12"/>
        <v>10309 REPUBLIC SCHOOL DISTRICT</v>
      </c>
      <c r="N238" s="264">
        <v>7.9399999999999998E-2</v>
      </c>
      <c r="O238" s="265">
        <v>0.2389</v>
      </c>
    </row>
    <row r="239" spans="2:15">
      <c r="B239" s="59" t="s">
        <v>499</v>
      </c>
      <c r="C239" t="s">
        <v>500</v>
      </c>
      <c r="D239" s="12">
        <v>3.5000000000000003E-2</v>
      </c>
      <c r="E239" s="12">
        <v>0.14069999999999999</v>
      </c>
      <c r="F239" s="12">
        <v>0.1366</v>
      </c>
      <c r="H239" s="271"/>
      <c r="I239">
        <f t="shared" si="10"/>
        <v>0</v>
      </c>
      <c r="K239" s="342" t="s">
        <v>500</v>
      </c>
      <c r="L239" s="342" t="s">
        <v>499</v>
      </c>
      <c r="M239" s="342" t="str">
        <f t="shared" si="12"/>
        <v>03400 RICHLAND SCHOOL DISTRICT</v>
      </c>
      <c r="N239" s="264">
        <v>3.5000000000000003E-2</v>
      </c>
      <c r="O239" s="265">
        <v>0.14069999999999999</v>
      </c>
    </row>
    <row r="240" spans="2:15">
      <c r="B240" s="59" t="s">
        <v>501</v>
      </c>
      <c r="C240" t="s">
        <v>502</v>
      </c>
      <c r="D240" s="12">
        <v>4.4499999999999998E-2</v>
      </c>
      <c r="E240" s="12">
        <v>0.1953</v>
      </c>
      <c r="F240" s="12">
        <v>0.17530000000000001</v>
      </c>
      <c r="H240" s="271"/>
      <c r="I240">
        <f t="shared" si="10"/>
        <v>0</v>
      </c>
      <c r="K240" s="342" t="s">
        <v>502</v>
      </c>
      <c r="L240" s="342" t="s">
        <v>501</v>
      </c>
      <c r="M240" s="342" t="str">
        <f t="shared" si="12"/>
        <v>06122 RIDGEFIELD SCHOOL DISTRICT</v>
      </c>
      <c r="N240" s="264">
        <v>4.4499999999999998E-2</v>
      </c>
      <c r="O240" s="265">
        <v>0.1953</v>
      </c>
    </row>
    <row r="241" spans="2:15">
      <c r="B241" s="59" t="s">
        <v>503</v>
      </c>
      <c r="C241" t="s">
        <v>504</v>
      </c>
      <c r="D241" s="12">
        <v>3.78E-2</v>
      </c>
      <c r="E241" s="12">
        <v>0.24279999999999999</v>
      </c>
      <c r="F241" s="12">
        <v>0.2472</v>
      </c>
      <c r="H241" s="271"/>
      <c r="I241">
        <f t="shared" si="10"/>
        <v>0</v>
      </c>
      <c r="K241" s="342" t="s">
        <v>504</v>
      </c>
      <c r="L241" s="342" t="s">
        <v>503</v>
      </c>
      <c r="M241" s="342" t="str">
        <f t="shared" si="12"/>
        <v>01160 RITZVILLE SCHOOL DISTRICT</v>
      </c>
      <c r="N241" s="264">
        <v>3.78E-2</v>
      </c>
      <c r="O241" s="265">
        <v>0.24279999999999999</v>
      </c>
    </row>
    <row r="242" spans="2:15">
      <c r="B242" s="59" t="s">
        <v>505</v>
      </c>
      <c r="C242" t="s">
        <v>506</v>
      </c>
      <c r="D242" s="12">
        <v>3.8699999999999998E-2</v>
      </c>
      <c r="E242" s="12">
        <v>0.21060000000000001</v>
      </c>
      <c r="F242" s="12">
        <v>0.21879999999999999</v>
      </c>
      <c r="H242" s="271"/>
      <c r="I242">
        <f t="shared" si="10"/>
        <v>0</v>
      </c>
      <c r="K242" s="342" t="s">
        <v>506</v>
      </c>
      <c r="L242" s="342" t="s">
        <v>505</v>
      </c>
      <c r="M242" s="342" t="str">
        <f t="shared" si="12"/>
        <v>32416 RIVERSIDE SCHOOL DISTRICT</v>
      </c>
      <c r="N242" s="264">
        <v>3.8699999999999998E-2</v>
      </c>
      <c r="O242" s="265">
        <v>0.21060000000000001</v>
      </c>
    </row>
    <row r="243" spans="2:15">
      <c r="B243" s="59" t="s">
        <v>507</v>
      </c>
      <c r="C243" t="s">
        <v>508</v>
      </c>
      <c r="D243" s="12">
        <v>3.5499999999999997E-2</v>
      </c>
      <c r="E243" s="12">
        <v>0.1593</v>
      </c>
      <c r="F243" s="12">
        <v>0.1308</v>
      </c>
      <c r="H243" s="271"/>
      <c r="I243">
        <f t="shared" si="10"/>
        <v>0</v>
      </c>
      <c r="K243" s="342" t="s">
        <v>508</v>
      </c>
      <c r="L243" s="342" t="s">
        <v>507</v>
      </c>
      <c r="M243" s="342" t="str">
        <f t="shared" si="12"/>
        <v>17407 RIVERVIEW SCHOOL DISTRICT</v>
      </c>
      <c r="N243" s="264">
        <v>3.5499999999999997E-2</v>
      </c>
      <c r="O243" s="265">
        <v>0.1593</v>
      </c>
    </row>
    <row r="244" spans="2:15">
      <c r="B244" s="59" t="s">
        <v>509</v>
      </c>
      <c r="C244" t="s">
        <v>510</v>
      </c>
      <c r="D244" s="12">
        <v>2.1299999999999999E-2</v>
      </c>
      <c r="E244" s="12">
        <v>0.14610000000000001</v>
      </c>
      <c r="F244" s="12">
        <v>0.14319999999999999</v>
      </c>
      <c r="H244" s="271"/>
      <c r="I244">
        <f t="shared" si="10"/>
        <v>0</v>
      </c>
      <c r="K244" s="342" t="s">
        <v>510</v>
      </c>
      <c r="L244" s="342" t="s">
        <v>509</v>
      </c>
      <c r="M244" s="342" t="str">
        <f t="shared" si="12"/>
        <v>34401 ROCHESTER SCHOOL DISTRICT</v>
      </c>
      <c r="N244" s="264">
        <v>2.1299999999999999E-2</v>
      </c>
      <c r="O244" s="265">
        <v>0.14610000000000001</v>
      </c>
    </row>
    <row r="245" spans="2:15">
      <c r="B245" s="59" t="s">
        <v>511</v>
      </c>
      <c r="C245" t="s">
        <v>512</v>
      </c>
      <c r="D245" s="12">
        <v>3.3500000000000002E-2</v>
      </c>
      <c r="E245" s="12">
        <v>0.47960000000000003</v>
      </c>
      <c r="F245" s="12">
        <v>0.69610000000000005</v>
      </c>
      <c r="H245" s="271"/>
      <c r="I245">
        <f t="shared" si="10"/>
        <v>0</v>
      </c>
      <c r="K245" s="342" t="s">
        <v>512</v>
      </c>
      <c r="L245" s="342" t="s">
        <v>511</v>
      </c>
      <c r="M245" s="342" t="str">
        <f t="shared" si="12"/>
        <v>20403 ROOSEVELT SCHOOL DISTRICT</v>
      </c>
      <c r="N245" s="264">
        <v>3.3500000000000002E-2</v>
      </c>
      <c r="O245" s="265">
        <v>0.47960000000000003</v>
      </c>
    </row>
    <row r="246" spans="2:15">
      <c r="B246" s="59" t="s">
        <v>513</v>
      </c>
      <c r="C246" t="s">
        <v>514</v>
      </c>
      <c r="D246" s="12">
        <v>4.36E-2</v>
      </c>
      <c r="E246" s="12">
        <v>0.23749999999999999</v>
      </c>
      <c r="F246" s="12">
        <v>0.26129999999999998</v>
      </c>
      <c r="H246" s="271"/>
      <c r="I246">
        <f t="shared" si="10"/>
        <v>0</v>
      </c>
      <c r="K246" s="342" t="s">
        <v>514</v>
      </c>
      <c r="L246" s="342" t="s">
        <v>513</v>
      </c>
      <c r="M246" s="342" t="str">
        <f t="shared" si="12"/>
        <v>38320 ROSALIA SCHOOL DISTRICT</v>
      </c>
      <c r="N246" s="264">
        <v>4.36E-2</v>
      </c>
      <c r="O246" s="265">
        <v>0.23749999999999999</v>
      </c>
    </row>
    <row r="247" spans="2:15">
      <c r="B247" s="59" t="s">
        <v>515</v>
      </c>
      <c r="C247" t="s">
        <v>516</v>
      </c>
      <c r="D247" s="12">
        <v>3.0599999999999999E-2</v>
      </c>
      <c r="E247" s="12">
        <v>0.1623</v>
      </c>
      <c r="F247" s="12">
        <v>0.1699</v>
      </c>
      <c r="H247" s="271"/>
      <c r="I247">
        <f t="shared" si="10"/>
        <v>0</v>
      </c>
      <c r="K247" s="342" t="s">
        <v>516</v>
      </c>
      <c r="L247" s="342" t="s">
        <v>515</v>
      </c>
      <c r="M247" s="342" t="str">
        <f t="shared" si="12"/>
        <v>13160 ROYAL SCHOOL DISTRICT</v>
      </c>
      <c r="N247" s="264">
        <v>3.0599999999999999E-2</v>
      </c>
      <c r="O247" s="265">
        <v>0.1623</v>
      </c>
    </row>
    <row r="248" spans="2:15">
      <c r="B248" s="59" t="s">
        <v>517</v>
      </c>
      <c r="C248" t="s">
        <v>518</v>
      </c>
      <c r="D248" s="12">
        <v>3.9899999999999998E-2</v>
      </c>
      <c r="E248" s="12">
        <v>0.19950000000000001</v>
      </c>
      <c r="F248" s="12">
        <v>0.1757</v>
      </c>
      <c r="H248" s="271"/>
      <c r="I248">
        <f t="shared" si="10"/>
        <v>0</v>
      </c>
      <c r="K248" s="342" t="s">
        <v>518</v>
      </c>
      <c r="L248" s="342" t="s">
        <v>517</v>
      </c>
      <c r="M248" s="342" t="str">
        <f t="shared" si="12"/>
        <v>28149 SAN JUAN SCHOOL DISTRICT</v>
      </c>
      <c r="N248" s="264">
        <v>3.9899999999999998E-2</v>
      </c>
      <c r="O248" s="265">
        <v>0.19950000000000001</v>
      </c>
    </row>
    <row r="249" spans="2:15">
      <c r="B249" s="59" t="s">
        <v>519</v>
      </c>
      <c r="C249" t="s">
        <v>520</v>
      </c>
      <c r="D249" s="12">
        <v>0.1457</v>
      </c>
      <c r="E249" s="12">
        <v>0.35920000000000002</v>
      </c>
      <c r="F249" s="12">
        <v>0.4032</v>
      </c>
      <c r="H249" s="271"/>
      <c r="I249">
        <f t="shared" si="10"/>
        <v>0</v>
      </c>
      <c r="K249" s="342" t="s">
        <v>520</v>
      </c>
      <c r="L249" s="342" t="s">
        <v>519</v>
      </c>
      <c r="M249" s="342" t="str">
        <f t="shared" si="12"/>
        <v>14104 SATSOP SCHOOL DISTRICT</v>
      </c>
      <c r="N249" s="264">
        <v>0.1457</v>
      </c>
      <c r="O249" s="265">
        <v>0.35920000000000002</v>
      </c>
    </row>
    <row r="250" spans="2:15">
      <c r="B250" s="59" t="s">
        <v>521</v>
      </c>
      <c r="C250" t="s">
        <v>522</v>
      </c>
      <c r="D250" s="12">
        <v>4.6600000000000003E-2</v>
      </c>
      <c r="E250" s="12">
        <v>0.12620000000000001</v>
      </c>
      <c r="F250" s="12">
        <v>9.06E-2</v>
      </c>
      <c r="H250" s="271"/>
      <c r="I250">
        <f t="shared" si="10"/>
        <v>0</v>
      </c>
      <c r="K250" s="342" t="s">
        <v>522</v>
      </c>
      <c r="L250" s="342" t="s">
        <v>521</v>
      </c>
      <c r="M250" s="342" t="str">
        <f t="shared" si="12"/>
        <v>17001 SEATTLE SCHOOL DISTRICT</v>
      </c>
      <c r="N250" s="264">
        <v>4.6600000000000003E-2</v>
      </c>
      <c r="O250" s="265">
        <v>0.12620000000000001</v>
      </c>
    </row>
    <row r="251" spans="2:15">
      <c r="B251" s="59" t="s">
        <v>523</v>
      </c>
      <c r="C251" t="s">
        <v>524</v>
      </c>
      <c r="D251" s="12">
        <v>4.0099999999999997E-2</v>
      </c>
      <c r="E251" s="12">
        <v>0.1308</v>
      </c>
      <c r="F251" s="12">
        <v>0.12620000000000001</v>
      </c>
      <c r="H251" s="271"/>
      <c r="I251">
        <f t="shared" si="10"/>
        <v>0</v>
      </c>
      <c r="K251" s="342" t="s">
        <v>524</v>
      </c>
      <c r="L251" s="342" t="s">
        <v>523</v>
      </c>
      <c r="M251" s="342" t="str">
        <f t="shared" si="12"/>
        <v>29101 SEDRO WOOLLEY SCHOOL DISTRICT</v>
      </c>
      <c r="N251" s="264">
        <v>4.0099999999999997E-2</v>
      </c>
      <c r="O251" s="265">
        <v>0.1308</v>
      </c>
    </row>
    <row r="252" spans="2:15">
      <c r="B252" s="59" t="s">
        <v>525</v>
      </c>
      <c r="C252" t="s">
        <v>526</v>
      </c>
      <c r="D252" s="12">
        <v>4.2799999999999998E-2</v>
      </c>
      <c r="E252" s="12">
        <v>0.15179999999999999</v>
      </c>
      <c r="F252" s="12">
        <v>0.14949999999999999</v>
      </c>
      <c r="H252" s="271"/>
      <c r="I252">
        <f t="shared" si="10"/>
        <v>0</v>
      </c>
      <c r="K252" s="342" t="s">
        <v>526</v>
      </c>
      <c r="L252" s="342" t="s">
        <v>525</v>
      </c>
      <c r="M252" s="342" t="str">
        <f t="shared" si="12"/>
        <v>39119 SELAH SCHOOL DISTRICT</v>
      </c>
      <c r="N252" s="264">
        <v>4.2799999999999998E-2</v>
      </c>
      <c r="O252" s="265">
        <v>0.15179999999999999</v>
      </c>
    </row>
    <row r="253" spans="2:15">
      <c r="B253" s="59" t="s">
        <v>527</v>
      </c>
      <c r="C253" t="s">
        <v>528</v>
      </c>
      <c r="D253" s="12">
        <v>4.0899999999999999E-2</v>
      </c>
      <c r="E253" s="12">
        <v>0.24199999999999999</v>
      </c>
      <c r="F253" s="12">
        <v>0.20449999999999999</v>
      </c>
      <c r="H253" s="271"/>
      <c r="I253">
        <f t="shared" si="10"/>
        <v>0</v>
      </c>
      <c r="K253" s="342" t="s">
        <v>528</v>
      </c>
      <c r="L253" s="342" t="s">
        <v>527</v>
      </c>
      <c r="M253" s="342" t="str">
        <f t="shared" si="12"/>
        <v>26070 SELKIRK SCHOOL DISTRICT</v>
      </c>
      <c r="N253" s="264">
        <v>4.0899999999999999E-2</v>
      </c>
      <c r="O253" s="265">
        <v>0.24199999999999999</v>
      </c>
    </row>
    <row r="254" spans="2:15">
      <c r="B254" s="59" t="s">
        <v>529</v>
      </c>
      <c r="C254" t="s">
        <v>530</v>
      </c>
      <c r="D254" s="12">
        <v>5.2299999999999999E-2</v>
      </c>
      <c r="E254" s="12">
        <v>0.17430000000000001</v>
      </c>
      <c r="F254" s="12">
        <v>0.18290000000000001</v>
      </c>
      <c r="H254" s="271"/>
      <c r="I254">
        <f t="shared" si="10"/>
        <v>0</v>
      </c>
      <c r="K254" s="342" t="s">
        <v>530</v>
      </c>
      <c r="L254" s="342" t="s">
        <v>529</v>
      </c>
      <c r="M254" s="342" t="str">
        <f t="shared" si="12"/>
        <v>05323 SEQUIM SCHOOL DISTRICT</v>
      </c>
      <c r="N254" s="264">
        <v>5.2299999999999999E-2</v>
      </c>
      <c r="O254" s="265">
        <v>0.17430000000000001</v>
      </c>
    </row>
    <row r="255" spans="2:15">
      <c r="B255" s="59" t="s">
        <v>531</v>
      </c>
      <c r="C255" t="s">
        <v>532</v>
      </c>
      <c r="D255" s="12">
        <v>0.36670000000000003</v>
      </c>
      <c r="E255" s="12">
        <v>0.57230000000000003</v>
      </c>
      <c r="F255" s="12">
        <v>0.66500000000000004</v>
      </c>
      <c r="H255" s="271"/>
      <c r="I255">
        <f t="shared" si="10"/>
        <v>0</v>
      </c>
      <c r="K255" s="342" t="s">
        <v>532</v>
      </c>
      <c r="L255" s="342" t="s">
        <v>531</v>
      </c>
      <c r="M255" s="342" t="str">
        <f t="shared" si="12"/>
        <v>28010 SHAW SCHOOL DISTRICT</v>
      </c>
      <c r="N255" s="264">
        <v>0.36670000000000003</v>
      </c>
      <c r="O255" s="265">
        <v>0.57230000000000003</v>
      </c>
    </row>
    <row r="256" spans="2:15">
      <c r="B256" s="59" t="s">
        <v>533</v>
      </c>
      <c r="C256" t="s">
        <v>534</v>
      </c>
      <c r="D256" s="12">
        <v>1.9E-2</v>
      </c>
      <c r="E256" s="12">
        <v>0.13830000000000001</v>
      </c>
      <c r="F256" s="12">
        <v>0.1353</v>
      </c>
      <c r="H256" s="271"/>
      <c r="I256">
        <f t="shared" si="10"/>
        <v>0</v>
      </c>
      <c r="K256" s="342" t="s">
        <v>534</v>
      </c>
      <c r="L256" s="342" t="s">
        <v>533</v>
      </c>
      <c r="M256" s="342" t="str">
        <f t="shared" si="12"/>
        <v>23309 SHELTON SCHOOL DISTRICT</v>
      </c>
      <c r="N256" s="264">
        <v>1.9E-2</v>
      </c>
      <c r="O256" s="265">
        <v>0.13830000000000001</v>
      </c>
    </row>
    <row r="257" spans="2:15">
      <c r="B257" s="59" t="s">
        <v>535</v>
      </c>
      <c r="C257" t="s">
        <v>536</v>
      </c>
      <c r="D257" s="12">
        <v>3.3399999999999999E-2</v>
      </c>
      <c r="E257" s="12">
        <v>0.1125</v>
      </c>
      <c r="F257" s="12">
        <v>0.1103</v>
      </c>
      <c r="H257" s="271"/>
      <c r="I257">
        <f t="shared" si="10"/>
        <v>0</v>
      </c>
      <c r="K257" s="342" t="s">
        <v>536</v>
      </c>
      <c r="L257" s="342" t="s">
        <v>535</v>
      </c>
      <c r="M257" s="342" t="str">
        <f t="shared" si="12"/>
        <v>17412 SHORELINE SCHOOL DISTRICT</v>
      </c>
      <c r="N257" s="264">
        <v>3.3399999999999999E-2</v>
      </c>
      <c r="O257" s="265">
        <v>0.1125</v>
      </c>
    </row>
    <row r="258" spans="2:15">
      <c r="B258" s="59" t="s">
        <v>537</v>
      </c>
      <c r="C258" t="s">
        <v>538</v>
      </c>
      <c r="D258" s="12">
        <v>9.6000000000000002E-2</v>
      </c>
      <c r="E258" s="12">
        <v>0.24890000000000001</v>
      </c>
      <c r="F258" s="12">
        <v>0.26150000000000001</v>
      </c>
      <c r="H258" s="271"/>
      <c r="I258">
        <f t="shared" si="10"/>
        <v>0</v>
      </c>
      <c r="K258" s="342" t="s">
        <v>538</v>
      </c>
      <c r="L258" s="344" t="s">
        <v>537</v>
      </c>
      <c r="M258" s="342" t="str">
        <f t="shared" si="12"/>
        <v>30002 SKAMANIA SCHOOL DISTRICT</v>
      </c>
      <c r="N258" s="264">
        <v>9.6000000000000002E-2</v>
      </c>
      <c r="O258" s="265">
        <v>0.24890000000000001</v>
      </c>
    </row>
    <row r="259" spans="2:15">
      <c r="B259" s="59" t="s">
        <v>539</v>
      </c>
      <c r="C259" t="s">
        <v>540</v>
      </c>
      <c r="D259" s="12">
        <v>3.1800000000000002E-2</v>
      </c>
      <c r="E259" s="12">
        <v>0.33910000000000001</v>
      </c>
      <c r="F259" s="12">
        <v>0.31580000000000003</v>
      </c>
      <c r="H259" s="271"/>
      <c r="I259">
        <f t="shared" si="10"/>
        <v>0</v>
      </c>
      <c r="K259" s="342" t="s">
        <v>540</v>
      </c>
      <c r="L259" s="342" t="s">
        <v>539</v>
      </c>
      <c r="M259" s="342" t="str">
        <f t="shared" si="12"/>
        <v>17404 SKYKOMISH SCHOOL DISTRICT</v>
      </c>
      <c r="N259" s="264">
        <v>3.1800000000000002E-2</v>
      </c>
      <c r="O259" s="265">
        <v>0.33910000000000001</v>
      </c>
    </row>
    <row r="260" spans="2:15">
      <c r="B260" s="59" t="s">
        <v>541</v>
      </c>
      <c r="C260" t="s">
        <v>542</v>
      </c>
      <c r="D260" s="12">
        <v>5.5100000000000003E-2</v>
      </c>
      <c r="E260" s="12">
        <v>0.15670000000000001</v>
      </c>
      <c r="F260" s="12">
        <v>0.16289999999999999</v>
      </c>
      <c r="H260" s="271"/>
      <c r="I260">
        <f t="shared" si="10"/>
        <v>0</v>
      </c>
      <c r="K260" s="342" t="s">
        <v>542</v>
      </c>
      <c r="L260" s="342" t="s">
        <v>541</v>
      </c>
      <c r="M260" s="342" t="str">
        <f t="shared" si="12"/>
        <v>31201 SNOHOMISH SCHOOL DISTRICT</v>
      </c>
      <c r="N260" s="264">
        <v>5.5100000000000003E-2</v>
      </c>
      <c r="O260" s="265">
        <v>0.15670000000000001</v>
      </c>
    </row>
    <row r="261" spans="2:15">
      <c r="B261" s="59" t="s">
        <v>543</v>
      </c>
      <c r="C261" t="s">
        <v>544</v>
      </c>
      <c r="D261" s="12">
        <v>3.32E-2</v>
      </c>
      <c r="E261" s="12">
        <v>0.17680000000000001</v>
      </c>
      <c r="F261" s="12">
        <v>0.1973</v>
      </c>
      <c r="H261" s="271"/>
      <c r="I261">
        <f t="shared" si="10"/>
        <v>0</v>
      </c>
      <c r="K261" s="342" t="s">
        <v>544</v>
      </c>
      <c r="L261" s="342" t="s">
        <v>543</v>
      </c>
      <c r="M261" s="342" t="str">
        <f t="shared" si="12"/>
        <v>17410 SNOQUALMIE VALLEY SCHOOL DISTRICT</v>
      </c>
      <c r="N261" s="264">
        <v>3.32E-2</v>
      </c>
      <c r="O261" s="265">
        <v>0.17680000000000001</v>
      </c>
    </row>
    <row r="262" spans="2:15">
      <c r="B262" s="59" t="s">
        <v>545</v>
      </c>
      <c r="C262" t="s">
        <v>546</v>
      </c>
      <c r="D262" s="12">
        <v>7.0199999999999999E-2</v>
      </c>
      <c r="E262" s="12">
        <v>0.24179999999999999</v>
      </c>
      <c r="F262" s="12">
        <v>0.2427</v>
      </c>
      <c r="H262" s="271"/>
      <c r="I262">
        <f t="shared" si="10"/>
        <v>0</v>
      </c>
      <c r="K262" s="342" t="s">
        <v>546</v>
      </c>
      <c r="L262" s="342" t="s">
        <v>545</v>
      </c>
      <c r="M262" s="342" t="str">
        <f t="shared" si="12"/>
        <v>13156 SOAP LAKE SCHOOL DISTRICT</v>
      </c>
      <c r="N262" s="264">
        <v>7.0199999999999999E-2</v>
      </c>
      <c r="O262" s="265">
        <v>0.24179999999999999</v>
      </c>
    </row>
    <row r="263" spans="2:15">
      <c r="B263" s="59" t="s">
        <v>547</v>
      </c>
      <c r="C263" t="s">
        <v>548</v>
      </c>
      <c r="D263" s="12">
        <v>6.3799999999999996E-2</v>
      </c>
      <c r="E263" s="12">
        <v>0.20699999999999999</v>
      </c>
      <c r="F263" s="12">
        <v>0.26950000000000002</v>
      </c>
      <c r="H263" s="271"/>
      <c r="I263">
        <f t="shared" si="10"/>
        <v>0</v>
      </c>
      <c r="K263" s="342" t="s">
        <v>548</v>
      </c>
      <c r="L263" s="342" t="s">
        <v>547</v>
      </c>
      <c r="M263" s="342" t="str">
        <f t="shared" si="12"/>
        <v>25118 SOUTH BEND SCHOOL DISTRICT</v>
      </c>
      <c r="N263" s="264">
        <v>6.3799999999999996E-2</v>
      </c>
      <c r="O263" s="265">
        <v>0.20699999999999999</v>
      </c>
    </row>
    <row r="264" spans="2:15">
      <c r="B264" s="59" t="s">
        <v>549</v>
      </c>
      <c r="C264" t="s">
        <v>550</v>
      </c>
      <c r="D264" s="12">
        <v>4.7100000000000003E-2</v>
      </c>
      <c r="E264" s="12">
        <v>0.1396</v>
      </c>
      <c r="F264" s="12">
        <v>0.1162</v>
      </c>
      <c r="H264" s="271"/>
      <c r="I264">
        <f t="shared" ref="I264:I327" si="13">+L264-B264</f>
        <v>0</v>
      </c>
      <c r="K264" s="342" t="s">
        <v>550</v>
      </c>
      <c r="L264" s="342" t="s">
        <v>549</v>
      </c>
      <c r="M264" s="342" t="str">
        <f t="shared" si="12"/>
        <v>18402 SOUTH KITSAP SCHOOL DISTRICT</v>
      </c>
      <c r="N264" s="264">
        <v>4.7100000000000003E-2</v>
      </c>
      <c r="O264" s="265">
        <v>0.1396</v>
      </c>
    </row>
    <row r="265" spans="2:15">
      <c r="B265" s="59" t="s">
        <v>551</v>
      </c>
      <c r="C265" t="s">
        <v>552</v>
      </c>
      <c r="D265" s="12">
        <v>5.74E-2</v>
      </c>
      <c r="E265" s="12">
        <v>0.1787</v>
      </c>
      <c r="F265" s="12">
        <v>0.1759</v>
      </c>
      <c r="H265" s="271"/>
      <c r="I265">
        <f t="shared" si="13"/>
        <v>0</v>
      </c>
      <c r="K265" s="342" t="s">
        <v>552</v>
      </c>
      <c r="L265" s="342" t="s">
        <v>551</v>
      </c>
      <c r="M265" s="342" t="str">
        <f t="shared" si="12"/>
        <v>15206 SOUTH WHIDBEY SCHOOL DISTRICT</v>
      </c>
      <c r="N265" s="264">
        <v>5.74E-2</v>
      </c>
      <c r="O265" s="265">
        <v>0.1787</v>
      </c>
    </row>
    <row r="266" spans="2:15">
      <c r="B266" s="59" t="s">
        <v>553</v>
      </c>
      <c r="C266" t="s">
        <v>554</v>
      </c>
      <c r="D266" s="12">
        <v>4.6800000000000001E-2</v>
      </c>
      <c r="E266" s="12">
        <v>0.26419999999999999</v>
      </c>
      <c r="F266" s="12">
        <v>0.32119999999999999</v>
      </c>
      <c r="H266" s="271"/>
      <c r="I266">
        <f t="shared" si="13"/>
        <v>0</v>
      </c>
      <c r="K266" s="342" t="s">
        <v>554</v>
      </c>
      <c r="L266" s="342" t="s">
        <v>553</v>
      </c>
      <c r="M266" s="342" t="str">
        <f t="shared" si="12"/>
        <v>23042 SOUTHSIDE SCHOOL DISTRICT</v>
      </c>
      <c r="N266" s="264">
        <v>4.6800000000000001E-2</v>
      </c>
      <c r="O266" s="265">
        <v>0.26419999999999999</v>
      </c>
    </row>
    <row r="267" spans="2:15">
      <c r="B267" s="59" t="s">
        <v>555</v>
      </c>
      <c r="C267" t="s">
        <v>556</v>
      </c>
      <c r="D267" s="12">
        <v>4.65E-2</v>
      </c>
      <c r="E267" s="12">
        <v>0.1232</v>
      </c>
      <c r="F267" s="12">
        <v>0.1221</v>
      </c>
      <c r="H267" s="271"/>
      <c r="I267">
        <f t="shared" si="13"/>
        <v>0</v>
      </c>
      <c r="K267" s="342" t="s">
        <v>556</v>
      </c>
      <c r="L267" s="342" t="s">
        <v>555</v>
      </c>
      <c r="M267" s="342" t="str">
        <f t="shared" si="12"/>
        <v>32081 SPOKANE SCHOOL DISTRICT</v>
      </c>
      <c r="N267" s="264">
        <v>4.65E-2</v>
      </c>
      <c r="O267" s="265">
        <v>0.1232</v>
      </c>
    </row>
    <row r="268" spans="2:15">
      <c r="B268" s="163" t="s">
        <v>557</v>
      </c>
      <c r="C268" s="78" t="s">
        <v>1219</v>
      </c>
      <c r="D268" s="12">
        <v>2.9100000000000001E-2</v>
      </c>
      <c r="E268" s="12">
        <v>0.30209999999999998</v>
      </c>
      <c r="F268" s="12">
        <v>0.3952</v>
      </c>
      <c r="H268" s="271"/>
      <c r="I268">
        <f t="shared" si="13"/>
        <v>0</v>
      </c>
      <c r="K268" s="342" t="s">
        <v>1097</v>
      </c>
      <c r="L268" s="342" t="s">
        <v>557</v>
      </c>
      <c r="M268" s="345" t="str">
        <f>CONCATENATE(L268," ",K268," CHARTER")</f>
        <v>32901 SPOKANE INT'L CHARTER</v>
      </c>
      <c r="N268" s="264">
        <v>2.9100000000000001E-2</v>
      </c>
      <c r="O268" s="266">
        <v>0.30209999999999998</v>
      </c>
    </row>
    <row r="269" spans="2:15">
      <c r="B269" s="59" t="s">
        <v>559</v>
      </c>
      <c r="C269" t="s">
        <v>560</v>
      </c>
      <c r="D269" s="12">
        <v>3.7199999999999997E-2</v>
      </c>
      <c r="E269" s="12">
        <v>0.25740000000000002</v>
      </c>
      <c r="F269" s="12">
        <v>0.28610000000000002</v>
      </c>
      <c r="H269" s="271"/>
      <c r="I269">
        <f t="shared" si="13"/>
        <v>0</v>
      </c>
      <c r="K269" s="342" t="s">
        <v>560</v>
      </c>
      <c r="L269" s="342" t="s">
        <v>559</v>
      </c>
      <c r="M269" s="342" t="str">
        <f t="shared" ref="M269:M279" si="14">CONCATENATE(L269," ",K269," SCHOOL DISTRICT")</f>
        <v>22008 SPRAGUE SCHOOL DISTRICT</v>
      </c>
      <c r="N269" s="264">
        <v>3.7199999999999997E-2</v>
      </c>
      <c r="O269" s="265">
        <v>0.25740000000000002</v>
      </c>
    </row>
    <row r="270" spans="2:15">
      <c r="B270" s="59" t="s">
        <v>561</v>
      </c>
      <c r="C270" t="s">
        <v>1220</v>
      </c>
      <c r="D270" s="12">
        <v>4.5199999999999997E-2</v>
      </c>
      <c r="E270" s="12">
        <v>0.2271</v>
      </c>
      <c r="F270" s="12">
        <v>0.26819999999999999</v>
      </c>
      <c r="H270" s="271"/>
      <c r="I270">
        <f t="shared" si="13"/>
        <v>0</v>
      </c>
      <c r="K270" s="342" t="s">
        <v>562</v>
      </c>
      <c r="L270" s="342" t="s">
        <v>561</v>
      </c>
      <c r="M270" s="342" t="str">
        <f t="shared" si="14"/>
        <v>38322 ST JOHN SCHOOL DISTRICT</v>
      </c>
      <c r="N270" s="264">
        <v>4.5199999999999997E-2</v>
      </c>
      <c r="O270" s="265">
        <v>0.2271</v>
      </c>
    </row>
    <row r="271" spans="2:15">
      <c r="B271" s="59" t="s">
        <v>563</v>
      </c>
      <c r="C271" t="s">
        <v>564</v>
      </c>
      <c r="D271" s="12">
        <v>0.04</v>
      </c>
      <c r="E271" s="12">
        <v>0.14599999999999999</v>
      </c>
      <c r="F271" s="12">
        <v>0.15079999999999999</v>
      </c>
      <c r="H271" s="271"/>
      <c r="I271">
        <f t="shared" si="13"/>
        <v>0</v>
      </c>
      <c r="K271" s="342" t="s">
        <v>564</v>
      </c>
      <c r="L271" s="342" t="s">
        <v>563</v>
      </c>
      <c r="M271" s="342" t="str">
        <f t="shared" si="14"/>
        <v>31401 STANWOOD SCHOOL DISTRICT</v>
      </c>
      <c r="N271" s="264">
        <v>0.04</v>
      </c>
      <c r="O271" s="265">
        <v>0.14599999999999999</v>
      </c>
    </row>
    <row r="272" spans="2:15">
      <c r="B272" s="59" t="s">
        <v>565</v>
      </c>
      <c r="C272" t="s">
        <v>566</v>
      </c>
      <c r="D272" s="12">
        <v>0</v>
      </c>
      <c r="E272" s="12">
        <v>0.31900000000000001</v>
      </c>
      <c r="F272" s="12">
        <v>0.32650000000000001</v>
      </c>
      <c r="H272" s="271"/>
      <c r="I272">
        <f t="shared" si="13"/>
        <v>0</v>
      </c>
      <c r="K272" s="342" t="s">
        <v>566</v>
      </c>
      <c r="L272" s="342" t="s">
        <v>565</v>
      </c>
      <c r="M272" s="342" t="str">
        <f t="shared" si="14"/>
        <v>11054 STAR SCHOOL DISTRICT</v>
      </c>
      <c r="N272" s="264">
        <v>0</v>
      </c>
      <c r="O272" s="265">
        <v>0.31900000000000001</v>
      </c>
    </row>
    <row r="273" spans="2:15">
      <c r="B273" s="59" t="s">
        <v>567</v>
      </c>
      <c r="C273" t="s">
        <v>568</v>
      </c>
      <c r="D273" s="12">
        <v>0.12809999999999999</v>
      </c>
      <c r="E273" s="12">
        <v>0.30280000000000001</v>
      </c>
      <c r="F273" s="12">
        <v>0.27929999999999999</v>
      </c>
      <c r="H273" s="271"/>
      <c r="I273">
        <f t="shared" si="13"/>
        <v>0</v>
      </c>
      <c r="K273" s="342" t="s">
        <v>568</v>
      </c>
      <c r="L273" s="342" t="s">
        <v>567</v>
      </c>
      <c r="M273" s="342" t="str">
        <f t="shared" si="14"/>
        <v>07035 STARBUCK SCHOOL DISTRICT</v>
      </c>
      <c r="N273" s="264">
        <v>0.12809999999999999</v>
      </c>
      <c r="O273" s="265">
        <v>0.30280000000000001</v>
      </c>
    </row>
    <row r="274" spans="2:15">
      <c r="B274" s="59" t="s">
        <v>569</v>
      </c>
      <c r="C274" t="s">
        <v>570</v>
      </c>
      <c r="D274" s="12">
        <v>0.27710000000000001</v>
      </c>
      <c r="E274" s="12">
        <v>0.73470000000000002</v>
      </c>
      <c r="F274" s="12">
        <v>0.83989999999999998</v>
      </c>
      <c r="H274" s="271"/>
      <c r="I274">
        <f t="shared" si="13"/>
        <v>0</v>
      </c>
      <c r="K274" s="342" t="s">
        <v>570</v>
      </c>
      <c r="L274" s="342" t="s">
        <v>569</v>
      </c>
      <c r="M274" s="342" t="str">
        <f t="shared" si="14"/>
        <v>04069 STEHEKIN SCHOOL DISTRICT</v>
      </c>
      <c r="N274" s="264">
        <v>0.27710000000000001</v>
      </c>
      <c r="O274" s="265">
        <v>0.73470000000000002</v>
      </c>
    </row>
    <row r="275" spans="2:15">
      <c r="B275" s="59" t="s">
        <v>571</v>
      </c>
      <c r="C275" t="s">
        <v>572</v>
      </c>
      <c r="D275" s="12">
        <v>1.3100000000000001E-2</v>
      </c>
      <c r="E275" s="12">
        <v>0.192</v>
      </c>
      <c r="F275" s="12">
        <v>0.20669999999999999</v>
      </c>
      <c r="H275" s="271"/>
      <c r="I275">
        <f t="shared" si="13"/>
        <v>0</v>
      </c>
      <c r="K275" s="342" t="s">
        <v>572</v>
      </c>
      <c r="L275" s="342" t="s">
        <v>571</v>
      </c>
      <c r="M275" s="342" t="str">
        <f t="shared" si="14"/>
        <v>27001 STEILACOOM HIST. SCHOOL DISTRICT</v>
      </c>
      <c r="N275" s="264">
        <v>1.3100000000000001E-2</v>
      </c>
      <c r="O275" s="265">
        <v>0.192</v>
      </c>
    </row>
    <row r="276" spans="2:15">
      <c r="B276" s="59" t="s">
        <v>573</v>
      </c>
      <c r="C276" t="s">
        <v>574</v>
      </c>
      <c r="D276" s="12">
        <v>0.1081</v>
      </c>
      <c r="E276" s="12">
        <v>0.28849999999999998</v>
      </c>
      <c r="F276" s="12">
        <v>0.29730000000000001</v>
      </c>
      <c r="H276" s="271"/>
      <c r="I276">
        <f t="shared" si="13"/>
        <v>0</v>
      </c>
      <c r="K276" s="342" t="s">
        <v>574</v>
      </c>
      <c r="L276" s="342" t="s">
        <v>573</v>
      </c>
      <c r="M276" s="342" t="str">
        <f t="shared" si="14"/>
        <v>38304 STEPTOE SCHOOL DISTRICT</v>
      </c>
      <c r="N276" s="264">
        <v>0.1081</v>
      </c>
      <c r="O276" s="265">
        <v>0.28849999999999998</v>
      </c>
    </row>
    <row r="277" spans="2:15">
      <c r="B277" s="59" t="s">
        <v>575</v>
      </c>
      <c r="C277" t="s">
        <v>576</v>
      </c>
      <c r="D277" s="12">
        <v>6.0400000000000002E-2</v>
      </c>
      <c r="E277" s="12">
        <v>0.2094</v>
      </c>
      <c r="F277" s="12">
        <v>0.25130000000000002</v>
      </c>
      <c r="H277" s="271"/>
      <c r="I277">
        <f t="shared" si="13"/>
        <v>0</v>
      </c>
      <c r="K277" s="342" t="s">
        <v>576</v>
      </c>
      <c r="L277" s="342" t="s">
        <v>575</v>
      </c>
      <c r="M277" s="342" t="str">
        <f t="shared" si="14"/>
        <v>30303 STEVENSON-CARSON SCHOOL DISTRICT</v>
      </c>
      <c r="N277" s="264">
        <v>6.0400000000000002E-2</v>
      </c>
      <c r="O277" s="265">
        <v>0.2094</v>
      </c>
    </row>
    <row r="278" spans="2:15">
      <c r="B278" s="59" t="s">
        <v>577</v>
      </c>
      <c r="C278" t="s">
        <v>578</v>
      </c>
      <c r="D278" s="12">
        <v>4.9399999999999999E-2</v>
      </c>
      <c r="E278" s="12">
        <v>0.16220000000000001</v>
      </c>
      <c r="F278" s="12">
        <v>0.18029999999999999</v>
      </c>
      <c r="H278" s="271"/>
      <c r="I278">
        <f t="shared" si="13"/>
        <v>0</v>
      </c>
      <c r="K278" s="342" t="s">
        <v>578</v>
      </c>
      <c r="L278" s="342" t="s">
        <v>577</v>
      </c>
      <c r="M278" s="342" t="str">
        <f t="shared" si="14"/>
        <v>31311 SULTAN SCHOOL DISTRICT</v>
      </c>
      <c r="N278" s="264">
        <v>4.9399999999999999E-2</v>
      </c>
      <c r="O278" s="265">
        <v>0.16220000000000001</v>
      </c>
    </row>
    <row r="279" spans="2:15">
      <c r="B279" s="59" t="s">
        <v>579</v>
      </c>
      <c r="C279" t="s">
        <v>580</v>
      </c>
      <c r="D279" s="12">
        <v>4.9700000000000001E-2</v>
      </c>
      <c r="E279" s="12">
        <v>0.29649999999999999</v>
      </c>
      <c r="F279" s="12">
        <v>0.36209999999999998</v>
      </c>
      <c r="H279" s="271"/>
      <c r="I279">
        <f t="shared" si="13"/>
        <v>0</v>
      </c>
      <c r="K279" s="342" t="s">
        <v>580</v>
      </c>
      <c r="L279" s="342" t="s">
        <v>579</v>
      </c>
      <c r="M279" s="342" t="str">
        <f t="shared" si="14"/>
        <v>33202 SUMMIT VALLEY SCHOOL DISTRICT</v>
      </c>
      <c r="N279" s="264">
        <v>4.9700000000000001E-2</v>
      </c>
      <c r="O279" s="266">
        <v>0.29649999999999999</v>
      </c>
    </row>
    <row r="280" spans="2:15">
      <c r="B280" s="279" t="s">
        <v>581</v>
      </c>
      <c r="C280" s="78" t="s">
        <v>1221</v>
      </c>
      <c r="D280" s="12">
        <v>0.08</v>
      </c>
      <c r="E280" s="12">
        <v>0.1</v>
      </c>
      <c r="F280" s="12">
        <v>0.1</v>
      </c>
      <c r="H280" s="271"/>
      <c r="I280">
        <f t="shared" si="13"/>
        <v>0</v>
      </c>
      <c r="K280" s="342" t="s">
        <v>1110</v>
      </c>
      <c r="L280" s="343" t="s">
        <v>581</v>
      </c>
      <c r="M280" s="343" t="str">
        <f>CONCATENATE(L280," ",K280," CHARTER")</f>
        <v>17905 SUMMIT: ATLAS CHARTER</v>
      </c>
      <c r="N280" s="264">
        <v>0.08</v>
      </c>
      <c r="O280" s="265">
        <v>0.1</v>
      </c>
    </row>
    <row r="281" spans="2:15">
      <c r="B281" s="163" t="s">
        <v>583</v>
      </c>
      <c r="C281" s="78" t="s">
        <v>1112</v>
      </c>
      <c r="D281" s="12">
        <v>0.1346</v>
      </c>
      <c r="E281" s="12">
        <v>0.36520000000000002</v>
      </c>
      <c r="F281" s="12">
        <v>0.29160000000000003</v>
      </c>
      <c r="H281" s="271"/>
      <c r="I281">
        <f t="shared" si="13"/>
        <v>0</v>
      </c>
      <c r="K281" s="342" t="s">
        <v>1112</v>
      </c>
      <c r="L281" s="343" t="s">
        <v>583</v>
      </c>
      <c r="M281" s="343" t="str">
        <f>CONCATENATE(L281," ",K281," CHARTER")</f>
        <v>27905 SUMMIT: OLYMPUS CHARTER</v>
      </c>
      <c r="N281" s="264">
        <v>0.1346</v>
      </c>
      <c r="O281" s="265">
        <v>0.36520000000000002</v>
      </c>
    </row>
    <row r="282" spans="2:15">
      <c r="B282" s="163" t="s">
        <v>585</v>
      </c>
      <c r="C282" s="78" t="s">
        <v>1114</v>
      </c>
      <c r="D282" s="12">
        <v>0.1638</v>
      </c>
      <c r="E282" s="12">
        <v>0.30520000000000003</v>
      </c>
      <c r="F282" s="12">
        <v>0.2717</v>
      </c>
      <c r="H282" s="271"/>
      <c r="I282">
        <f t="shared" si="13"/>
        <v>0</v>
      </c>
      <c r="K282" s="342" t="s">
        <v>1114</v>
      </c>
      <c r="L282" s="343" t="s">
        <v>585</v>
      </c>
      <c r="M282" s="343" t="str">
        <f>CONCATENATE(L282," ",K282," CHARTER")</f>
        <v>17902 SUMMIT: SIERRA CHARTER</v>
      </c>
      <c r="N282" s="264">
        <v>0.1638</v>
      </c>
      <c r="O282" s="266">
        <v>0.30520000000000003</v>
      </c>
    </row>
    <row r="283" spans="2:15">
      <c r="B283" s="59" t="s">
        <v>587</v>
      </c>
      <c r="C283" t="s">
        <v>1116</v>
      </c>
      <c r="D283" s="12">
        <v>3.7699999999999997E-2</v>
      </c>
      <c r="E283" s="12">
        <v>0.1348</v>
      </c>
      <c r="F283" s="12">
        <v>0.12690000000000001</v>
      </c>
      <c r="H283" s="271"/>
      <c r="I283">
        <f t="shared" si="13"/>
        <v>0</v>
      </c>
      <c r="K283" s="342" t="s">
        <v>1116</v>
      </c>
      <c r="L283" s="342" t="s">
        <v>587</v>
      </c>
      <c r="M283" s="342" t="str">
        <f>CONCATENATE(L283," ",K283," SCHOOL DISTRICT")</f>
        <v>27320 SUMNER SCHOOL DISTRICT</v>
      </c>
      <c r="N283" s="264">
        <v>3.7699999999999997E-2</v>
      </c>
      <c r="O283" s="265">
        <v>0.1348</v>
      </c>
    </row>
    <row r="284" spans="2:15">
      <c r="B284" s="59" t="s">
        <v>589</v>
      </c>
      <c r="C284" t="s">
        <v>590</v>
      </c>
      <c r="D284" s="12">
        <v>3.39E-2</v>
      </c>
      <c r="E284" s="12">
        <v>0.15479999999999999</v>
      </c>
      <c r="F284" s="12">
        <v>0.1421</v>
      </c>
      <c r="H284" s="271"/>
      <c r="I284">
        <f t="shared" si="13"/>
        <v>0</v>
      </c>
      <c r="K284" s="342" t="s">
        <v>590</v>
      </c>
      <c r="L284" s="342" t="s">
        <v>589</v>
      </c>
      <c r="M284" s="342" t="str">
        <f>CONCATENATE(L284," ",K284," SCHOOL DISTRICT")</f>
        <v>39201 SUNNYSIDE SCHOOL DISTRICT</v>
      </c>
      <c r="N284" s="264">
        <v>3.39E-2</v>
      </c>
      <c r="O284" s="265">
        <v>0.15479999999999999</v>
      </c>
    </row>
    <row r="285" spans="2:15">
      <c r="B285" s="348" t="s">
        <v>591</v>
      </c>
      <c r="C285" t="s">
        <v>1222</v>
      </c>
      <c r="D285" s="12">
        <v>0.08</v>
      </c>
      <c r="E285" s="12">
        <v>0.1</v>
      </c>
      <c r="F285" s="12">
        <v>0.1</v>
      </c>
      <c r="H285" s="271"/>
      <c r="I285">
        <f t="shared" si="13"/>
        <v>0</v>
      </c>
      <c r="K285" s="342" t="s">
        <v>1119</v>
      </c>
      <c r="L285" s="342" t="s">
        <v>591</v>
      </c>
      <c r="M285" s="345" t="str">
        <f>CONCATENATE(L285," ",K285," TRIBAL COMPACT")</f>
        <v>18902 SUQUAMISH TRIBAL COMPACT</v>
      </c>
      <c r="N285" s="264">
        <v>0.08</v>
      </c>
      <c r="O285" s="265">
        <v>0.1</v>
      </c>
    </row>
    <row r="286" spans="2:15">
      <c r="B286" s="59" t="s">
        <v>593</v>
      </c>
      <c r="C286" t="s">
        <v>594</v>
      </c>
      <c r="D286" s="12">
        <v>4.8099999999999997E-2</v>
      </c>
      <c r="E286" s="12">
        <v>0.12540000000000001</v>
      </c>
      <c r="F286" s="12">
        <v>0.10050000000000001</v>
      </c>
      <c r="H286" s="271"/>
      <c r="I286">
        <f t="shared" si="13"/>
        <v>0</v>
      </c>
      <c r="K286" s="342" t="s">
        <v>594</v>
      </c>
      <c r="L286" s="342" t="s">
        <v>593</v>
      </c>
      <c r="M286" s="342" t="str">
        <f t="shared" ref="M286:M304" si="15">CONCATENATE(L286," ",K286," SCHOOL DISTRICT")</f>
        <v>27010 TACOMA SCHOOL DISTRICT</v>
      </c>
      <c r="N286" s="264">
        <v>4.8099999999999997E-2</v>
      </c>
      <c r="O286" s="265">
        <v>0.12540000000000001</v>
      </c>
    </row>
    <row r="287" spans="2:15">
      <c r="B287" s="59" t="s">
        <v>595</v>
      </c>
      <c r="C287" t="s">
        <v>596</v>
      </c>
      <c r="D287" s="12">
        <v>0.13780000000000001</v>
      </c>
      <c r="E287" s="12">
        <v>0.34920000000000001</v>
      </c>
      <c r="F287" s="12">
        <v>0.2928</v>
      </c>
      <c r="H287" s="271"/>
      <c r="I287">
        <f t="shared" si="13"/>
        <v>0</v>
      </c>
      <c r="K287" s="342" t="s">
        <v>596</v>
      </c>
      <c r="L287" s="342" t="s">
        <v>595</v>
      </c>
      <c r="M287" s="342" t="str">
        <f t="shared" si="15"/>
        <v>14077 TAHOLAH SCHOOL DISTRICT</v>
      </c>
      <c r="N287" s="264">
        <v>0.13780000000000001</v>
      </c>
      <c r="O287" s="265">
        <v>0.34920000000000001</v>
      </c>
    </row>
    <row r="288" spans="2:15">
      <c r="B288" s="59" t="s">
        <v>597</v>
      </c>
      <c r="C288" t="s">
        <v>598</v>
      </c>
      <c r="D288" s="12">
        <v>3.0300000000000001E-2</v>
      </c>
      <c r="E288" s="12">
        <v>0.14829999999999999</v>
      </c>
      <c r="F288" s="12">
        <v>0.14979999999999999</v>
      </c>
      <c r="H288" s="271"/>
      <c r="I288">
        <f t="shared" si="13"/>
        <v>0</v>
      </c>
      <c r="K288" s="342" t="s">
        <v>598</v>
      </c>
      <c r="L288" s="342" t="s">
        <v>597</v>
      </c>
      <c r="M288" s="342" t="str">
        <f t="shared" si="15"/>
        <v>17409 TAHOMA SCHOOL DISTRICT</v>
      </c>
      <c r="N288" s="264">
        <v>3.0300000000000001E-2</v>
      </c>
      <c r="O288" s="265">
        <v>0.14829999999999999</v>
      </c>
    </row>
    <row r="289" spans="2:15">
      <c r="B289" s="59" t="s">
        <v>599</v>
      </c>
      <c r="C289" t="s">
        <v>600</v>
      </c>
      <c r="D289" s="12">
        <v>2.5399999999999999E-2</v>
      </c>
      <c r="E289" s="12">
        <v>0.17180000000000001</v>
      </c>
      <c r="F289" s="12">
        <v>0.1409</v>
      </c>
      <c r="H289" s="271"/>
      <c r="I289">
        <f t="shared" si="13"/>
        <v>0</v>
      </c>
      <c r="K289" s="342" t="s">
        <v>600</v>
      </c>
      <c r="L289" s="342" t="s">
        <v>599</v>
      </c>
      <c r="M289" s="342" t="str">
        <f t="shared" si="15"/>
        <v>38265 TEKOA SCHOOL DISTRICT</v>
      </c>
      <c r="N289" s="264">
        <v>2.5399999999999999E-2</v>
      </c>
      <c r="O289" s="265">
        <v>0.17180000000000001</v>
      </c>
    </row>
    <row r="290" spans="2:15">
      <c r="B290" s="59" t="s">
        <v>601</v>
      </c>
      <c r="C290" t="s">
        <v>602</v>
      </c>
      <c r="D290" s="12">
        <v>4.7500000000000001E-2</v>
      </c>
      <c r="E290" s="12">
        <v>0.18990000000000001</v>
      </c>
      <c r="F290" s="12">
        <v>0.20269999999999999</v>
      </c>
      <c r="H290" s="271"/>
      <c r="I290">
        <f t="shared" si="13"/>
        <v>0</v>
      </c>
      <c r="K290" s="342" t="s">
        <v>602</v>
      </c>
      <c r="L290" s="342" t="s">
        <v>601</v>
      </c>
      <c r="M290" s="342" t="str">
        <f t="shared" si="15"/>
        <v>34402 TENINO SCHOOL DISTRICT</v>
      </c>
      <c r="N290" s="264">
        <v>4.7500000000000001E-2</v>
      </c>
      <c r="O290" s="265">
        <v>0.18990000000000001</v>
      </c>
    </row>
    <row r="291" spans="2:15">
      <c r="B291" s="59" t="s">
        <v>603</v>
      </c>
      <c r="C291" t="s">
        <v>604</v>
      </c>
      <c r="D291" s="12">
        <v>6.25E-2</v>
      </c>
      <c r="E291" s="12">
        <v>0.28520000000000001</v>
      </c>
      <c r="F291" s="12">
        <v>0.2843</v>
      </c>
      <c r="H291" s="271"/>
      <c r="I291">
        <f t="shared" si="13"/>
        <v>0</v>
      </c>
      <c r="K291" s="342" t="s">
        <v>604</v>
      </c>
      <c r="L291" s="342" t="s">
        <v>603</v>
      </c>
      <c r="M291" s="342" t="str">
        <f t="shared" si="15"/>
        <v>19400 THORP SCHOOL DISTRICT</v>
      </c>
      <c r="N291" s="264">
        <v>6.25E-2</v>
      </c>
      <c r="O291" s="265">
        <v>0.28520000000000001</v>
      </c>
    </row>
    <row r="292" spans="2:15">
      <c r="B292" s="59" t="s">
        <v>605</v>
      </c>
      <c r="C292" t="s">
        <v>606</v>
      </c>
      <c r="D292" s="12">
        <v>4.7899999999999998E-2</v>
      </c>
      <c r="E292" s="12">
        <v>0.20519999999999999</v>
      </c>
      <c r="F292" s="12">
        <v>0.19689999999999999</v>
      </c>
      <c r="H292" s="271"/>
      <c r="I292">
        <f t="shared" si="13"/>
        <v>0</v>
      </c>
      <c r="K292" s="342" t="s">
        <v>606</v>
      </c>
      <c r="L292" s="342" t="s">
        <v>605</v>
      </c>
      <c r="M292" s="342" t="str">
        <f t="shared" si="15"/>
        <v>21237 TOLEDO SCHOOL DISTRICT</v>
      </c>
      <c r="N292" s="264">
        <v>4.7899999999999998E-2</v>
      </c>
      <c r="O292" s="265">
        <v>0.20519999999999999</v>
      </c>
    </row>
    <row r="293" spans="2:15">
      <c r="B293" s="59" t="s">
        <v>607</v>
      </c>
      <c r="C293" t="s">
        <v>608</v>
      </c>
      <c r="D293" s="12">
        <v>5.4300000000000001E-2</v>
      </c>
      <c r="E293" s="12">
        <v>0.1855</v>
      </c>
      <c r="F293" s="12">
        <v>0.1757</v>
      </c>
      <c r="H293" s="271"/>
      <c r="I293">
        <f t="shared" si="13"/>
        <v>0</v>
      </c>
      <c r="K293" s="342" t="s">
        <v>608</v>
      </c>
      <c r="L293" s="342" t="s">
        <v>607</v>
      </c>
      <c r="M293" s="342" t="str">
        <f t="shared" si="15"/>
        <v>24404 TONASKET SCHOOL DISTRICT</v>
      </c>
      <c r="N293" s="264">
        <v>5.4300000000000001E-2</v>
      </c>
      <c r="O293" s="265">
        <v>0.1855</v>
      </c>
    </row>
    <row r="294" spans="2:15">
      <c r="B294" s="59" t="s">
        <v>609</v>
      </c>
      <c r="C294" t="s">
        <v>610</v>
      </c>
      <c r="D294" s="12">
        <v>8.6099999999999996E-2</v>
      </c>
      <c r="E294" s="12">
        <v>0.17230000000000001</v>
      </c>
      <c r="F294" s="12">
        <v>0.15809999999999999</v>
      </c>
      <c r="H294" s="271"/>
      <c r="I294">
        <f t="shared" si="13"/>
        <v>0</v>
      </c>
      <c r="K294" s="342" t="s">
        <v>610</v>
      </c>
      <c r="L294" s="342" t="s">
        <v>609</v>
      </c>
      <c r="M294" s="342" t="str">
        <f t="shared" si="15"/>
        <v>39202 TOPPENISH SCHOOL DISTRICT</v>
      </c>
      <c r="N294" s="264">
        <v>8.6099999999999996E-2</v>
      </c>
      <c r="O294" s="265">
        <v>0.17230000000000001</v>
      </c>
    </row>
    <row r="295" spans="2:15">
      <c r="B295" s="59" t="s">
        <v>611</v>
      </c>
      <c r="C295" t="s">
        <v>612</v>
      </c>
      <c r="D295" s="12">
        <v>7.7899999999999997E-2</v>
      </c>
      <c r="E295" s="12">
        <v>0.33779999999999999</v>
      </c>
      <c r="F295" s="12">
        <v>0.29370000000000002</v>
      </c>
      <c r="H295" s="271"/>
      <c r="I295">
        <f t="shared" si="13"/>
        <v>0</v>
      </c>
      <c r="K295" s="342" t="s">
        <v>612</v>
      </c>
      <c r="L295" s="342" t="s">
        <v>611</v>
      </c>
      <c r="M295" s="342" t="str">
        <f t="shared" si="15"/>
        <v>36300 TOUCHET SCHOOL DISTRICT</v>
      </c>
      <c r="N295" s="264">
        <v>7.7899999999999997E-2</v>
      </c>
      <c r="O295" s="265">
        <v>0.33779999999999999</v>
      </c>
    </row>
    <row r="296" spans="2:15">
      <c r="B296" s="59" t="s">
        <v>613</v>
      </c>
      <c r="C296" t="s">
        <v>614</v>
      </c>
      <c r="D296" s="12">
        <v>4.7699999999999999E-2</v>
      </c>
      <c r="E296" s="12">
        <v>0.15909999999999999</v>
      </c>
      <c r="F296" s="12">
        <v>0.1406</v>
      </c>
      <c r="H296" s="271"/>
      <c r="I296">
        <f t="shared" si="13"/>
        <v>0</v>
      </c>
      <c r="K296" s="342" t="s">
        <v>614</v>
      </c>
      <c r="L296" s="342" t="s">
        <v>613</v>
      </c>
      <c r="M296" s="342" t="str">
        <f t="shared" si="15"/>
        <v>08130 TOUTLE LAKE SCHOOL DISTRICT</v>
      </c>
      <c r="N296" s="264">
        <v>4.7699999999999999E-2</v>
      </c>
      <c r="O296" s="265">
        <v>0.15909999999999999</v>
      </c>
    </row>
    <row r="297" spans="2:15">
      <c r="B297" s="59" t="s">
        <v>615</v>
      </c>
      <c r="C297" t="s">
        <v>616</v>
      </c>
      <c r="D297" s="12">
        <v>5.1999999999999998E-2</v>
      </c>
      <c r="E297" s="12">
        <v>0.30730000000000002</v>
      </c>
      <c r="F297" s="12">
        <v>0.35260000000000002</v>
      </c>
      <c r="H297" s="271"/>
      <c r="I297">
        <f t="shared" si="13"/>
        <v>0</v>
      </c>
      <c r="K297" s="342" t="s">
        <v>616</v>
      </c>
      <c r="L297" s="342" t="s">
        <v>615</v>
      </c>
      <c r="M297" s="342" t="str">
        <f t="shared" si="15"/>
        <v>20400 TROUT LAKE SCHOOL DISTRICT</v>
      </c>
      <c r="N297" s="264">
        <v>5.1999999999999998E-2</v>
      </c>
      <c r="O297" s="265">
        <v>0.30730000000000002</v>
      </c>
    </row>
    <row r="298" spans="2:15">
      <c r="B298" s="59" t="s">
        <v>617</v>
      </c>
      <c r="C298" t="s">
        <v>1133</v>
      </c>
      <c r="D298" s="12">
        <v>2.9100000000000001E-2</v>
      </c>
      <c r="E298" s="12">
        <v>0.18110000000000001</v>
      </c>
      <c r="F298" s="12">
        <v>0.18840000000000001</v>
      </c>
      <c r="H298" s="271"/>
      <c r="I298">
        <f t="shared" si="13"/>
        <v>0</v>
      </c>
      <c r="K298" s="342" t="s">
        <v>1133</v>
      </c>
      <c r="L298" s="342" t="s">
        <v>617</v>
      </c>
      <c r="M298" s="342" t="str">
        <f t="shared" si="15"/>
        <v>17406 TUKWILA SCHOOL DISTRICT</v>
      </c>
      <c r="N298" s="264">
        <v>2.9100000000000001E-2</v>
      </c>
      <c r="O298" s="265">
        <v>0.18110000000000001</v>
      </c>
    </row>
    <row r="299" spans="2:15">
      <c r="B299" s="59" t="s">
        <v>619</v>
      </c>
      <c r="C299" t="s">
        <v>620</v>
      </c>
      <c r="D299" s="12">
        <v>2.3599999999999999E-2</v>
      </c>
      <c r="E299" s="12">
        <v>0.14610000000000001</v>
      </c>
      <c r="F299" s="12">
        <v>0.1643</v>
      </c>
      <c r="H299" s="271"/>
      <c r="I299">
        <f t="shared" si="13"/>
        <v>0</v>
      </c>
      <c r="K299" s="342" t="s">
        <v>620</v>
      </c>
      <c r="L299" s="342" t="s">
        <v>619</v>
      </c>
      <c r="M299" s="342" t="str">
        <f t="shared" si="15"/>
        <v>34033 TUMWATER SCHOOL DISTRICT</v>
      </c>
      <c r="N299" s="264">
        <v>2.3599999999999999E-2</v>
      </c>
      <c r="O299" s="265">
        <v>0.14610000000000001</v>
      </c>
    </row>
    <row r="300" spans="2:15">
      <c r="B300" s="59" t="s">
        <v>621</v>
      </c>
      <c r="C300" t="s">
        <v>622</v>
      </c>
      <c r="D300" s="12">
        <v>5.0900000000000001E-2</v>
      </c>
      <c r="E300" s="12">
        <v>0.2185</v>
      </c>
      <c r="F300" s="12">
        <v>0.21890000000000001</v>
      </c>
      <c r="H300" s="271"/>
      <c r="I300">
        <f t="shared" si="13"/>
        <v>0</v>
      </c>
      <c r="K300" s="342" t="s">
        <v>622</v>
      </c>
      <c r="L300" s="342" t="s">
        <v>621</v>
      </c>
      <c r="M300" s="342" t="str">
        <f t="shared" si="15"/>
        <v>39002 UNION GAP SCHOOL DISTRICT</v>
      </c>
      <c r="N300" s="264">
        <v>5.0900000000000001E-2</v>
      </c>
      <c r="O300" s="265">
        <v>0.2185</v>
      </c>
    </row>
    <row r="301" spans="2:15">
      <c r="B301" s="59" t="s">
        <v>623</v>
      </c>
      <c r="C301" t="s">
        <v>624</v>
      </c>
      <c r="D301" s="12">
        <v>3.9100000000000003E-2</v>
      </c>
      <c r="E301" s="12">
        <v>0.15390000000000001</v>
      </c>
      <c r="F301" s="12">
        <v>0.13869999999999999</v>
      </c>
      <c r="H301" s="271"/>
      <c r="I301">
        <f t="shared" si="13"/>
        <v>0</v>
      </c>
      <c r="K301" s="342" t="s">
        <v>624</v>
      </c>
      <c r="L301" s="342" t="s">
        <v>623</v>
      </c>
      <c r="M301" s="342" t="str">
        <f t="shared" si="15"/>
        <v>27083 UNIVERSITY PLACE SCHOOL DISTRICT</v>
      </c>
      <c r="N301" s="264">
        <v>3.9100000000000003E-2</v>
      </c>
      <c r="O301" s="265">
        <v>0.15390000000000001</v>
      </c>
    </row>
    <row r="302" spans="2:15">
      <c r="B302" s="59" t="s">
        <v>625</v>
      </c>
      <c r="C302" t="s">
        <v>626</v>
      </c>
      <c r="D302" s="12">
        <v>5.6099999999999997E-2</v>
      </c>
      <c r="E302" s="12">
        <v>0.2079</v>
      </c>
      <c r="F302" s="12">
        <v>0.18640000000000001</v>
      </c>
      <c r="H302" s="271"/>
      <c r="I302">
        <f t="shared" si="13"/>
        <v>0</v>
      </c>
      <c r="K302" s="342" t="s">
        <v>626</v>
      </c>
      <c r="L302" s="342" t="s">
        <v>625</v>
      </c>
      <c r="M302" s="342" t="str">
        <f t="shared" si="15"/>
        <v>33070 VALLEY SCHOOL DISTRICT</v>
      </c>
      <c r="N302" s="264">
        <v>5.6099999999999997E-2</v>
      </c>
      <c r="O302" s="265">
        <v>0.2079</v>
      </c>
    </row>
    <row r="303" spans="2:15">
      <c r="B303" s="59" t="s">
        <v>627</v>
      </c>
      <c r="C303" t="s">
        <v>628</v>
      </c>
      <c r="D303" s="12">
        <v>6.2600000000000003E-2</v>
      </c>
      <c r="E303" s="12">
        <v>0.1734</v>
      </c>
      <c r="F303" s="12">
        <v>0.18529999999999999</v>
      </c>
      <c r="H303" s="271"/>
      <c r="I303">
        <f t="shared" si="13"/>
        <v>0</v>
      </c>
      <c r="K303" s="342" t="s">
        <v>628</v>
      </c>
      <c r="L303" s="342" t="s">
        <v>627</v>
      </c>
      <c r="M303" s="342" t="str">
        <f t="shared" si="15"/>
        <v>06037 VANCOUVER SCHOOL DISTRICT</v>
      </c>
      <c r="N303" s="264">
        <v>6.2600000000000003E-2</v>
      </c>
      <c r="O303" s="265">
        <v>0.1734</v>
      </c>
    </row>
    <row r="304" spans="2:15">
      <c r="B304" s="59" t="s">
        <v>629</v>
      </c>
      <c r="C304" t="s">
        <v>630</v>
      </c>
      <c r="D304" s="12">
        <v>4.4900000000000002E-2</v>
      </c>
      <c r="E304" s="12">
        <v>0.21510000000000001</v>
      </c>
      <c r="F304" s="12">
        <v>0.1832</v>
      </c>
      <c r="H304" s="271"/>
      <c r="I304">
        <f t="shared" si="13"/>
        <v>0</v>
      </c>
      <c r="K304" s="342" t="s">
        <v>630</v>
      </c>
      <c r="L304" s="342" t="s">
        <v>629</v>
      </c>
      <c r="M304" s="342" t="str">
        <f t="shared" si="15"/>
        <v>17402 VASHON ISLAND SCHOOL DISTRICT</v>
      </c>
      <c r="N304" s="264">
        <v>4.4900000000000002E-2</v>
      </c>
      <c r="O304" s="265">
        <v>0.21510000000000001</v>
      </c>
    </row>
    <row r="305" spans="2:15">
      <c r="B305" s="163" t="s">
        <v>631</v>
      </c>
      <c r="C305" s="78" t="s">
        <v>1223</v>
      </c>
      <c r="D305" s="12">
        <v>0.08</v>
      </c>
      <c r="E305" s="12">
        <v>0.1</v>
      </c>
      <c r="F305" s="12">
        <v>0.1</v>
      </c>
      <c r="H305" s="271"/>
      <c r="I305">
        <f t="shared" si="13"/>
        <v>0</v>
      </c>
      <c r="K305" s="342" t="s">
        <v>632</v>
      </c>
      <c r="L305" s="342" t="s">
        <v>631</v>
      </c>
      <c r="M305" s="345" t="str">
        <f>CONCATENATE(L305," ",K305," TRIBAL COMPACT")</f>
        <v>34901 WA HE LUT TRIBAL COMPACT</v>
      </c>
      <c r="N305" s="264">
        <v>0.08</v>
      </c>
      <c r="O305" s="266">
        <v>0.1</v>
      </c>
    </row>
    <row r="306" spans="2:15">
      <c r="B306" s="59" t="s">
        <v>633</v>
      </c>
      <c r="C306" t="s">
        <v>634</v>
      </c>
      <c r="D306" s="12">
        <v>5.6899999999999999E-2</v>
      </c>
      <c r="E306" s="12">
        <v>0.25080000000000002</v>
      </c>
      <c r="F306" s="12">
        <v>0.27210000000000001</v>
      </c>
      <c r="H306" s="271"/>
      <c r="I306">
        <f t="shared" si="13"/>
        <v>0</v>
      </c>
      <c r="K306" s="342" t="s">
        <v>634</v>
      </c>
      <c r="L306" s="344" t="s">
        <v>633</v>
      </c>
      <c r="M306" s="342" t="str">
        <f t="shared" ref="M306:M318" si="16">CONCATENATE(L306," ",K306," SCHOOL DISTRICT")</f>
        <v>35200 WAHKIAKUM SCHOOL DISTRICT</v>
      </c>
      <c r="N306" s="264">
        <v>5.6899999999999999E-2</v>
      </c>
      <c r="O306" s="265">
        <v>0.25080000000000002</v>
      </c>
    </row>
    <row r="307" spans="2:15">
      <c r="B307" s="59" t="s">
        <v>635</v>
      </c>
      <c r="C307" t="s">
        <v>636</v>
      </c>
      <c r="D307" s="12">
        <v>5.16E-2</v>
      </c>
      <c r="E307" s="12">
        <v>0.159</v>
      </c>
      <c r="F307" s="12">
        <v>0.15440000000000001</v>
      </c>
      <c r="H307" s="271"/>
      <c r="I307">
        <f t="shared" si="13"/>
        <v>0</v>
      </c>
      <c r="K307" s="342" t="s">
        <v>636</v>
      </c>
      <c r="L307" s="342" t="s">
        <v>635</v>
      </c>
      <c r="M307" s="342" t="str">
        <f t="shared" si="16"/>
        <v>13073 WAHLUKE SCHOOL DISTRICT</v>
      </c>
      <c r="N307" s="264">
        <v>5.16E-2</v>
      </c>
      <c r="O307" s="265">
        <v>0.159</v>
      </c>
    </row>
    <row r="308" spans="2:15">
      <c r="B308" s="59" t="s">
        <v>637</v>
      </c>
      <c r="C308" t="s">
        <v>638</v>
      </c>
      <c r="D308" s="12">
        <v>7.4800000000000005E-2</v>
      </c>
      <c r="E308" s="12">
        <v>0.3256</v>
      </c>
      <c r="F308" s="12">
        <v>0.40810000000000002</v>
      </c>
      <c r="H308" s="271"/>
      <c r="I308">
        <f t="shared" si="13"/>
        <v>0</v>
      </c>
      <c r="K308" s="342" t="s">
        <v>638</v>
      </c>
      <c r="L308" s="342" t="s">
        <v>637</v>
      </c>
      <c r="M308" s="342" t="str">
        <f t="shared" si="16"/>
        <v>36401 WAITSBURG SCHOOL DISTRICT</v>
      </c>
      <c r="N308" s="264">
        <v>7.4800000000000005E-2</v>
      </c>
      <c r="O308" s="265">
        <v>0.3256</v>
      </c>
    </row>
    <row r="309" spans="2:15">
      <c r="B309" s="59" t="s">
        <v>639</v>
      </c>
      <c r="C309" t="s">
        <v>640</v>
      </c>
      <c r="D309" s="12">
        <v>6.7400000000000002E-2</v>
      </c>
      <c r="E309" s="12">
        <v>0.20680000000000001</v>
      </c>
      <c r="F309" s="12">
        <v>0.189</v>
      </c>
      <c r="H309" s="271"/>
      <c r="I309">
        <f t="shared" si="13"/>
        <v>0</v>
      </c>
      <c r="K309" s="342" t="s">
        <v>640</v>
      </c>
      <c r="L309" s="342" t="s">
        <v>639</v>
      </c>
      <c r="M309" s="342" t="str">
        <f t="shared" si="16"/>
        <v>36140 WALLA WALLA SCHOOL DISTRICT</v>
      </c>
      <c r="N309" s="264">
        <v>6.7400000000000002E-2</v>
      </c>
      <c r="O309" s="265">
        <v>0.20680000000000001</v>
      </c>
    </row>
    <row r="310" spans="2:15">
      <c r="B310" s="59" t="s">
        <v>641</v>
      </c>
      <c r="C310" t="s">
        <v>642</v>
      </c>
      <c r="D310" s="12">
        <v>5.6599999999999998E-2</v>
      </c>
      <c r="E310" s="12">
        <v>0.20430000000000001</v>
      </c>
      <c r="F310" s="12">
        <v>0.22040000000000001</v>
      </c>
      <c r="H310" s="271"/>
      <c r="I310">
        <f t="shared" si="13"/>
        <v>0</v>
      </c>
      <c r="K310" s="342" t="s">
        <v>642</v>
      </c>
      <c r="L310" s="342" t="s">
        <v>641</v>
      </c>
      <c r="M310" s="342" t="str">
        <f t="shared" si="16"/>
        <v>39207 WAPATO SCHOOL DISTRICT</v>
      </c>
      <c r="N310" s="264">
        <v>5.6599999999999998E-2</v>
      </c>
      <c r="O310" s="265">
        <v>0.20430000000000001</v>
      </c>
    </row>
    <row r="311" spans="2:15">
      <c r="B311" s="59" t="s">
        <v>643</v>
      </c>
      <c r="C311" t="s">
        <v>644</v>
      </c>
      <c r="D311" s="12">
        <v>4.2200000000000001E-2</v>
      </c>
      <c r="E311" s="12">
        <v>0.17780000000000001</v>
      </c>
      <c r="F311" s="12">
        <v>0.16589999999999999</v>
      </c>
      <c r="H311" s="271"/>
      <c r="I311">
        <f t="shared" si="13"/>
        <v>0</v>
      </c>
      <c r="K311" s="342" t="s">
        <v>644</v>
      </c>
      <c r="L311" s="342" t="s">
        <v>643</v>
      </c>
      <c r="M311" s="342" t="str">
        <f t="shared" si="16"/>
        <v>13146 WARDEN SCHOOL DISTRICT</v>
      </c>
      <c r="N311" s="264">
        <v>4.2200000000000001E-2</v>
      </c>
      <c r="O311" s="265">
        <v>0.17780000000000001</v>
      </c>
    </row>
    <row r="312" spans="2:15">
      <c r="B312" s="59" t="s">
        <v>645</v>
      </c>
      <c r="C312" t="s">
        <v>646</v>
      </c>
      <c r="D312" s="12">
        <v>4.4400000000000002E-2</v>
      </c>
      <c r="E312" s="12">
        <v>0.1605</v>
      </c>
      <c r="F312" s="12">
        <v>0.1643</v>
      </c>
      <c r="H312" s="271"/>
      <c r="I312">
        <f t="shared" si="13"/>
        <v>0</v>
      </c>
      <c r="K312" s="342" t="s">
        <v>646</v>
      </c>
      <c r="L312" s="342" t="s">
        <v>645</v>
      </c>
      <c r="M312" s="342" t="str">
        <f t="shared" si="16"/>
        <v>06112 WASHOUGAL SCHOOL DISTRICT</v>
      </c>
      <c r="N312" s="264">
        <v>4.4400000000000002E-2</v>
      </c>
      <c r="O312" s="265">
        <v>0.1605</v>
      </c>
    </row>
    <row r="313" spans="2:15">
      <c r="B313" s="59" t="s">
        <v>647</v>
      </c>
      <c r="C313" t="s">
        <v>648</v>
      </c>
      <c r="D313" s="12">
        <v>3.0200000000000001E-2</v>
      </c>
      <c r="E313" s="12">
        <v>0.2913</v>
      </c>
      <c r="F313" s="12">
        <v>0.24210000000000001</v>
      </c>
      <c r="H313" s="271"/>
      <c r="I313">
        <f t="shared" si="13"/>
        <v>0</v>
      </c>
      <c r="K313" s="342" t="s">
        <v>648</v>
      </c>
      <c r="L313" s="342" t="s">
        <v>647</v>
      </c>
      <c r="M313" s="342" t="str">
        <f t="shared" si="16"/>
        <v>01109 WASHTUCNA SCHOOL DISTRICT</v>
      </c>
      <c r="N313" s="264">
        <v>3.0200000000000001E-2</v>
      </c>
      <c r="O313" s="265">
        <v>0.2913</v>
      </c>
    </row>
    <row r="314" spans="2:15">
      <c r="B314" s="59" t="s">
        <v>649</v>
      </c>
      <c r="C314" t="s">
        <v>650</v>
      </c>
      <c r="D314" s="12">
        <v>6.0299999999999999E-2</v>
      </c>
      <c r="E314" s="12">
        <v>0.24679999999999999</v>
      </c>
      <c r="F314" s="12">
        <v>0.25950000000000001</v>
      </c>
      <c r="H314" s="271"/>
      <c r="I314">
        <f t="shared" si="13"/>
        <v>0</v>
      </c>
      <c r="K314" s="342" t="s">
        <v>650</v>
      </c>
      <c r="L314" s="342" t="s">
        <v>649</v>
      </c>
      <c r="M314" s="342" t="str">
        <f t="shared" si="16"/>
        <v>09209 WATERVILLE SCHOOL DISTRICT</v>
      </c>
      <c r="N314" s="264">
        <v>6.0299999999999999E-2</v>
      </c>
      <c r="O314" s="265">
        <v>0.24679999999999999</v>
      </c>
    </row>
    <row r="315" spans="2:15">
      <c r="B315" s="59" t="s">
        <v>651</v>
      </c>
      <c r="C315" t="s">
        <v>652</v>
      </c>
      <c r="D315" s="12">
        <v>5.2600000000000001E-2</v>
      </c>
      <c r="E315" s="12">
        <v>0.32590000000000002</v>
      </c>
      <c r="F315" s="12">
        <v>0.39660000000000001</v>
      </c>
      <c r="H315" s="271"/>
      <c r="I315">
        <f t="shared" si="13"/>
        <v>0</v>
      </c>
      <c r="K315" s="342" t="s">
        <v>652</v>
      </c>
      <c r="L315" s="342" t="s">
        <v>651</v>
      </c>
      <c r="M315" s="342" t="str">
        <f t="shared" si="16"/>
        <v>33049 WELLPINIT SCHOOL DISTRICT</v>
      </c>
      <c r="N315" s="264">
        <v>5.2600000000000001E-2</v>
      </c>
      <c r="O315" s="265">
        <v>0.32590000000000002</v>
      </c>
    </row>
    <row r="316" spans="2:15">
      <c r="B316" s="59" t="s">
        <v>653</v>
      </c>
      <c r="C316" t="s">
        <v>654</v>
      </c>
      <c r="D316" s="12">
        <v>3.5299999999999998E-2</v>
      </c>
      <c r="E316" s="12">
        <v>0.1208</v>
      </c>
      <c r="F316" s="12">
        <v>0.1086</v>
      </c>
      <c r="H316" s="271"/>
      <c r="I316">
        <f t="shared" si="13"/>
        <v>0</v>
      </c>
      <c r="K316" s="342" t="s">
        <v>654</v>
      </c>
      <c r="L316" s="342" t="s">
        <v>653</v>
      </c>
      <c r="M316" s="342" t="str">
        <f t="shared" si="16"/>
        <v>04246 WENATCHEE SCHOOL DISTRICT</v>
      </c>
      <c r="N316" s="264">
        <v>3.5299999999999998E-2</v>
      </c>
      <c r="O316" s="265">
        <v>0.1208</v>
      </c>
    </row>
    <row r="317" spans="2:15">
      <c r="B317" s="59" t="s">
        <v>655</v>
      </c>
      <c r="C317" t="s">
        <v>1224</v>
      </c>
      <c r="D317" s="12">
        <v>5.7299999999999997E-2</v>
      </c>
      <c r="E317" s="12">
        <v>0.18</v>
      </c>
      <c r="F317" s="12">
        <v>0.1653</v>
      </c>
      <c r="H317" s="271"/>
      <c r="I317">
        <f t="shared" si="13"/>
        <v>0</v>
      </c>
      <c r="K317" s="342" t="s">
        <v>656</v>
      </c>
      <c r="L317" s="342" t="s">
        <v>655</v>
      </c>
      <c r="M317" s="342" t="str">
        <f t="shared" si="16"/>
        <v>32363 WEST VALLEY (SPOKANE) SCHOOL DISTRICT</v>
      </c>
      <c r="N317" s="264">
        <v>5.7299999999999997E-2</v>
      </c>
      <c r="O317" s="265">
        <v>0.18</v>
      </c>
    </row>
    <row r="318" spans="2:15">
      <c r="B318" s="59" t="s">
        <v>657</v>
      </c>
      <c r="C318" t="s">
        <v>1225</v>
      </c>
      <c r="D318" s="12">
        <v>6.2600000000000003E-2</v>
      </c>
      <c r="E318" s="12">
        <v>0.18360000000000001</v>
      </c>
      <c r="F318" s="12">
        <v>0.19370000000000001</v>
      </c>
      <c r="H318" s="271"/>
      <c r="I318">
        <f t="shared" si="13"/>
        <v>0</v>
      </c>
      <c r="K318" s="342" t="s">
        <v>658</v>
      </c>
      <c r="L318" s="342" t="s">
        <v>657</v>
      </c>
      <c r="M318" s="342" t="str">
        <f t="shared" si="16"/>
        <v>39208 WEST VALLEY (YAKIMA) SCHOOL DISTRICT</v>
      </c>
      <c r="N318" s="264">
        <v>6.2600000000000003E-2</v>
      </c>
      <c r="O318" s="265">
        <v>0.18360000000000001</v>
      </c>
    </row>
    <row r="319" spans="2:15">
      <c r="B319" s="351" t="s">
        <v>659</v>
      </c>
      <c r="C319" t="s">
        <v>1226</v>
      </c>
      <c r="D319" s="12">
        <v>0.08</v>
      </c>
      <c r="E319" s="12">
        <v>0.1</v>
      </c>
      <c r="F319" s="12">
        <v>0.1</v>
      </c>
      <c r="H319" s="271"/>
      <c r="I319">
        <f t="shared" si="13"/>
        <v>0</v>
      </c>
      <c r="K319" s="342" t="s">
        <v>660</v>
      </c>
      <c r="L319" s="346" t="s">
        <v>659</v>
      </c>
      <c r="M319" s="343" t="str">
        <f>CONCATENATE(L319," ",K319," CHARTER")</f>
        <v>37902 WHATCOM INTERGENERATIONAL CHARTER</v>
      </c>
      <c r="N319" s="264">
        <v>0.08</v>
      </c>
      <c r="O319" s="265">
        <v>0.1</v>
      </c>
    </row>
    <row r="320" spans="2:15">
      <c r="B320" s="59" t="s">
        <v>661</v>
      </c>
      <c r="C320" t="s">
        <v>662</v>
      </c>
      <c r="D320" s="12">
        <v>3.8300000000000001E-2</v>
      </c>
      <c r="E320" s="12">
        <v>0.2102</v>
      </c>
      <c r="F320" s="12">
        <v>0.25080000000000002</v>
      </c>
      <c r="H320" s="271"/>
      <c r="I320">
        <f t="shared" si="13"/>
        <v>0</v>
      </c>
      <c r="K320" s="342" t="s">
        <v>662</v>
      </c>
      <c r="L320" s="342" t="s">
        <v>661</v>
      </c>
      <c r="M320" s="342" t="str">
        <f>CONCATENATE(L320," ",K320," SCHOOL DISTRICT")</f>
        <v>21303 WHITE PASS SCHOOL DISTRICT</v>
      </c>
      <c r="N320" s="264">
        <v>3.8300000000000001E-2</v>
      </c>
      <c r="O320" s="265">
        <v>0.2102</v>
      </c>
    </row>
    <row r="321" spans="2:15">
      <c r="B321" s="59" t="s">
        <v>663</v>
      </c>
      <c r="C321" t="s">
        <v>664</v>
      </c>
      <c r="D321" s="12">
        <v>3.7199999999999997E-2</v>
      </c>
      <c r="E321" s="12">
        <v>0.15820000000000001</v>
      </c>
      <c r="F321" s="12">
        <v>0.15160000000000001</v>
      </c>
      <c r="H321" s="271"/>
      <c r="I321">
        <f t="shared" si="13"/>
        <v>0</v>
      </c>
      <c r="K321" s="342" t="s">
        <v>664</v>
      </c>
      <c r="L321" s="342" t="s">
        <v>663</v>
      </c>
      <c r="M321" s="342" t="str">
        <f>CONCATENATE(L321," ",K321," SCHOOL DISTRICT")</f>
        <v>27416 WHITE RIVER SCHOOL DISTRICT</v>
      </c>
      <c r="N321" s="264">
        <v>3.7199999999999997E-2</v>
      </c>
      <c r="O321" s="265">
        <v>0.15820000000000001</v>
      </c>
    </row>
    <row r="322" spans="2:15">
      <c r="B322" s="59" t="s">
        <v>665</v>
      </c>
      <c r="C322" t="s">
        <v>666</v>
      </c>
      <c r="D322" s="12">
        <v>5.8999999999999997E-2</v>
      </c>
      <c r="E322" s="12">
        <v>0.16950000000000001</v>
      </c>
      <c r="F322" s="12">
        <v>0.16950000000000001</v>
      </c>
      <c r="H322" s="271"/>
      <c r="I322">
        <f t="shared" si="13"/>
        <v>0</v>
      </c>
      <c r="K322" s="342" t="s">
        <v>666</v>
      </c>
      <c r="L322" s="342" t="s">
        <v>665</v>
      </c>
      <c r="M322" s="342" t="str">
        <f>CONCATENATE(L322," ",K322," SCHOOL DISTRICT")</f>
        <v>20405 WHITE SALMON SCHOOL DISTRICT</v>
      </c>
      <c r="N322" s="264">
        <v>5.8999999999999997E-2</v>
      </c>
      <c r="O322" s="265">
        <v>0.16950000000000001</v>
      </c>
    </row>
    <row r="323" spans="2:15">
      <c r="B323" s="351" t="s">
        <v>667</v>
      </c>
      <c r="C323" t="s">
        <v>1227</v>
      </c>
      <c r="D323" s="12">
        <v>0.08</v>
      </c>
      <c r="E323" s="12">
        <v>0.1</v>
      </c>
      <c r="F323" s="12">
        <v>0.1</v>
      </c>
      <c r="H323" s="271"/>
      <c r="I323">
        <f t="shared" si="13"/>
        <v>0</v>
      </c>
      <c r="K323" s="342" t="s">
        <v>668</v>
      </c>
      <c r="L323" s="343" t="s">
        <v>667</v>
      </c>
      <c r="M323" s="343" t="str">
        <f>CONCATENATE(L323," ",K323," CHARTER")</f>
        <v>17917 WHY NOT YOU CHARTER</v>
      </c>
      <c r="N323" s="264">
        <v>0.08</v>
      </c>
      <c r="O323" s="265">
        <v>0.1</v>
      </c>
    </row>
    <row r="324" spans="2:15">
      <c r="B324" s="59" t="s">
        <v>669</v>
      </c>
      <c r="C324" t="s">
        <v>670</v>
      </c>
      <c r="D324" s="12">
        <v>3.9399999999999998E-2</v>
      </c>
      <c r="E324" s="12">
        <v>0.28320000000000001</v>
      </c>
      <c r="F324" s="12">
        <v>0.33250000000000002</v>
      </c>
      <c r="H324" s="271"/>
      <c r="I324">
        <f t="shared" si="13"/>
        <v>0</v>
      </c>
      <c r="K324" s="342" t="s">
        <v>670</v>
      </c>
      <c r="L324" s="342" t="s">
        <v>669</v>
      </c>
      <c r="M324" s="342" t="str">
        <f t="shared" ref="M324:M334" si="17">CONCATENATE(L324," ",K324," SCHOOL DISTRICT")</f>
        <v>22200 WILBUR SCHOOL DISTRICT</v>
      </c>
      <c r="N324" s="264">
        <v>3.9399999999999998E-2</v>
      </c>
      <c r="O324" s="265">
        <v>0.28320000000000001</v>
      </c>
    </row>
    <row r="325" spans="2:15">
      <c r="B325" s="59" t="s">
        <v>671</v>
      </c>
      <c r="C325" t="s">
        <v>672</v>
      </c>
      <c r="D325" s="12">
        <v>2.69E-2</v>
      </c>
      <c r="E325" s="12">
        <v>0.19059999999999999</v>
      </c>
      <c r="F325" s="12">
        <v>0.19439999999999999</v>
      </c>
      <c r="H325" s="271"/>
      <c r="I325">
        <f t="shared" si="13"/>
        <v>0</v>
      </c>
      <c r="K325" s="342" t="s">
        <v>672</v>
      </c>
      <c r="L325" s="342" t="s">
        <v>671</v>
      </c>
      <c r="M325" s="342" t="str">
        <f t="shared" si="17"/>
        <v>25160 WILLAPA VALLEY SCHOOL DISTRICT</v>
      </c>
      <c r="N325" s="264">
        <v>2.69E-2</v>
      </c>
      <c r="O325" s="265">
        <v>0.19059999999999999</v>
      </c>
    </row>
    <row r="326" spans="2:15">
      <c r="B326" s="59" t="s">
        <v>673</v>
      </c>
      <c r="C326" t="s">
        <v>674</v>
      </c>
      <c r="D326" s="12">
        <v>8.5000000000000006E-2</v>
      </c>
      <c r="E326" s="12">
        <v>0.3548</v>
      </c>
      <c r="F326" s="12">
        <v>0.37059999999999998</v>
      </c>
      <c r="H326" s="271"/>
      <c r="I326">
        <f t="shared" si="13"/>
        <v>0</v>
      </c>
      <c r="K326" s="342" t="s">
        <v>674</v>
      </c>
      <c r="L326" s="342" t="s">
        <v>673</v>
      </c>
      <c r="M326" s="342" t="str">
        <f t="shared" si="17"/>
        <v>13167 WILSON CREEK SCHOOL DISTRICT</v>
      </c>
      <c r="N326" s="264">
        <v>8.5000000000000006E-2</v>
      </c>
      <c r="O326" s="265">
        <v>0.3548</v>
      </c>
    </row>
    <row r="327" spans="2:15">
      <c r="B327" s="59" t="s">
        <v>675</v>
      </c>
      <c r="C327" t="s">
        <v>676</v>
      </c>
      <c r="D327" s="12">
        <v>5.5E-2</v>
      </c>
      <c r="E327" s="12">
        <v>0.22489999999999999</v>
      </c>
      <c r="F327" s="12">
        <v>0.28399999999999997</v>
      </c>
      <c r="H327" s="271"/>
      <c r="I327">
        <f t="shared" si="13"/>
        <v>0</v>
      </c>
      <c r="K327" s="342" t="s">
        <v>676</v>
      </c>
      <c r="L327" s="342" t="s">
        <v>675</v>
      </c>
      <c r="M327" s="342" t="str">
        <f t="shared" si="17"/>
        <v>21232 WINLOCK SCHOOL DISTRICT</v>
      </c>
      <c r="N327" s="264">
        <v>5.5E-2</v>
      </c>
      <c r="O327" s="265">
        <v>0.22489999999999999</v>
      </c>
    </row>
    <row r="328" spans="2:15">
      <c r="B328" s="59" t="s">
        <v>677</v>
      </c>
      <c r="C328" t="s">
        <v>678</v>
      </c>
      <c r="D328" s="12">
        <v>6.4199999999999993E-2</v>
      </c>
      <c r="E328" s="12">
        <v>0.31990000000000002</v>
      </c>
      <c r="F328" s="12">
        <v>0.12670000000000001</v>
      </c>
      <c r="H328" s="271"/>
      <c r="I328">
        <f t="shared" ref="I328:I334" si="18">+L328-B328</f>
        <v>0</v>
      </c>
      <c r="K328" s="342" t="s">
        <v>678</v>
      </c>
      <c r="L328" s="342" t="s">
        <v>677</v>
      </c>
      <c r="M328" s="342" t="str">
        <f t="shared" si="17"/>
        <v>14117 WISHKAH VALLEY SCHOOL DISTRICT</v>
      </c>
      <c r="N328" s="264">
        <v>6.4199999999999993E-2</v>
      </c>
      <c r="O328" s="265">
        <v>0.31990000000000002</v>
      </c>
    </row>
    <row r="329" spans="2:15">
      <c r="B329" s="59" t="s">
        <v>679</v>
      </c>
      <c r="C329" t="s">
        <v>680</v>
      </c>
      <c r="D329" s="12">
        <v>3.1600000000000003E-2</v>
      </c>
      <c r="E329" s="12">
        <v>0.31140000000000001</v>
      </c>
      <c r="F329" s="12">
        <v>0.34810000000000002</v>
      </c>
      <c r="H329" s="271"/>
      <c r="I329">
        <f t="shared" si="18"/>
        <v>0</v>
      </c>
      <c r="K329" s="342" t="s">
        <v>680</v>
      </c>
      <c r="L329" s="342" t="s">
        <v>679</v>
      </c>
      <c r="M329" s="342" t="str">
        <f t="shared" si="17"/>
        <v>20094 WISHRAM SCHOOL DISTRICT</v>
      </c>
      <c r="N329" s="264">
        <v>3.1600000000000003E-2</v>
      </c>
      <c r="O329" s="265">
        <v>0.31140000000000001</v>
      </c>
    </row>
    <row r="330" spans="2:15">
      <c r="B330" s="59" t="s">
        <v>681</v>
      </c>
      <c r="C330" t="s">
        <v>682</v>
      </c>
      <c r="D330" s="12">
        <v>4.5100000000000001E-2</v>
      </c>
      <c r="E330" s="12">
        <v>0.1555</v>
      </c>
      <c r="F330" s="12">
        <v>0.14979999999999999</v>
      </c>
      <c r="H330" s="271"/>
      <c r="I330">
        <f t="shared" si="18"/>
        <v>0</v>
      </c>
      <c r="K330" s="342" t="s">
        <v>682</v>
      </c>
      <c r="L330" s="342" t="s">
        <v>681</v>
      </c>
      <c r="M330" s="342" t="str">
        <f t="shared" si="17"/>
        <v>08404 WOODLAND SCHOOL DISTRICT</v>
      </c>
      <c r="N330" s="264">
        <v>4.5100000000000001E-2</v>
      </c>
      <c r="O330" s="265">
        <v>0.1555</v>
      </c>
    </row>
    <row r="331" spans="2:15">
      <c r="B331" s="348" t="s">
        <v>683</v>
      </c>
      <c r="C331" t="s">
        <v>1228</v>
      </c>
      <c r="D331" s="12">
        <v>0.08</v>
      </c>
      <c r="E331" s="12">
        <v>0.1</v>
      </c>
      <c r="F331" s="12">
        <v>0.1</v>
      </c>
      <c r="H331" s="271"/>
      <c r="I331">
        <f t="shared" si="18"/>
        <v>0</v>
      </c>
      <c r="K331" s="342" t="s">
        <v>1167</v>
      </c>
      <c r="L331" s="342" t="s">
        <v>683</v>
      </c>
      <c r="M331" s="342" t="str">
        <f t="shared" si="17"/>
        <v>39901 YAKAMA SCHOOL DISTRICT</v>
      </c>
      <c r="N331" s="264">
        <v>0.08</v>
      </c>
      <c r="O331" s="265">
        <v>0.1</v>
      </c>
    </row>
    <row r="332" spans="2:15">
      <c r="B332" s="59" t="s">
        <v>685</v>
      </c>
      <c r="C332" t="s">
        <v>686</v>
      </c>
      <c r="D332" s="12">
        <v>1.7500000000000002E-2</v>
      </c>
      <c r="E332" s="12">
        <v>0.14710000000000001</v>
      </c>
      <c r="F332" s="12">
        <v>0.1515</v>
      </c>
      <c r="H332" s="271"/>
      <c r="I332">
        <f t="shared" si="18"/>
        <v>0</v>
      </c>
      <c r="K332" s="342" t="s">
        <v>686</v>
      </c>
      <c r="L332" s="342" t="s">
        <v>685</v>
      </c>
      <c r="M332" s="342" t="str">
        <f t="shared" si="17"/>
        <v>39007 YAKIMA SCHOOL DISTRICT</v>
      </c>
      <c r="N332" s="264">
        <v>1.7500000000000002E-2</v>
      </c>
      <c r="O332" s="265">
        <v>0.14710000000000001</v>
      </c>
    </row>
    <row r="333" spans="2:15">
      <c r="B333" s="59" t="s">
        <v>687</v>
      </c>
      <c r="C333" t="s">
        <v>1229</v>
      </c>
      <c r="D333" s="12">
        <v>4.5400000000000003E-2</v>
      </c>
      <c r="E333" s="12">
        <v>0.15340000000000001</v>
      </c>
      <c r="F333" s="12">
        <v>0.14019999999999999</v>
      </c>
      <c r="H333" s="271"/>
      <c r="I333">
        <f t="shared" si="18"/>
        <v>0</v>
      </c>
      <c r="K333" s="342" t="s">
        <v>688</v>
      </c>
      <c r="L333" s="342" t="s">
        <v>687</v>
      </c>
      <c r="M333" s="342" t="str">
        <f t="shared" si="17"/>
        <v>34002 YELM SCHOOL DISTRICT</v>
      </c>
      <c r="N333" s="264">
        <v>4.5400000000000003E-2</v>
      </c>
      <c r="O333" s="265">
        <v>0.15340000000000001</v>
      </c>
    </row>
    <row r="334" spans="2:15">
      <c r="B334" s="59" t="s">
        <v>689</v>
      </c>
      <c r="C334" t="s">
        <v>690</v>
      </c>
      <c r="D334" s="12">
        <v>5.8700000000000002E-2</v>
      </c>
      <c r="E334" s="12">
        <v>0.23680000000000001</v>
      </c>
      <c r="F334" s="12">
        <v>0.22370000000000001</v>
      </c>
      <c r="H334" s="271"/>
      <c r="I334">
        <f t="shared" si="18"/>
        <v>0</v>
      </c>
      <c r="K334" s="342" t="s">
        <v>690</v>
      </c>
      <c r="L334" s="342" t="s">
        <v>689</v>
      </c>
      <c r="M334" s="342" t="str">
        <f t="shared" si="17"/>
        <v>39205 ZILLAH SCHOOL DISTRICT</v>
      </c>
      <c r="N334" s="264">
        <v>5.8700000000000002E-2</v>
      </c>
      <c r="O334" s="265">
        <v>0.23680000000000001</v>
      </c>
    </row>
    <row r="335" spans="2:15">
      <c r="B335" s="69"/>
      <c r="K335" s="135">
        <f>COUNTA(DISNAME)</f>
        <v>311</v>
      </c>
      <c r="L335" s="135"/>
      <c r="M335" s="135"/>
      <c r="N335" s="135"/>
      <c r="O335" s="135"/>
    </row>
    <row r="336" spans="2:15">
      <c r="B336" s="69"/>
    </row>
    <row r="337" spans="12:15">
      <c r="L337" s="70"/>
      <c r="M337" s="70"/>
      <c r="N337" s="70"/>
      <c r="O337" s="70"/>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55"/>
  <sheetViews>
    <sheetView workbookViewId="0">
      <selection sqref="A1:G1"/>
    </sheetView>
  </sheetViews>
  <sheetFormatPr defaultRowHeight="15"/>
  <cols>
    <col min="1" max="1" width="30.140625" bestFit="1" customWidth="1"/>
    <col min="2" max="2" width="18.28515625" customWidth="1"/>
    <col min="3" max="3" width="14.85546875" bestFit="1" customWidth="1"/>
    <col min="4" max="4" width="14" customWidth="1"/>
    <col min="5" max="5" width="17.42578125" customWidth="1"/>
    <col min="6" max="6" width="14.140625" bestFit="1" customWidth="1"/>
    <col min="7" max="7" width="10.85546875" bestFit="1" customWidth="1"/>
  </cols>
  <sheetData>
    <row r="1" spans="1:15">
      <c r="A1" s="437" t="s">
        <v>1230</v>
      </c>
      <c r="B1" s="437"/>
      <c r="C1" s="437"/>
      <c r="D1" s="437"/>
      <c r="E1" s="437"/>
      <c r="F1" s="437"/>
      <c r="G1" s="437"/>
      <c r="I1" s="34"/>
      <c r="J1" s="34"/>
      <c r="K1" s="34"/>
      <c r="L1" s="34"/>
      <c r="M1" s="34"/>
      <c r="N1" s="34"/>
      <c r="O1" s="34"/>
    </row>
    <row r="2" spans="1:15">
      <c r="A2" s="6" t="s">
        <v>1231</v>
      </c>
      <c r="I2" s="34"/>
      <c r="J2" s="34"/>
      <c r="K2" s="34"/>
      <c r="L2" s="34"/>
      <c r="M2" s="34"/>
      <c r="N2" s="34"/>
      <c r="O2" s="34"/>
    </row>
    <row r="3" spans="1:15">
      <c r="I3" s="34"/>
      <c r="J3" s="34"/>
      <c r="K3" s="34"/>
      <c r="L3" s="34"/>
      <c r="M3" s="34"/>
      <c r="N3" s="34"/>
      <c r="O3" s="34"/>
    </row>
    <row r="4" spans="1:15" ht="33.75" customHeight="1">
      <c r="B4" s="168" t="s">
        <v>1232</v>
      </c>
      <c r="C4" s="168" t="s">
        <v>1233</v>
      </c>
      <c r="D4" s="168" t="s">
        <v>1234</v>
      </c>
      <c r="E4" s="168" t="s">
        <v>1235</v>
      </c>
      <c r="F4" s="168" t="s">
        <v>1236</v>
      </c>
      <c r="G4" s="168" t="s">
        <v>1237</v>
      </c>
      <c r="I4" s="34"/>
      <c r="J4" s="34"/>
      <c r="K4" s="34"/>
      <c r="L4" s="34"/>
      <c r="M4" s="34"/>
      <c r="N4" s="34"/>
      <c r="O4" s="34"/>
    </row>
    <row r="5" spans="1:15">
      <c r="A5" t="s">
        <v>694</v>
      </c>
      <c r="B5" s="19">
        <f>SUM(B6:B55)</f>
        <v>0</v>
      </c>
      <c r="C5" s="19">
        <f t="shared" ref="C5:G5" si="0">SUM(C6:C55)</f>
        <v>0</v>
      </c>
      <c r="D5" s="19">
        <f t="shared" si="0"/>
        <v>0</v>
      </c>
      <c r="E5" s="19">
        <f t="shared" si="0"/>
        <v>0</v>
      </c>
      <c r="F5" s="19">
        <f t="shared" si="0"/>
        <v>0</v>
      </c>
      <c r="G5" s="19">
        <f t="shared" si="0"/>
        <v>0</v>
      </c>
    </row>
    <row r="6" spans="1:15">
      <c r="A6" s="11" t="s">
        <v>1238</v>
      </c>
      <c r="B6" s="174">
        <v>0</v>
      </c>
      <c r="C6" s="174"/>
      <c r="D6" s="174"/>
      <c r="E6" s="174"/>
      <c r="F6" s="174"/>
      <c r="G6" s="174"/>
    </row>
    <row r="7" spans="1:15">
      <c r="A7" s="11" t="s">
        <v>1238</v>
      </c>
      <c r="B7" s="174"/>
      <c r="C7" s="174"/>
      <c r="D7" s="174"/>
      <c r="E7" s="174"/>
      <c r="F7" s="174"/>
      <c r="G7" s="174"/>
    </row>
    <row r="8" spans="1:15">
      <c r="A8" s="11" t="s">
        <v>1238</v>
      </c>
      <c r="B8" s="174"/>
      <c r="C8" s="174"/>
      <c r="D8" s="174"/>
      <c r="E8" s="174"/>
      <c r="F8" s="174"/>
      <c r="G8" s="174"/>
    </row>
    <row r="9" spans="1:15">
      <c r="A9" s="11" t="s">
        <v>1238</v>
      </c>
      <c r="B9" s="174"/>
      <c r="C9" s="174"/>
      <c r="D9" s="174"/>
      <c r="E9" s="174"/>
      <c r="F9" s="174"/>
      <c r="G9" s="174"/>
    </row>
    <row r="10" spans="1:15">
      <c r="A10" s="11" t="s">
        <v>1238</v>
      </c>
      <c r="B10" s="174"/>
      <c r="C10" s="174"/>
      <c r="D10" s="174"/>
      <c r="E10" s="174"/>
      <c r="F10" s="174"/>
      <c r="G10" s="174"/>
    </row>
    <row r="11" spans="1:15">
      <c r="A11" s="11" t="s">
        <v>1238</v>
      </c>
      <c r="B11" s="174"/>
      <c r="C11" s="174"/>
      <c r="D11" s="174"/>
      <c r="E11" s="174"/>
      <c r="F11" s="174"/>
      <c r="G11" s="174"/>
    </row>
    <row r="12" spans="1:15">
      <c r="A12" s="11" t="s">
        <v>1238</v>
      </c>
      <c r="B12" s="174"/>
      <c r="C12" s="174"/>
      <c r="D12" s="174"/>
      <c r="E12" s="174"/>
      <c r="F12" s="174"/>
      <c r="G12" s="174"/>
    </row>
    <row r="13" spans="1:15">
      <c r="A13" s="11" t="s">
        <v>1238</v>
      </c>
      <c r="B13" s="174"/>
      <c r="C13" s="174"/>
      <c r="D13" s="174"/>
      <c r="E13" s="174"/>
      <c r="F13" s="174"/>
      <c r="G13" s="174"/>
    </row>
    <row r="14" spans="1:15">
      <c r="A14" s="11" t="s">
        <v>1238</v>
      </c>
      <c r="B14" s="174"/>
      <c r="C14" s="174"/>
      <c r="D14" s="174"/>
      <c r="E14" s="174"/>
      <c r="F14" s="174"/>
      <c r="G14" s="174"/>
    </row>
    <row r="15" spans="1:15">
      <c r="A15" s="11" t="s">
        <v>1238</v>
      </c>
      <c r="B15" s="174"/>
      <c r="C15" s="174"/>
      <c r="D15" s="174"/>
      <c r="E15" s="174"/>
      <c r="F15" s="174"/>
      <c r="G15" s="174"/>
    </row>
    <row r="16" spans="1:15">
      <c r="A16" s="11" t="s">
        <v>1238</v>
      </c>
      <c r="B16" s="174"/>
      <c r="C16" s="174"/>
      <c r="D16" s="174"/>
      <c r="E16" s="174"/>
      <c r="F16" s="174"/>
      <c r="G16" s="174"/>
    </row>
    <row r="17" spans="1:7">
      <c r="A17" s="11" t="s">
        <v>1238</v>
      </c>
      <c r="B17" s="174"/>
      <c r="C17" s="174"/>
      <c r="D17" s="174"/>
      <c r="E17" s="174"/>
      <c r="F17" s="174"/>
      <c r="G17" s="174"/>
    </row>
    <row r="18" spans="1:7">
      <c r="A18" s="11" t="s">
        <v>1238</v>
      </c>
      <c r="B18" s="174"/>
      <c r="C18" s="174"/>
      <c r="D18" s="174"/>
      <c r="E18" s="174"/>
      <c r="F18" s="174"/>
      <c r="G18" s="174"/>
    </row>
    <row r="19" spans="1:7">
      <c r="A19" s="11" t="s">
        <v>1238</v>
      </c>
      <c r="B19" s="174"/>
      <c r="C19" s="174"/>
      <c r="D19" s="174"/>
      <c r="E19" s="174"/>
      <c r="F19" s="174"/>
      <c r="G19" s="174"/>
    </row>
    <row r="20" spans="1:7">
      <c r="A20" s="11" t="s">
        <v>1238</v>
      </c>
      <c r="B20" s="174"/>
      <c r="C20" s="174"/>
      <c r="D20" s="174"/>
      <c r="E20" s="174"/>
      <c r="F20" s="174"/>
      <c r="G20" s="174"/>
    </row>
    <row r="21" spans="1:7">
      <c r="A21" s="11" t="s">
        <v>1238</v>
      </c>
      <c r="B21" s="174"/>
      <c r="C21" s="174"/>
      <c r="D21" s="174"/>
      <c r="E21" s="174"/>
      <c r="F21" s="174"/>
      <c r="G21" s="174"/>
    </row>
    <row r="22" spans="1:7">
      <c r="A22" s="11" t="s">
        <v>1238</v>
      </c>
      <c r="B22" s="174"/>
      <c r="C22" s="174"/>
      <c r="D22" s="174"/>
      <c r="E22" s="174"/>
      <c r="F22" s="174"/>
      <c r="G22" s="174"/>
    </row>
    <row r="23" spans="1:7">
      <c r="A23" s="11" t="s">
        <v>1238</v>
      </c>
      <c r="B23" s="174"/>
      <c r="C23" s="174"/>
      <c r="D23" s="174"/>
      <c r="E23" s="174"/>
      <c r="F23" s="174"/>
      <c r="G23" s="174"/>
    </row>
    <row r="24" spans="1:7">
      <c r="A24" s="11" t="s">
        <v>1238</v>
      </c>
      <c r="B24" s="174"/>
      <c r="C24" s="174"/>
      <c r="D24" s="174"/>
      <c r="E24" s="174"/>
      <c r="F24" s="174"/>
      <c r="G24" s="174"/>
    </row>
    <row r="25" spans="1:7">
      <c r="A25" s="11" t="s">
        <v>1238</v>
      </c>
      <c r="B25" s="174"/>
      <c r="C25" s="174"/>
      <c r="D25" s="174"/>
      <c r="E25" s="174"/>
      <c r="F25" s="174"/>
      <c r="G25" s="174"/>
    </row>
    <row r="26" spans="1:7">
      <c r="A26" s="11" t="s">
        <v>1238</v>
      </c>
      <c r="B26" s="174"/>
      <c r="C26" s="174"/>
      <c r="D26" s="174"/>
      <c r="E26" s="174"/>
      <c r="F26" s="174"/>
      <c r="G26" s="174"/>
    </row>
    <row r="27" spans="1:7">
      <c r="A27" s="11" t="s">
        <v>1238</v>
      </c>
      <c r="B27" s="174"/>
      <c r="C27" s="174"/>
      <c r="D27" s="174"/>
      <c r="E27" s="174"/>
      <c r="F27" s="174"/>
      <c r="G27" s="174"/>
    </row>
    <row r="28" spans="1:7">
      <c r="A28" s="11" t="s">
        <v>1238</v>
      </c>
      <c r="B28" s="174"/>
      <c r="C28" s="174"/>
      <c r="D28" s="174"/>
      <c r="E28" s="174"/>
      <c r="F28" s="174"/>
      <c r="G28" s="174"/>
    </row>
    <row r="29" spans="1:7">
      <c r="A29" s="11" t="s">
        <v>1238</v>
      </c>
      <c r="B29" s="174"/>
      <c r="C29" s="174"/>
      <c r="D29" s="174"/>
      <c r="E29" s="174"/>
      <c r="F29" s="174"/>
      <c r="G29" s="174"/>
    </row>
    <row r="30" spans="1:7">
      <c r="A30" s="11" t="s">
        <v>1238</v>
      </c>
      <c r="B30" s="174"/>
      <c r="C30" s="174"/>
      <c r="D30" s="174"/>
      <c r="E30" s="174"/>
      <c r="F30" s="174"/>
      <c r="G30" s="174"/>
    </row>
    <row r="31" spans="1:7">
      <c r="A31" s="11" t="s">
        <v>1238</v>
      </c>
      <c r="B31" s="174"/>
      <c r="C31" s="174"/>
      <c r="D31" s="174"/>
      <c r="E31" s="174"/>
      <c r="F31" s="174"/>
      <c r="G31" s="174"/>
    </row>
    <row r="32" spans="1:7">
      <c r="A32" s="11" t="s">
        <v>1238</v>
      </c>
      <c r="B32" s="174"/>
      <c r="C32" s="174"/>
      <c r="D32" s="174"/>
      <c r="E32" s="174"/>
      <c r="F32" s="174"/>
      <c r="G32" s="174"/>
    </row>
    <row r="33" spans="1:7">
      <c r="A33" s="11" t="s">
        <v>1238</v>
      </c>
      <c r="B33" s="174"/>
      <c r="C33" s="174"/>
      <c r="D33" s="174"/>
      <c r="E33" s="174"/>
      <c r="F33" s="174"/>
      <c r="G33" s="174"/>
    </row>
    <row r="34" spans="1:7">
      <c r="A34" s="11" t="s">
        <v>1238</v>
      </c>
      <c r="B34" s="174"/>
      <c r="C34" s="174"/>
      <c r="D34" s="174"/>
      <c r="E34" s="174"/>
      <c r="F34" s="174"/>
      <c r="G34" s="174"/>
    </row>
    <row r="35" spans="1:7">
      <c r="A35" s="11" t="s">
        <v>1238</v>
      </c>
      <c r="B35" s="174"/>
      <c r="C35" s="174"/>
      <c r="D35" s="174"/>
      <c r="E35" s="174"/>
      <c r="F35" s="174"/>
      <c r="G35" s="174"/>
    </row>
    <row r="36" spans="1:7">
      <c r="A36" s="11" t="s">
        <v>1238</v>
      </c>
      <c r="B36" s="174"/>
      <c r="C36" s="174"/>
      <c r="D36" s="174"/>
      <c r="E36" s="174"/>
      <c r="F36" s="174"/>
      <c r="G36" s="174"/>
    </row>
    <row r="37" spans="1:7">
      <c r="A37" s="11" t="s">
        <v>1238</v>
      </c>
      <c r="B37" s="174"/>
      <c r="C37" s="174"/>
      <c r="D37" s="174"/>
      <c r="E37" s="174"/>
      <c r="F37" s="174"/>
      <c r="G37" s="174"/>
    </row>
    <row r="38" spans="1:7">
      <c r="A38" s="11" t="s">
        <v>1238</v>
      </c>
      <c r="B38" s="174"/>
      <c r="C38" s="174"/>
      <c r="D38" s="174"/>
      <c r="E38" s="174"/>
      <c r="F38" s="174"/>
      <c r="G38" s="174"/>
    </row>
    <row r="39" spans="1:7">
      <c r="A39" s="11" t="s">
        <v>1238</v>
      </c>
      <c r="B39" s="174"/>
      <c r="C39" s="174"/>
      <c r="D39" s="174"/>
      <c r="E39" s="174"/>
      <c r="F39" s="174"/>
      <c r="G39" s="174"/>
    </row>
    <row r="40" spans="1:7">
      <c r="A40" s="11" t="s">
        <v>1238</v>
      </c>
      <c r="B40" s="174"/>
      <c r="C40" s="174"/>
      <c r="D40" s="174"/>
      <c r="E40" s="174"/>
      <c r="F40" s="174"/>
      <c r="G40" s="174"/>
    </row>
    <row r="41" spans="1:7">
      <c r="A41" s="11" t="s">
        <v>1238</v>
      </c>
      <c r="B41" s="174"/>
      <c r="C41" s="174"/>
      <c r="D41" s="174"/>
      <c r="E41" s="174"/>
      <c r="F41" s="174"/>
      <c r="G41" s="174"/>
    </row>
    <row r="42" spans="1:7">
      <c r="A42" s="11" t="s">
        <v>1238</v>
      </c>
      <c r="B42" s="174"/>
      <c r="C42" s="174"/>
      <c r="D42" s="174"/>
      <c r="E42" s="174"/>
      <c r="F42" s="174"/>
      <c r="G42" s="174"/>
    </row>
    <row r="43" spans="1:7">
      <c r="A43" s="11" t="s">
        <v>1238</v>
      </c>
      <c r="B43" s="174"/>
      <c r="C43" s="174"/>
      <c r="D43" s="174"/>
      <c r="E43" s="174"/>
      <c r="F43" s="174"/>
      <c r="G43" s="174"/>
    </row>
    <row r="44" spans="1:7">
      <c r="A44" s="11" t="s">
        <v>1238</v>
      </c>
      <c r="B44" s="174"/>
      <c r="C44" s="174"/>
      <c r="D44" s="174"/>
      <c r="E44" s="174"/>
      <c r="F44" s="174"/>
      <c r="G44" s="174"/>
    </row>
    <row r="45" spans="1:7">
      <c r="A45" s="11" t="s">
        <v>1238</v>
      </c>
      <c r="B45" s="174"/>
      <c r="C45" s="174"/>
      <c r="D45" s="174"/>
      <c r="E45" s="174"/>
      <c r="F45" s="174"/>
      <c r="G45" s="174"/>
    </row>
    <row r="46" spans="1:7">
      <c r="A46" s="11" t="s">
        <v>1238</v>
      </c>
      <c r="B46" s="174"/>
      <c r="C46" s="174"/>
      <c r="D46" s="174"/>
      <c r="E46" s="174"/>
      <c r="F46" s="174"/>
      <c r="G46" s="174"/>
    </row>
    <row r="47" spans="1:7">
      <c r="A47" s="11" t="s">
        <v>1238</v>
      </c>
      <c r="B47" s="174"/>
      <c r="C47" s="174"/>
      <c r="D47" s="174"/>
      <c r="E47" s="174"/>
      <c r="F47" s="174"/>
      <c r="G47" s="174"/>
    </row>
    <row r="48" spans="1:7">
      <c r="A48" s="11" t="s">
        <v>1238</v>
      </c>
      <c r="B48" s="174"/>
      <c r="C48" s="174"/>
      <c r="D48" s="174"/>
      <c r="E48" s="174"/>
      <c r="F48" s="174"/>
      <c r="G48" s="174"/>
    </row>
    <row r="49" spans="1:7">
      <c r="A49" s="11" t="s">
        <v>1238</v>
      </c>
      <c r="B49" s="174"/>
      <c r="C49" s="174"/>
      <c r="D49" s="174"/>
      <c r="E49" s="174"/>
      <c r="F49" s="174"/>
      <c r="G49" s="174"/>
    </row>
    <row r="50" spans="1:7">
      <c r="A50" s="11" t="s">
        <v>1238</v>
      </c>
      <c r="B50" s="174"/>
      <c r="C50" s="174"/>
      <c r="D50" s="174"/>
      <c r="E50" s="174"/>
      <c r="F50" s="174"/>
      <c r="G50" s="174"/>
    </row>
    <row r="51" spans="1:7">
      <c r="A51" s="11" t="s">
        <v>1238</v>
      </c>
      <c r="B51" s="174"/>
      <c r="C51" s="174"/>
      <c r="D51" s="174"/>
      <c r="E51" s="174"/>
      <c r="F51" s="174"/>
      <c r="G51" s="174"/>
    </row>
    <row r="52" spans="1:7">
      <c r="A52" s="11" t="s">
        <v>1238</v>
      </c>
      <c r="B52" s="174"/>
      <c r="C52" s="174"/>
      <c r="D52" s="174"/>
      <c r="E52" s="174"/>
      <c r="F52" s="174"/>
      <c r="G52" s="174"/>
    </row>
    <row r="53" spans="1:7">
      <c r="A53" s="11" t="s">
        <v>1238</v>
      </c>
      <c r="B53" s="174"/>
      <c r="C53" s="174"/>
      <c r="D53" s="174"/>
      <c r="E53" s="174"/>
      <c r="F53" s="174"/>
      <c r="G53" s="174"/>
    </row>
    <row r="54" spans="1:7">
      <c r="A54" s="11" t="s">
        <v>1238</v>
      </c>
      <c r="B54" s="174"/>
      <c r="C54" s="174"/>
      <c r="D54" s="174"/>
      <c r="E54" s="174"/>
      <c r="F54" s="174"/>
      <c r="G54" s="174"/>
    </row>
    <row r="55" spans="1:7">
      <c r="A55" s="11" t="s">
        <v>1238</v>
      </c>
      <c r="B55" s="174"/>
      <c r="C55" s="174"/>
      <c r="D55" s="174"/>
      <c r="E55" s="174"/>
      <c r="F55" s="174"/>
      <c r="G55" s="174"/>
    </row>
  </sheetData>
  <mergeCells count="1">
    <mergeCell ref="A1:G1"/>
  </mergeCells>
  <hyperlinks>
    <hyperlink ref="A2" location="'Fund Balance Summary'!A1" display="(Return to sheet)" xr:uid="{00000000-0004-0000-04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28"/>
  <sheetViews>
    <sheetView workbookViewId="0">
      <selection sqref="A1:C1"/>
    </sheetView>
  </sheetViews>
  <sheetFormatPr defaultRowHeight="15"/>
  <cols>
    <col min="1" max="1" width="49.7109375" bestFit="1" customWidth="1"/>
    <col min="2" max="2" width="17.42578125" customWidth="1"/>
    <col min="3" max="3" width="19" customWidth="1"/>
  </cols>
  <sheetData>
    <row r="1" spans="1:4">
      <c r="A1" s="437" t="s">
        <v>1239</v>
      </c>
      <c r="B1" s="437"/>
      <c r="C1" s="437"/>
      <c r="D1" s="7"/>
    </row>
    <row r="2" spans="1:4">
      <c r="A2" s="437" t="s">
        <v>1240</v>
      </c>
      <c r="B2" s="437"/>
      <c r="C2" s="437"/>
    </row>
    <row r="3" spans="1:4">
      <c r="A3" s="6" t="s">
        <v>1241</v>
      </c>
    </row>
    <row r="5" spans="1:4">
      <c r="A5" t="s">
        <v>1242</v>
      </c>
      <c r="B5" s="2"/>
      <c r="C5" s="1">
        <v>0</v>
      </c>
    </row>
    <row r="6" spans="1:4">
      <c r="A6" t="s">
        <v>1243</v>
      </c>
      <c r="B6" s="2"/>
      <c r="C6" s="1">
        <v>0</v>
      </c>
    </row>
    <row r="7" spans="1:4">
      <c r="A7" t="s">
        <v>1244</v>
      </c>
      <c r="B7" s="2"/>
      <c r="C7" s="9">
        <f>C5-C6</f>
        <v>0</v>
      </c>
    </row>
    <row r="8" spans="1:4">
      <c r="A8" t="s">
        <v>1245</v>
      </c>
      <c r="B8" s="2"/>
      <c r="C8" s="2"/>
    </row>
    <row r="9" spans="1:4">
      <c r="A9" s="171" t="s">
        <v>1246</v>
      </c>
      <c r="B9" s="1">
        <v>0</v>
      </c>
      <c r="C9" s="2"/>
    </row>
    <row r="10" spans="1:4">
      <c r="A10" s="172" t="s">
        <v>1247</v>
      </c>
      <c r="B10" s="1">
        <v>0</v>
      </c>
      <c r="C10" s="2"/>
    </row>
    <row r="11" spans="1:4">
      <c r="A11" s="172" t="s">
        <v>1248</v>
      </c>
      <c r="B11" s="1">
        <v>0</v>
      </c>
      <c r="C11" s="2"/>
    </row>
    <row r="12" spans="1:4">
      <c r="A12" s="171" t="s">
        <v>1249</v>
      </c>
      <c r="B12" s="1">
        <v>0</v>
      </c>
      <c r="C12" s="2"/>
    </row>
    <row r="13" spans="1:4">
      <c r="A13" s="172" t="s">
        <v>1250</v>
      </c>
      <c r="B13" s="1">
        <v>0</v>
      </c>
      <c r="C13" s="2"/>
    </row>
    <row r="14" spans="1:4" ht="17.25">
      <c r="A14" t="s">
        <v>1251</v>
      </c>
      <c r="B14" s="2"/>
      <c r="C14" s="8">
        <f>SUM(B9:B13,C7)</f>
        <v>0</v>
      </c>
    </row>
    <row r="15" spans="1:4">
      <c r="B15" s="2"/>
    </row>
    <row r="16" spans="1:4">
      <c r="B16" s="2"/>
    </row>
    <row r="17" spans="2:2">
      <c r="B17" s="2"/>
    </row>
    <row r="18" spans="2:2">
      <c r="B18" s="2"/>
    </row>
    <row r="19" spans="2:2">
      <c r="B19" s="2"/>
    </row>
    <row r="20" spans="2:2">
      <c r="B20" s="2"/>
    </row>
    <row r="21" spans="2:2">
      <c r="B21" s="2"/>
    </row>
    <row r="22" spans="2:2">
      <c r="B22" s="2"/>
    </row>
    <row r="23" spans="2:2">
      <c r="B23" s="2"/>
    </row>
    <row r="24" spans="2:2">
      <c r="B24" s="2"/>
    </row>
    <row r="25" spans="2:2">
      <c r="B25" s="2"/>
    </row>
    <row r="26" spans="2:2">
      <c r="B26" s="2"/>
    </row>
    <row r="27" spans="2:2">
      <c r="B27" s="2"/>
    </row>
    <row r="28" spans="2:2">
      <c r="B28" s="2"/>
    </row>
  </sheetData>
  <mergeCells count="2">
    <mergeCell ref="A1:C1"/>
    <mergeCell ref="A2:C2"/>
  </mergeCells>
  <hyperlinks>
    <hyperlink ref="A3" location="'Fund Balance Summary'!A1" display="(Return to summary sheet)" xr:uid="{00000000-0004-0000-0500-000000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
  <sheetViews>
    <sheetView workbookViewId="0"/>
  </sheetViews>
  <sheetFormatPr defaultRowHeight="1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K174"/>
  <sheetViews>
    <sheetView zoomScale="90" zoomScaleNormal="90" workbookViewId="0">
      <selection activeCell="D2" sqref="D2"/>
    </sheetView>
  </sheetViews>
  <sheetFormatPr defaultRowHeight="15"/>
  <cols>
    <col min="1" max="1" width="46" customWidth="1"/>
    <col min="2" max="2" width="16" bestFit="1" customWidth="1"/>
    <col min="3" max="3" width="16.85546875" style="2" bestFit="1" customWidth="1"/>
    <col min="4" max="4" width="15" bestFit="1" customWidth="1"/>
    <col min="5" max="5" width="4.28515625" customWidth="1"/>
    <col min="6" max="6" width="16" bestFit="1" customWidth="1"/>
    <col min="7" max="7" width="15" bestFit="1" customWidth="1"/>
    <col min="8" max="11" width="13" customWidth="1"/>
  </cols>
  <sheetData>
    <row r="1" spans="1:7">
      <c r="A1" s="437" t="s">
        <v>1252</v>
      </c>
      <c r="B1" s="437"/>
      <c r="C1" s="437"/>
      <c r="F1" s="71" t="str">
        <f>'Fund Balance Summary'!$B$1</f>
        <v>14005</v>
      </c>
    </row>
    <row r="2" spans="1:7">
      <c r="A2" s="437" t="s">
        <v>1232</v>
      </c>
      <c r="B2" s="437"/>
      <c r="C2" s="437"/>
    </row>
    <row r="3" spans="1:7">
      <c r="A3" s="6" t="s">
        <v>1241</v>
      </c>
    </row>
    <row r="5" spans="1:7">
      <c r="A5" t="s">
        <v>1253</v>
      </c>
      <c r="B5" s="27">
        <f>VLOOKUP($F$1,Indirects!$B$7:$G$342,4,FALSE)</f>
        <v>0.1799</v>
      </c>
    </row>
    <row r="6" spans="1:7">
      <c r="A6" t="s">
        <v>1254</v>
      </c>
      <c r="B6" s="27">
        <f>VLOOKUP($F$1,Indirects!$B$7:$G$342,3,FALSE)</f>
        <v>3.1199999999999999E-2</v>
      </c>
    </row>
    <row r="7" spans="1:7">
      <c r="A7" t="s">
        <v>1255</v>
      </c>
      <c r="B7" s="27">
        <f>VLOOKUP($F$1,Indirects!$B$7:$G$342,5,FALSE)</f>
        <v>0.1976</v>
      </c>
    </row>
    <row r="8" spans="1:7">
      <c r="B8" s="12"/>
    </row>
    <row r="9" spans="1:7" ht="15.75" thickBot="1">
      <c r="B9" s="12"/>
    </row>
    <row r="10" spans="1:7" ht="17.25" customHeight="1">
      <c r="A10" s="209" t="s">
        <v>1256</v>
      </c>
      <c r="B10" s="64"/>
      <c r="C10" s="121"/>
      <c r="E10" s="448" t="s">
        <v>1257</v>
      </c>
      <c r="F10" s="449"/>
      <c r="G10" s="450"/>
    </row>
    <row r="11" spans="1:7">
      <c r="A11" t="s">
        <v>1258</v>
      </c>
      <c r="B11" s="64"/>
      <c r="C11" s="29">
        <f>VLOOKUP($F$1,ALLOC!$B$7:$AS$342,42,FALSE)</f>
        <v>50142.690000000061</v>
      </c>
      <c r="E11" s="451"/>
      <c r="F11" s="452"/>
      <c r="G11" s="453"/>
    </row>
    <row r="12" spans="1:7">
      <c r="A12" t="s">
        <v>1259</v>
      </c>
      <c r="B12" s="64"/>
      <c r="C12" s="29">
        <f>VLOOKUP($F$1,ALLOC!$B$7:$AS$342,43,FALSE)</f>
        <v>335212.83999999997</v>
      </c>
      <c r="D12" t="s">
        <v>1260</v>
      </c>
      <c r="E12" s="451"/>
      <c r="F12" s="452"/>
      <c r="G12" s="453"/>
    </row>
    <row r="13" spans="1:7" ht="17.25">
      <c r="A13" t="s">
        <v>1261</v>
      </c>
      <c r="B13" s="64"/>
      <c r="C13" s="180">
        <f>+C11+C12</f>
        <v>385355.53</v>
      </c>
      <c r="E13" s="451"/>
      <c r="F13" s="452"/>
      <c r="G13" s="453"/>
    </row>
    <row r="14" spans="1:7" ht="17.25">
      <c r="B14" s="64"/>
      <c r="C14" s="121"/>
      <c r="E14" s="451"/>
      <c r="F14" s="452"/>
      <c r="G14" s="453"/>
    </row>
    <row r="15" spans="1:7">
      <c r="A15" t="s">
        <v>1262</v>
      </c>
      <c r="C15" s="1">
        <v>0</v>
      </c>
      <c r="E15" s="451"/>
      <c r="F15" s="452"/>
      <c r="G15" s="453"/>
    </row>
    <row r="16" spans="1:7" ht="17.25">
      <c r="A16" t="s">
        <v>820</v>
      </c>
      <c r="B16" s="64"/>
      <c r="C16" s="15">
        <f>IF(C15&gt;C13,0,MIN(C13*1,C13-C15))</f>
        <v>385355.53</v>
      </c>
      <c r="E16" s="451"/>
      <c r="F16" s="452"/>
      <c r="G16" s="453"/>
    </row>
    <row r="17" spans="1:7" ht="15.75" thickBot="1">
      <c r="B17" s="12"/>
      <c r="E17" s="454"/>
      <c r="F17" s="455"/>
      <c r="G17" s="456"/>
    </row>
    <row r="18" spans="1:7">
      <c r="A18" s="209" t="s">
        <v>1263</v>
      </c>
    </row>
    <row r="19" spans="1:7">
      <c r="A19" t="s">
        <v>1258</v>
      </c>
      <c r="B19" s="2"/>
      <c r="C19" s="29">
        <f>VLOOKUP($F$1,ALLOC!$B$7:$AS$342,3,FALSE)</f>
        <v>0</v>
      </c>
    </row>
    <row r="20" spans="1:7">
      <c r="A20" t="s">
        <v>1264</v>
      </c>
      <c r="B20" s="2"/>
      <c r="C20" s="29">
        <f>VLOOKUP($F$1,ALLOC!$B$7:$AS$342,6,FALSE)</f>
        <v>4638280.2699999996</v>
      </c>
    </row>
    <row r="21" spans="1:7">
      <c r="A21" t="s">
        <v>1261</v>
      </c>
      <c r="B21" s="2"/>
      <c r="C21" s="3">
        <f>+C19+C20</f>
        <v>4638280.2699999996</v>
      </c>
    </row>
    <row r="22" spans="1:7">
      <c r="A22" t="s">
        <v>1265</v>
      </c>
      <c r="B22" s="2"/>
    </row>
    <row r="23" spans="1:7">
      <c r="A23" t="s">
        <v>1266</v>
      </c>
      <c r="B23" s="1">
        <v>0</v>
      </c>
    </row>
    <row r="24" spans="1:7">
      <c r="A24" t="s">
        <v>1267</v>
      </c>
      <c r="B24" s="29">
        <f>VLOOKUP($F$1,ALLOC!$B$7:$AS$342,7,FALSE)</f>
        <v>1089521.2</v>
      </c>
    </row>
    <row r="25" spans="1:7">
      <c r="A25" t="s">
        <v>1268</v>
      </c>
      <c r="B25" s="2">
        <f>(B23-B24)*(B5)</f>
        <v>-196004.86387999999</v>
      </c>
    </row>
    <row r="26" spans="1:7">
      <c r="A26" t="s">
        <v>1269</v>
      </c>
      <c r="B26" s="2">
        <f>B23-B24+B25</f>
        <v>-1285526.06388</v>
      </c>
    </row>
    <row r="27" spans="1:7">
      <c r="A27" t="s">
        <v>1270</v>
      </c>
      <c r="B27" s="1">
        <v>0</v>
      </c>
    </row>
    <row r="28" spans="1:7">
      <c r="A28" t="s">
        <v>1271</v>
      </c>
      <c r="B28" s="2"/>
      <c r="C28" s="2">
        <f>B26-B27</f>
        <v>-1285526.06388</v>
      </c>
    </row>
    <row r="29" spans="1:7" ht="17.25">
      <c r="A29" t="s">
        <v>820</v>
      </c>
      <c r="B29" s="2"/>
      <c r="C29" s="15">
        <f>IF(C28&gt;C21,0,MIN(C20*0.1,C21-C28))</f>
        <v>463828.027</v>
      </c>
    </row>
    <row r="30" spans="1:7" ht="17.25">
      <c r="A30" t="s">
        <v>1184</v>
      </c>
      <c r="B30" s="2"/>
      <c r="C30" s="28">
        <f>MIN(C20,(C28-C19))+C29-C20</f>
        <v>-5459978.3068799991</v>
      </c>
    </row>
    <row r="31" spans="1:7">
      <c r="B31" s="2"/>
    </row>
    <row r="32" spans="1:7">
      <c r="A32" s="209" t="s">
        <v>1272</v>
      </c>
      <c r="B32" s="2"/>
    </row>
    <row r="33" spans="1:11">
      <c r="A33" t="s">
        <v>1258</v>
      </c>
      <c r="B33" s="2"/>
      <c r="C33" s="29">
        <f>VLOOKUP($F$1,ALLOC!$B$7:$AS$342,22,FALSE)</f>
        <v>0</v>
      </c>
    </row>
    <row r="34" spans="1:11">
      <c r="A34" t="s">
        <v>1264</v>
      </c>
      <c r="B34" s="2"/>
      <c r="C34" s="29">
        <f>VLOOKUP($F$1,ALLOC!$B$7:$AS$342,21,FALSE)</f>
        <v>0</v>
      </c>
    </row>
    <row r="35" spans="1:11">
      <c r="A35" t="s">
        <v>1261</v>
      </c>
      <c r="B35" s="2"/>
      <c r="C35" s="3">
        <f>+C33+C34</f>
        <v>0</v>
      </c>
    </row>
    <row r="36" spans="1:11">
      <c r="A36" t="s">
        <v>1265</v>
      </c>
      <c r="B36" s="2"/>
    </row>
    <row r="37" spans="1:11">
      <c r="A37" t="s">
        <v>1266</v>
      </c>
      <c r="B37" s="1">
        <v>0</v>
      </c>
    </row>
    <row r="38" spans="1:11">
      <c r="A38" t="s">
        <v>1268</v>
      </c>
      <c r="B38" s="29">
        <f>VLOOKUP($F$1,ALLOC!$B$7:$AS$342,23,FALSE)</f>
        <v>0</v>
      </c>
      <c r="C38" s="2">
        <f>B37+B38</f>
        <v>0</v>
      </c>
    </row>
    <row r="39" spans="1:11" ht="17.25">
      <c r="A39" t="s">
        <v>820</v>
      </c>
      <c r="B39" s="2"/>
      <c r="C39" s="15">
        <f>IF(C38&gt;C35,0,MIN(C34*0.1,C35-C38))</f>
        <v>0</v>
      </c>
    </row>
    <row r="40" spans="1:11" ht="17.25">
      <c r="A40" t="s">
        <v>1184</v>
      </c>
      <c r="B40" s="2"/>
      <c r="C40" s="28">
        <f>MIN(C34,C38-C33)+C39-C34</f>
        <v>0</v>
      </c>
    </row>
    <row r="41" spans="1:11" ht="17.25">
      <c r="B41" s="64"/>
      <c r="C41" s="121"/>
    </row>
    <row r="42" spans="1:11" ht="17.25">
      <c r="A42" s="209" t="s">
        <v>1273</v>
      </c>
      <c r="B42" s="64"/>
      <c r="C42" s="121"/>
      <c r="G42" s="443" t="s">
        <v>1274</v>
      </c>
      <c r="H42" s="443"/>
      <c r="I42" s="443"/>
      <c r="J42" s="443"/>
      <c r="K42" s="443"/>
    </row>
    <row r="43" spans="1:11" ht="17.25">
      <c r="A43" t="s">
        <v>1258</v>
      </c>
      <c r="B43" s="64"/>
      <c r="C43" s="123">
        <v>0</v>
      </c>
      <c r="G43" s="443"/>
      <c r="H43" s="443"/>
      <c r="I43" s="443"/>
      <c r="J43" s="443"/>
      <c r="K43" s="443"/>
    </row>
    <row r="44" spans="1:11" ht="17.25">
      <c r="A44" t="s">
        <v>1275</v>
      </c>
      <c r="B44" s="64"/>
      <c r="C44" s="123">
        <v>0</v>
      </c>
      <c r="G44" s="443"/>
      <c r="H44" s="443"/>
      <c r="I44" s="443"/>
      <c r="J44" s="443"/>
      <c r="K44" s="443"/>
    </row>
    <row r="45" spans="1:11">
      <c r="A45" t="s">
        <v>1261</v>
      </c>
      <c r="B45" s="64"/>
      <c r="C45" s="3">
        <f>+C43+C44</f>
        <v>0</v>
      </c>
      <c r="G45" s="443"/>
      <c r="H45" s="443"/>
      <c r="I45" s="443"/>
      <c r="J45" s="443"/>
      <c r="K45" s="443"/>
    </row>
    <row r="46" spans="1:11" ht="17.25">
      <c r="A46" t="s">
        <v>1276</v>
      </c>
      <c r="B46" s="64"/>
      <c r="C46" s="121"/>
      <c r="G46" s="443"/>
      <c r="H46" s="443"/>
      <c r="I46" s="443"/>
      <c r="J46" s="443"/>
      <c r="K46" s="443"/>
    </row>
    <row r="47" spans="1:11">
      <c r="A47" t="s">
        <v>1266</v>
      </c>
      <c r="C47" s="1">
        <v>0</v>
      </c>
      <c r="G47" s="443"/>
      <c r="H47" s="443"/>
      <c r="I47" s="443"/>
      <c r="J47" s="443"/>
      <c r="K47" s="443"/>
    </row>
    <row r="48" spans="1:11" ht="17.25">
      <c r="A48" t="s">
        <v>820</v>
      </c>
      <c r="B48" s="64"/>
      <c r="C48" s="15">
        <f>IF(C47&gt;C45,0,MIN(C45*1,C45-C47))</f>
        <v>0</v>
      </c>
      <c r="G48" s="443"/>
      <c r="H48" s="443"/>
      <c r="I48" s="443"/>
      <c r="J48" s="443"/>
      <c r="K48" s="443"/>
    </row>
    <row r="49" spans="1:11">
      <c r="B49" s="2"/>
    </row>
    <row r="50" spans="1:11">
      <c r="A50" s="10" t="s">
        <v>1277</v>
      </c>
      <c r="B50" s="2"/>
      <c r="G50" s="444" t="s">
        <v>1278</v>
      </c>
      <c r="H50" s="445"/>
      <c r="I50" s="446"/>
    </row>
    <row r="51" spans="1:11">
      <c r="A51" t="s">
        <v>1258</v>
      </c>
      <c r="B51" s="2"/>
      <c r="C51" s="29">
        <f>VLOOKUP($F$1,ALLOC!$B$7:$AS$342,26,FALSE)</f>
        <v>121443.94</v>
      </c>
      <c r="G51" s="291">
        <f>VLOOKUP($F$1,ALLOC!$B$7:$AS$342,28,FALSE)</f>
        <v>2354191.44</v>
      </c>
      <c r="H51" s="292"/>
      <c r="I51" s="293"/>
    </row>
    <row r="52" spans="1:11" ht="17.25">
      <c r="A52" t="s">
        <v>1266</v>
      </c>
      <c r="B52" s="2"/>
      <c r="C52" s="1">
        <v>0</v>
      </c>
      <c r="G52" s="294">
        <f>ROUND(VLOOKUP($F$1,ALLOC!$B$7:$AS$342,29,FALSE),2)</f>
        <v>257.76</v>
      </c>
      <c r="H52" s="292"/>
      <c r="I52" s="293"/>
    </row>
    <row r="53" spans="1:11" ht="17.25">
      <c r="A53" t="s">
        <v>1279</v>
      </c>
      <c r="B53" s="2"/>
      <c r="C53" s="29">
        <f>VLOOKUP($F$1,ALLOC!$B$7:$AS$342,28,FALSE)</f>
        <v>2354191.44</v>
      </c>
      <c r="G53" s="295">
        <f>ROUND(VLOOKUP($F$1,ALLOC!$B$7:$AS$342,30,FALSE),2)</f>
        <v>2214242.2799999998</v>
      </c>
      <c r="H53" s="292"/>
      <c r="I53" s="293"/>
    </row>
    <row r="54" spans="1:11" ht="17.25">
      <c r="A54" t="s">
        <v>1280</v>
      </c>
      <c r="B54" s="2"/>
      <c r="C54" s="15">
        <f>MAX(MIN(C53+C51-C52,C53*0.1),0)</f>
        <v>235419.144</v>
      </c>
      <c r="G54" s="295">
        <f>IFERROR(ROUND(G53/G52,2),0)</f>
        <v>8590.33</v>
      </c>
      <c r="H54" s="292"/>
      <c r="I54" s="293"/>
    </row>
    <row r="55" spans="1:11" ht="17.25">
      <c r="A55" t="s">
        <v>1281</v>
      </c>
      <c r="B55" s="2"/>
      <c r="C55" s="81">
        <f>MIN(+C52+C54-C53-C51,0)</f>
        <v>-2240216.236</v>
      </c>
      <c r="G55" s="295">
        <f>IFERROR(ROUND(G51/G52,2),0)</f>
        <v>9133.27</v>
      </c>
      <c r="H55" s="292"/>
      <c r="I55" s="293"/>
    </row>
    <row r="56" spans="1:11" ht="17.25">
      <c r="A56" s="190" t="s">
        <v>1282</v>
      </c>
      <c r="B56" s="2"/>
      <c r="C56" s="159">
        <f>+G56</f>
        <v>139948.21</v>
      </c>
      <c r="G56" s="295">
        <f>ROUND((G55-G54)*G52,2)</f>
        <v>139948.21</v>
      </c>
      <c r="H56" s="296">
        <f>ROUND(VLOOKUP($F$1,ALLOC!$B$7:$AS$342,29,FALSE)*VLOOKUP($F$1,ALLOC!$B$7:$AS$342,33,FALSE),2)</f>
        <v>139948.21</v>
      </c>
      <c r="I56" s="297">
        <f>ROUND(VLOOKUP($F$1,ALLOC!$B$7:$AS$342,32,FALSE)-VLOOKUP($F$1,ALLOC!$B$7:$AS$342,31,FALSE),2)*(VLOOKUP($F$1,ALLOC!$B$7:$AS$342,29,FALSE))</f>
        <v>139948.2144</v>
      </c>
      <c r="J56" s="49"/>
    </row>
    <row r="57" spans="1:11" ht="30.75" customHeight="1" thickBot="1">
      <c r="A57" t="s">
        <v>1184</v>
      </c>
      <c r="B57" s="2"/>
      <c r="C57" s="289">
        <f>IF(MAX(C55,-C56)&gt;0,0,MAX(C55,-C56))</f>
        <v>-139948.21</v>
      </c>
      <c r="G57" s="301" t="s">
        <v>1283</v>
      </c>
      <c r="H57" s="299" t="s">
        <v>1284</v>
      </c>
      <c r="I57" s="299" t="s">
        <v>1285</v>
      </c>
    </row>
    <row r="58" spans="1:11" ht="18" hidden="1" thickTop="1">
      <c r="A58" t="s">
        <v>1286</v>
      </c>
      <c r="B58" s="2"/>
      <c r="C58" s="15">
        <f>IF(C57&lt;0,0,MAX(MIN(C53+C51-C52,C53*0.1),0))</f>
        <v>0</v>
      </c>
      <c r="G58" s="298"/>
      <c r="H58" s="292"/>
      <c r="I58" s="293"/>
    </row>
    <row r="59" spans="1:11" ht="15.75" thickTop="1">
      <c r="B59" s="2"/>
      <c r="G59" s="38"/>
      <c r="I59" s="300"/>
    </row>
    <row r="60" spans="1:11">
      <c r="A60" s="10" t="s">
        <v>1287</v>
      </c>
      <c r="B60" s="2"/>
      <c r="G60" s="447" t="s">
        <v>1278</v>
      </c>
      <c r="H60" s="447"/>
      <c r="I60" s="447"/>
    </row>
    <row r="61" spans="1:11">
      <c r="A61" t="s">
        <v>1258</v>
      </c>
      <c r="B61" s="2"/>
      <c r="C61" s="29">
        <f>VLOOKUP($F$1,ALLOC!$B$7:$AS$342,25,FALSE)</f>
        <v>51582.89</v>
      </c>
      <c r="G61" s="291">
        <f>VLOOKUP($F$1,ALLOC!$B$7:$AS$342,27,FALSE)</f>
        <v>714701.78</v>
      </c>
      <c r="H61" s="292"/>
      <c r="I61" s="293"/>
    </row>
    <row r="62" spans="1:11" ht="17.25">
      <c r="A62" t="s">
        <v>1266</v>
      </c>
      <c r="B62" s="2"/>
      <c r="C62" s="1">
        <v>0</v>
      </c>
      <c r="G62" s="294">
        <f>ROUND(VLOOKUP($F$1,ALLOC!$B$7:$AS$342,34,FALSE),2)</f>
        <v>79.61</v>
      </c>
      <c r="H62" s="292"/>
      <c r="I62" s="293"/>
    </row>
    <row r="63" spans="1:11" ht="17.25">
      <c r="A63" t="s">
        <v>1279</v>
      </c>
      <c r="B63" s="2"/>
      <c r="C63" s="29">
        <f>VLOOKUP($F$1,ALLOC!$B$7:$AS$342,27,FALSE)</f>
        <v>714701.78</v>
      </c>
      <c r="G63" s="295">
        <f>ROUND(VLOOKUP($F$1,ALLOC!$B$7:$AS$342,35,FALSE),2)</f>
        <v>663474.32999999996</v>
      </c>
      <c r="H63" s="292"/>
      <c r="I63" s="293"/>
    </row>
    <row r="64" spans="1:11" ht="17.25">
      <c r="A64" t="s">
        <v>1280</v>
      </c>
      <c r="B64" s="2"/>
      <c r="C64" s="15">
        <f>MAX(MIN(C63+C61-C62,C63*0.1),0)</f>
        <v>71470.178</v>
      </c>
      <c r="G64" s="295">
        <f>IFERROR(ROUND(G63/G62,2),0)</f>
        <v>8334.06</v>
      </c>
      <c r="H64" s="292"/>
      <c r="I64" s="293"/>
      <c r="K64" s="418"/>
    </row>
    <row r="65" spans="1:11" ht="17.25">
      <c r="A65" t="s">
        <v>1281</v>
      </c>
      <c r="B65" s="2"/>
      <c r="C65" s="81">
        <f>MIN(+C62+C64-C63-C61,0)</f>
        <v>-694814.49200000009</v>
      </c>
      <c r="G65" s="295">
        <f>IFERROR(ROUND(G61/G62,2),0)</f>
        <v>8977.5400000000009</v>
      </c>
      <c r="H65" s="292"/>
      <c r="I65" s="293"/>
      <c r="K65" s="418"/>
    </row>
    <row r="66" spans="1:11" ht="17.25">
      <c r="A66" s="190" t="s">
        <v>1282</v>
      </c>
      <c r="C66" s="159">
        <f>+G66</f>
        <v>51227.44</v>
      </c>
      <c r="G66" s="295">
        <f>ROUND((G65-G64)*G62,2)</f>
        <v>51227.44</v>
      </c>
      <c r="H66" s="296">
        <f>ROUND(VLOOKUP($F$1,ALLOC!$B$7:$AS$342,34,FALSE)*VLOOKUP($F$1,ALLOC!$B$7:$AS$342,38,FALSE),2)</f>
        <v>51227.44</v>
      </c>
      <c r="I66" s="297">
        <f>ROUND(VLOOKUP($F$1,ALLOC!$B$7:$AS$342,37,FALSE)-VLOOKUP($F$1,ALLOC!$B$7:$AS$342,36,FALSE),2)*(VLOOKUP($F$1,ALLOC!$B$7:$AS$342,34,FALSE))</f>
        <v>51227.442800000004</v>
      </c>
    </row>
    <row r="67" spans="1:11" ht="31.5" customHeight="1" thickBot="1">
      <c r="A67" s="34" t="s">
        <v>1184</v>
      </c>
      <c r="B67" s="290"/>
      <c r="C67" s="289">
        <f>IF(MAX(C65,-C66)&gt;0,0,MAX(C65,-C66))</f>
        <v>-51227.44</v>
      </c>
      <c r="G67" s="301" t="s">
        <v>1283</v>
      </c>
      <c r="H67" s="299" t="s">
        <v>1284</v>
      </c>
      <c r="I67" s="299" t="s">
        <v>1285</v>
      </c>
    </row>
    <row r="68" spans="1:11" ht="18" hidden="1" thickTop="1">
      <c r="A68" t="s">
        <v>1286</v>
      </c>
      <c r="B68" s="2"/>
      <c r="C68" s="15">
        <f>IF(C67&lt;0,0,MAX(MIN(C63+C61-C62,C63*0.1),0))</f>
        <v>0</v>
      </c>
    </row>
    <row r="69" spans="1:11" ht="15.75" thickTop="1">
      <c r="B69" s="2"/>
    </row>
    <row r="70" spans="1:11">
      <c r="A70" s="10" t="s">
        <v>1288</v>
      </c>
      <c r="B70" s="2"/>
    </row>
    <row r="71" spans="1:11">
      <c r="A71" t="s">
        <v>1258</v>
      </c>
      <c r="B71" s="2"/>
      <c r="C71" s="29">
        <f>VLOOKUP($F$1,ALLOC!$B$7:$AS$342,4,FALSE)</f>
        <v>138097.73000000001</v>
      </c>
    </row>
    <row r="72" spans="1:11">
      <c r="A72" t="s">
        <v>1264</v>
      </c>
      <c r="B72" s="2"/>
      <c r="C72" s="29">
        <f>VLOOKUP($F$1,ALLOC!$B$7:$AS$342,9,FALSE)</f>
        <v>1493702.17</v>
      </c>
    </row>
    <row r="73" spans="1:11">
      <c r="A73" t="s">
        <v>1261</v>
      </c>
      <c r="B73" s="2"/>
      <c r="C73" s="3">
        <f>C71+C72</f>
        <v>1631799.9</v>
      </c>
    </row>
    <row r="74" spans="1:11">
      <c r="A74" t="s">
        <v>1265</v>
      </c>
      <c r="B74" s="2"/>
    </row>
    <row r="75" spans="1:11">
      <c r="A75" t="s">
        <v>1266</v>
      </c>
      <c r="B75" s="1">
        <v>0</v>
      </c>
    </row>
    <row r="76" spans="1:11">
      <c r="A76" t="s">
        <v>1268</v>
      </c>
      <c r="B76" s="2">
        <f>B75*B6</f>
        <v>0</v>
      </c>
      <c r="C76" s="2">
        <f>B75+B76</f>
        <v>0</v>
      </c>
    </row>
    <row r="77" spans="1:11" ht="17.25">
      <c r="A77" t="s">
        <v>820</v>
      </c>
      <c r="B77" s="2"/>
      <c r="C77" s="15">
        <f>IF(C76&gt;C73,0,MIN(C72*0.1,C73-C76))</f>
        <v>149370.217</v>
      </c>
    </row>
    <row r="78" spans="1:11" ht="17.25">
      <c r="A78" t="s">
        <v>1184</v>
      </c>
      <c r="B78" s="2"/>
      <c r="C78" s="28">
        <f>IF(C76&gt;C73,0,+C76-C71+C77-C72)</f>
        <v>-1482429.683</v>
      </c>
    </row>
    <row r="79" spans="1:11">
      <c r="B79" s="2"/>
    </row>
    <row r="80" spans="1:11">
      <c r="A80" s="10" t="s">
        <v>1289</v>
      </c>
      <c r="B80" s="2"/>
    </row>
    <row r="81" spans="1:3">
      <c r="A81" t="s">
        <v>1258</v>
      </c>
      <c r="B81" s="2"/>
      <c r="C81" s="29">
        <f>VLOOKUP($F$1,ALLOC!$B$7:$AS$342,5,FALSE)</f>
        <v>0</v>
      </c>
    </row>
    <row r="82" spans="1:3">
      <c r="A82" t="s">
        <v>1264</v>
      </c>
      <c r="B82" s="2"/>
      <c r="C82" s="29">
        <f>VLOOKUP($F$1,ALLOC!$B$7:$AS$342,8,FALSE)</f>
        <v>895973.04</v>
      </c>
    </row>
    <row r="83" spans="1:3">
      <c r="A83" t="s">
        <v>1261</v>
      </c>
      <c r="B83" s="2"/>
      <c r="C83" s="3">
        <f>C81+C82</f>
        <v>895973.04</v>
      </c>
    </row>
    <row r="84" spans="1:3">
      <c r="A84" t="s">
        <v>1265</v>
      </c>
      <c r="B84" s="2"/>
    </row>
    <row r="85" spans="1:3">
      <c r="A85" t="s">
        <v>1266</v>
      </c>
      <c r="B85" s="1">
        <v>0</v>
      </c>
    </row>
    <row r="86" spans="1:3">
      <c r="A86" t="s">
        <v>1268</v>
      </c>
      <c r="B86" s="2">
        <f>B85*B6</f>
        <v>0</v>
      </c>
      <c r="C86" s="2">
        <f>B85+B86</f>
        <v>0</v>
      </c>
    </row>
    <row r="87" spans="1:3" ht="17.25">
      <c r="A87" t="s">
        <v>820</v>
      </c>
      <c r="B87" s="2"/>
      <c r="C87" s="15">
        <f>IF(C86&gt;C83,0,MIN(C82*0.1,C83-C86))</f>
        <v>89597.304000000004</v>
      </c>
    </row>
    <row r="88" spans="1:3" ht="17.25">
      <c r="A88" t="s">
        <v>1184</v>
      </c>
      <c r="B88" s="2"/>
      <c r="C88" s="28">
        <f>IF(C86&gt;C83,0,+C86-C81+C87-C82)</f>
        <v>-806375.73600000003</v>
      </c>
    </row>
    <row r="89" spans="1:3">
      <c r="B89" s="2"/>
    </row>
    <row r="90" spans="1:3">
      <c r="A90" s="10" t="s">
        <v>1290</v>
      </c>
      <c r="B90" s="2"/>
      <c r="C90" s="131">
        <f>+C87+C77</f>
        <v>238967.52100000001</v>
      </c>
    </row>
    <row r="91" spans="1:3">
      <c r="A91" s="10" t="s">
        <v>1291</v>
      </c>
      <c r="B91" s="2"/>
      <c r="C91" s="160">
        <f>+C78+C88</f>
        <v>-2288805.4189999998</v>
      </c>
    </row>
    <row r="92" spans="1:3">
      <c r="B92" s="2"/>
    </row>
    <row r="93" spans="1:3">
      <c r="B93" s="2"/>
    </row>
    <row r="94" spans="1:3">
      <c r="A94" s="10" t="s">
        <v>1292</v>
      </c>
    </row>
    <row r="95" spans="1:3">
      <c r="A95" t="s">
        <v>1258</v>
      </c>
      <c r="B95" s="2"/>
      <c r="C95" s="29">
        <f>VLOOKUP($F$1,ALLOC!$B$7:$AS$342,19,FALSE)</f>
        <v>0</v>
      </c>
    </row>
    <row r="96" spans="1:3">
      <c r="A96" t="s">
        <v>1264</v>
      </c>
      <c r="B96" s="2"/>
      <c r="C96" s="29">
        <f>VLOOKUP($F$1,ALLOC!$B$7:$AS$342,18,FALSE)</f>
        <v>179673.55</v>
      </c>
    </row>
    <row r="97" spans="1:3">
      <c r="A97" t="s">
        <v>1261</v>
      </c>
      <c r="B97" s="2"/>
      <c r="C97" s="3">
        <f>+C95+C96</f>
        <v>179673.55</v>
      </c>
    </row>
    <row r="98" spans="1:3">
      <c r="A98" t="s">
        <v>1265</v>
      </c>
      <c r="B98" s="2"/>
    </row>
    <row r="99" spans="1:3">
      <c r="A99" t="s">
        <v>1266</v>
      </c>
      <c r="B99" s="1">
        <v>0</v>
      </c>
    </row>
    <row r="100" spans="1:3">
      <c r="A100" s="190" t="s">
        <v>1268</v>
      </c>
      <c r="B100" s="29">
        <f>VLOOKUP($F$1,ALLOC!$B$7:$AS$342,20,FALSE)</f>
        <v>5946.46</v>
      </c>
      <c r="C100" s="2">
        <f>B99+B100</f>
        <v>5946.46</v>
      </c>
    </row>
    <row r="101" spans="1:3" ht="17.25">
      <c r="A101" t="s">
        <v>820</v>
      </c>
      <c r="B101" s="2"/>
      <c r="C101" s="15">
        <f>IF(C100&gt;C97,0,MIN(C96*0.1,C97-C100))</f>
        <v>17967.355</v>
      </c>
    </row>
    <row r="102" spans="1:3" ht="17.25">
      <c r="A102" t="s">
        <v>1184</v>
      </c>
      <c r="B102" s="2"/>
      <c r="C102" s="30">
        <f>MIN(C96,C100-C95)+C101-C96</f>
        <v>-155759.73499999999</v>
      </c>
    </row>
    <row r="104" spans="1:3">
      <c r="A104" s="10" t="s">
        <v>1293</v>
      </c>
    </row>
    <row r="105" spans="1:3">
      <c r="A105" t="s">
        <v>1258</v>
      </c>
      <c r="B105" s="2"/>
      <c r="C105" s="29">
        <f>VLOOKUP($F$1,ALLOC!$B$7:$AS$342,16,FALSE)</f>
        <v>0</v>
      </c>
    </row>
    <row r="106" spans="1:3">
      <c r="A106" t="s">
        <v>1264</v>
      </c>
      <c r="B106" s="2"/>
      <c r="C106" s="29">
        <f>VLOOKUP($F$1,ALLOC!$B$7:$AS$342,15,FALSE)</f>
        <v>0</v>
      </c>
    </row>
    <row r="107" spans="1:3">
      <c r="A107" t="s">
        <v>1261</v>
      </c>
      <c r="B107" s="2"/>
      <c r="C107" s="3">
        <f>+C105+C106</f>
        <v>0</v>
      </c>
    </row>
    <row r="108" spans="1:3">
      <c r="A108" t="s">
        <v>1265</v>
      </c>
      <c r="B108" s="2"/>
    </row>
    <row r="109" spans="1:3">
      <c r="A109" t="s">
        <v>1266</v>
      </c>
      <c r="B109" s="1">
        <v>0</v>
      </c>
    </row>
    <row r="110" spans="1:3">
      <c r="A110" s="190" t="s">
        <v>1268</v>
      </c>
      <c r="B110" s="29">
        <f>VLOOKUP($F$1,ALLOC!$B$7:$AS$342,17,FALSE)</f>
        <v>0</v>
      </c>
      <c r="C110" s="2">
        <f>B109+B110</f>
        <v>0</v>
      </c>
    </row>
    <row r="111" spans="1:3" ht="17.25">
      <c r="A111" t="s">
        <v>820</v>
      </c>
      <c r="B111" s="2"/>
      <c r="C111" s="15">
        <f>IF(C110&gt;C107,0,MIN(C106*0.1,C107-C110))</f>
        <v>0</v>
      </c>
    </row>
    <row r="112" spans="1:3" ht="17.25">
      <c r="A112" t="s">
        <v>1184</v>
      </c>
      <c r="B112" s="2"/>
      <c r="C112" s="30">
        <f>MIN(C106,C110-C105)+C111-C106</f>
        <v>0</v>
      </c>
    </row>
    <row r="114" spans="1:3">
      <c r="A114" s="10" t="s">
        <v>1294</v>
      </c>
    </row>
    <row r="115" spans="1:3">
      <c r="A115" t="s">
        <v>1295</v>
      </c>
      <c r="C115" s="29">
        <f>VLOOKUP($F$1,ALLOC!$B$7:$AS$342,10,FALSE)</f>
        <v>702206.74</v>
      </c>
    </row>
    <row r="116" spans="1:3">
      <c r="A116" t="s">
        <v>1266</v>
      </c>
      <c r="B116" s="1">
        <v>0</v>
      </c>
    </row>
    <row r="117" spans="1:3">
      <c r="A117" t="s">
        <v>1268</v>
      </c>
      <c r="B117" s="5">
        <f>B116*B5</f>
        <v>0</v>
      </c>
      <c r="C117" s="2">
        <f>+B116+B117</f>
        <v>0</v>
      </c>
    </row>
    <row r="118" spans="1:3" ht="17.25">
      <c r="A118" t="s">
        <v>1184</v>
      </c>
      <c r="C118" s="31">
        <f>MIN(C115,C117)-C115</f>
        <v>-702206.74</v>
      </c>
    </row>
    <row r="120" spans="1:3">
      <c r="A120" s="10" t="s">
        <v>1296</v>
      </c>
    </row>
    <row r="121" spans="1:3">
      <c r="A121" t="s">
        <v>1295</v>
      </c>
      <c r="C121" s="29">
        <f>VLOOKUP($F$1,ALLOC!$B$7:$AS$342,11,FALSE)</f>
        <v>94138.72</v>
      </c>
    </row>
    <row r="122" spans="1:3">
      <c r="A122" t="s">
        <v>1266</v>
      </c>
      <c r="B122" s="1">
        <v>0</v>
      </c>
    </row>
    <row r="123" spans="1:3">
      <c r="A123" t="s">
        <v>1268</v>
      </c>
      <c r="B123" s="5">
        <f>B122*B5</f>
        <v>0</v>
      </c>
      <c r="C123" s="2">
        <f>+B122+B123</f>
        <v>0</v>
      </c>
    </row>
    <row r="124" spans="1:3" ht="17.25">
      <c r="A124" t="s">
        <v>1184</v>
      </c>
      <c r="C124" s="31">
        <f>MIN(C121,C123)-C121</f>
        <v>-94138.72</v>
      </c>
    </row>
    <row r="127" spans="1:3">
      <c r="A127" s="10" t="s">
        <v>1297</v>
      </c>
    </row>
    <row r="128" spans="1:3">
      <c r="A128" t="s">
        <v>821</v>
      </c>
      <c r="C128" s="161">
        <f>VLOOKUP($F$1,ALLOC!$B$7:$AS$342,12,FALSE)</f>
        <v>1268856.96</v>
      </c>
    </row>
    <row r="129" spans="1:6">
      <c r="A129" t="s">
        <v>1298</v>
      </c>
      <c r="C129" s="161">
        <f>VLOOKUP($F$1,ALLOC!$B$7:$AS$342,41,FALSE)</f>
        <v>0</v>
      </c>
      <c r="F129" s="5"/>
    </row>
    <row r="130" spans="1:6">
      <c r="A130" t="s">
        <v>1266</v>
      </c>
      <c r="B130" s="1">
        <v>0</v>
      </c>
    </row>
    <row r="131" spans="1:6">
      <c r="A131" t="s">
        <v>1299</v>
      </c>
      <c r="B131" s="5">
        <f>B130*B5</f>
        <v>0</v>
      </c>
      <c r="C131" s="2">
        <f>+B130+B131</f>
        <v>0</v>
      </c>
    </row>
    <row r="132" spans="1:6">
      <c r="A132" t="s">
        <v>1300</v>
      </c>
      <c r="C132" s="1">
        <v>0</v>
      </c>
    </row>
    <row r="133" spans="1:6">
      <c r="A133" t="s">
        <v>1301</v>
      </c>
      <c r="C133" s="2">
        <f>C131+-C132</f>
        <v>0</v>
      </c>
      <c r="F133" s="5"/>
    </row>
    <row r="134" spans="1:6">
      <c r="A134" t="s">
        <v>1302</v>
      </c>
      <c r="C134" s="211">
        <f>MIN(C128+C129,C133)</f>
        <v>0</v>
      </c>
    </row>
    <row r="135" spans="1:6" ht="15.75" thickBot="1">
      <c r="A135" t="s">
        <v>1303</v>
      </c>
      <c r="C135" s="167">
        <f>((C128+C129)-C134)*-1</f>
        <v>-1268856.96</v>
      </c>
      <c r="F135" s="5"/>
    </row>
    <row r="136" spans="1:6" ht="15.75" thickTop="1">
      <c r="A136" t="s">
        <v>1304</v>
      </c>
      <c r="C136" s="66">
        <f>B130*(1+B6)</f>
        <v>0</v>
      </c>
    </row>
    <row r="138" spans="1:6">
      <c r="A138" s="10" t="s">
        <v>1305</v>
      </c>
    </row>
    <row r="139" spans="1:6">
      <c r="A139" t="s">
        <v>1306</v>
      </c>
      <c r="C139" s="29">
        <f>VLOOKUP($F$1,ALLOC!$B$7:$AS$342,24,FALSE)</f>
        <v>157.88999999999999</v>
      </c>
    </row>
    <row r="140" spans="1:6">
      <c r="A140" t="s">
        <v>1307</v>
      </c>
      <c r="C140" s="1">
        <v>0</v>
      </c>
    </row>
    <row r="141" spans="1:6" ht="17.25">
      <c r="A141" t="s">
        <v>1184</v>
      </c>
      <c r="C141" s="31">
        <f>-C139+C140</f>
        <v>-157.88999999999999</v>
      </c>
    </row>
    <row r="143" spans="1:6">
      <c r="A143" s="7" t="s">
        <v>1308</v>
      </c>
    </row>
    <row r="144" spans="1:6">
      <c r="A144" s="124" t="s">
        <v>1309</v>
      </c>
      <c r="C144" s="122">
        <f>C16</f>
        <v>385355.53</v>
      </c>
    </row>
    <row r="145" spans="1:6">
      <c r="A145" s="11" t="s">
        <v>1310</v>
      </c>
      <c r="C145" s="2">
        <f>C29</f>
        <v>463828.027</v>
      </c>
    </row>
    <row r="146" spans="1:6">
      <c r="A146" s="11" t="s">
        <v>1311</v>
      </c>
      <c r="C146" s="2">
        <f>C39</f>
        <v>0</v>
      </c>
    </row>
    <row r="147" spans="1:6">
      <c r="A147" s="124" t="s">
        <v>1312</v>
      </c>
      <c r="C147" s="122">
        <f>C48</f>
        <v>0</v>
      </c>
    </row>
    <row r="148" spans="1:6" s="282" customFormat="1">
      <c r="A148" s="286" t="s">
        <v>1313</v>
      </c>
      <c r="C148" s="287">
        <f>C54</f>
        <v>235419.144</v>
      </c>
    </row>
    <row r="149" spans="1:6" s="282" customFormat="1">
      <c r="A149" s="286" t="s">
        <v>1314</v>
      </c>
      <c r="C149" s="287">
        <f>C64</f>
        <v>71470.178</v>
      </c>
    </row>
    <row r="150" spans="1:6">
      <c r="A150" s="11" t="s">
        <v>1315</v>
      </c>
      <c r="C150" s="2">
        <f>C77</f>
        <v>149370.217</v>
      </c>
    </row>
    <row r="151" spans="1:6">
      <c r="A151" s="124" t="s">
        <v>1316</v>
      </c>
      <c r="C151" s="2">
        <f>C87</f>
        <v>89597.304000000004</v>
      </c>
    </row>
    <row r="152" spans="1:6">
      <c r="A152" s="11" t="s">
        <v>1317</v>
      </c>
      <c r="C152" s="2">
        <f>C101</f>
        <v>17967.355</v>
      </c>
    </row>
    <row r="153" spans="1:6">
      <c r="A153" s="11" t="s">
        <v>1318</v>
      </c>
      <c r="C153" s="2">
        <f>C111</f>
        <v>0</v>
      </c>
    </row>
    <row r="154" spans="1:6">
      <c r="A154" s="7" t="s">
        <v>1319</v>
      </c>
      <c r="C154" s="16">
        <f>SUM(C144:C153)</f>
        <v>1413007.7550000001</v>
      </c>
      <c r="F154" s="5"/>
    </row>
    <row r="157" spans="1:6">
      <c r="A157" s="438" t="s">
        <v>1320</v>
      </c>
      <c r="B157" s="439"/>
      <c r="C157" s="440"/>
    </row>
    <row r="158" spans="1:6">
      <c r="A158" s="11" t="s">
        <v>1321</v>
      </c>
      <c r="C158" s="2">
        <f>C30</f>
        <v>-5459978.3068799991</v>
      </c>
      <c r="D158" s="5">
        <f>+C145</f>
        <v>463828.027</v>
      </c>
    </row>
    <row r="159" spans="1:6">
      <c r="A159" s="11" t="s">
        <v>1322</v>
      </c>
      <c r="C159" s="2">
        <f>C40</f>
        <v>0</v>
      </c>
    </row>
    <row r="160" spans="1:6">
      <c r="A160" s="11" t="s">
        <v>1323</v>
      </c>
      <c r="C160" s="2">
        <f>C57</f>
        <v>-139948.21</v>
      </c>
      <c r="D160" s="5">
        <f>+C148</f>
        <v>235419.144</v>
      </c>
    </row>
    <row r="161" spans="1:6">
      <c r="A161" s="11" t="s">
        <v>1324</v>
      </c>
      <c r="C161" s="2">
        <f>C67</f>
        <v>-51227.44</v>
      </c>
      <c r="D161" s="5">
        <f>+C149</f>
        <v>71470.178</v>
      </c>
    </row>
    <row r="162" spans="1:6">
      <c r="A162" s="11" t="s">
        <v>1325</v>
      </c>
      <c r="C162" s="2">
        <f>C91</f>
        <v>-2288805.4189999998</v>
      </c>
      <c r="D162" s="5">
        <f>+C150</f>
        <v>149370.217</v>
      </c>
      <c r="F162" s="5">
        <f>+C151</f>
        <v>89597.304000000004</v>
      </c>
    </row>
    <row r="163" spans="1:6">
      <c r="A163" s="11" t="s">
        <v>1326</v>
      </c>
      <c r="C163" s="2">
        <f>C102</f>
        <v>-155759.73499999999</v>
      </c>
      <c r="D163" s="5">
        <f>+C152</f>
        <v>17967.355</v>
      </c>
    </row>
    <row r="164" spans="1:6">
      <c r="A164" s="11" t="s">
        <v>1327</v>
      </c>
      <c r="C164" s="2">
        <f>C112</f>
        <v>0</v>
      </c>
    </row>
    <row r="165" spans="1:6">
      <c r="A165" s="11" t="s">
        <v>1328</v>
      </c>
      <c r="C165" s="2">
        <f>C118</f>
        <v>-702206.74</v>
      </c>
    </row>
    <row r="166" spans="1:6">
      <c r="A166" s="11" t="s">
        <v>1329</v>
      </c>
      <c r="C166" s="2">
        <f>C124</f>
        <v>-94138.72</v>
      </c>
    </row>
    <row r="167" spans="1:6">
      <c r="A167" s="11" t="s">
        <v>1330</v>
      </c>
      <c r="C167" s="2">
        <f>C135</f>
        <v>-1268856.96</v>
      </c>
    </row>
    <row r="168" spans="1:6">
      <c r="A168" s="11" t="s">
        <v>1331</v>
      </c>
      <c r="C168" s="2">
        <f>IF(C141&lt;0,C141,0)</f>
        <v>-157.88999999999999</v>
      </c>
    </row>
    <row r="169" spans="1:6">
      <c r="A169" s="32" t="s">
        <v>1332</v>
      </c>
      <c r="C169" s="16">
        <f>IF(VLOOKUP($F$1,CCDDD!$A$2:$D$332,4,FALSE)="Cash",-SUM('GL 821 Restricted'!C158:C168),0)</f>
        <v>0</v>
      </c>
    </row>
    <row r="171" spans="1:6" ht="17.25">
      <c r="A171" s="11" t="s">
        <v>1333</v>
      </c>
      <c r="C171" s="33">
        <f>C154+C169</f>
        <v>1413007.7550000001</v>
      </c>
    </row>
    <row r="173" spans="1:6" ht="30.75" customHeight="1">
      <c r="A173" s="441" t="s">
        <v>1334</v>
      </c>
      <c r="B173" s="442"/>
      <c r="C173" s="288">
        <f>IF(C169=0,ABS(SUM(C158:C168)),0)</f>
        <v>10161079.420880001</v>
      </c>
    </row>
    <row r="174" spans="1:6">
      <c r="A174" s="6" t="s">
        <v>1335</v>
      </c>
    </row>
  </sheetData>
  <mergeCells count="8">
    <mergeCell ref="A1:C1"/>
    <mergeCell ref="A2:C2"/>
    <mergeCell ref="A157:C157"/>
    <mergeCell ref="A173:B173"/>
    <mergeCell ref="G42:K48"/>
    <mergeCell ref="G50:I50"/>
    <mergeCell ref="G60:I60"/>
    <mergeCell ref="E10:G17"/>
  </mergeCells>
  <hyperlinks>
    <hyperlink ref="A3" location="'Fund Balance Summary'!A1" display="(Return to summary sheet)" xr:uid="{00000000-0004-0000-0800-000000000000}"/>
    <hyperlink ref="A174" location="'Journal Entries'!A1" display="(Click here for sample journal entries relating to recovery.)" xr:uid="{00000000-0004-0000-0800-000001000000}"/>
  </hyperlink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707C3C-0F56-4722-8789-FB74974448CC}"/>
</file>

<file path=customXml/itemProps2.xml><?xml version="1.0" encoding="utf-8"?>
<ds:datastoreItem xmlns:ds="http://schemas.openxmlformats.org/officeDocument/2006/customXml" ds:itemID="{F4180E2C-410F-4E05-991B-73EC8FC59404}"/>
</file>

<file path=customXml/itemProps3.xml><?xml version="1.0" encoding="utf-8"?>
<ds:datastoreItem xmlns:ds="http://schemas.openxmlformats.org/officeDocument/2006/customXml" ds:itemID="{019F9370-8E5A-477D-B73D-B0D3A635BCF1}"/>
</file>

<file path=docProps/app.xml><?xml version="1.0" encoding="utf-8"?>
<Properties xmlns="http://schemas.openxmlformats.org/officeDocument/2006/extended-properties" xmlns:vt="http://schemas.openxmlformats.org/officeDocument/2006/docPropsVTypes">
  <Application>Microsoft Excel Online</Application>
  <Manager/>
  <Company>OSPI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 Balance Reporting Tool</dc:title>
  <dc:subject/>
  <dc:creator>OSPI/SAFS</dc:creator>
  <cp:keywords>fund balance, GASB 54</cp:keywords>
  <dc:description/>
  <cp:lastModifiedBy/>
  <cp:revision/>
  <dcterms:created xsi:type="dcterms:W3CDTF">2011-05-18T18:10:29Z</dcterms:created>
  <dcterms:modified xsi:type="dcterms:W3CDTF">2023-10-06T21:24:02Z</dcterms:modified>
  <cp:category/>
  <cp:contentStatus/>
</cp:coreProperties>
</file>