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lissa.jarmon\Desktop\"/>
    </mc:Choice>
  </mc:AlternateContent>
  <bookViews>
    <workbookView xWindow="20370" yWindow="-120" windowWidth="29040" windowHeight="15840" tabRatio="935" activeTab="2"/>
  </bookViews>
  <sheets>
    <sheet name="Please Read Instructions" sheetId="29" r:id="rId1"/>
    <sheet name="CCDDD" sheetId="26" state="hidden" r:id="rId2"/>
    <sheet name="Fund Balance Summary" sheetId="24" r:id="rId3"/>
    <sheet name="Indirects" sheetId="27" state="hidden" r:id="rId4"/>
    <sheet name="GL 810 Restricted" sheetId="2" r:id="rId5"/>
    <sheet name="GL 815 Restricted" sheetId="3" r:id="rId6"/>
    <sheet name="GL 819 Restricted" sheetId="34" r:id="rId7"/>
    <sheet name="ALLOC" sheetId="28" state="hidden" r:id="rId8"/>
    <sheet name="GL 821 Restricted" sheetId="4" r:id="rId9"/>
    <sheet name="GL 825 Restricted" sheetId="33" r:id="rId10"/>
    <sheet name="GL 828 Restricted" sheetId="31" r:id="rId11"/>
    <sheet name="Food Svc Carryover" sheetId="32" state="hidden" r:id="rId12"/>
    <sheet name="foodsvsc co for 17-18 eoy" sheetId="48" state="hidden" r:id="rId13"/>
    <sheet name="Food Svc CO worksheet" sheetId="42" state="hidden" r:id="rId14"/>
    <sheet name="GL 830 Restricted" sheetId="5" r:id="rId15"/>
    <sheet name="GL 835 Restricted" sheetId="6" r:id="rId16"/>
    <sheet name="GL 840 Nonspendable" sheetId="1" r:id="rId17"/>
    <sheet name="GL 845 Restricted" sheetId="7" r:id="rId18"/>
    <sheet name="GL 850 Restricted" sheetId="8" r:id="rId19"/>
    <sheet name="GL 855 Nonspendable" sheetId="9" r:id="rId20"/>
    <sheet name="GL 861 CPF Restricted" sheetId="10" r:id="rId21"/>
    <sheet name="GL 862 CPF Restricted" sheetId="11" r:id="rId22"/>
    <sheet name="GL 863 CPF Restricted" sheetId="12" r:id="rId23"/>
    <sheet name="GL 864 CPF Restricted" sheetId="13" r:id="rId24"/>
    <sheet name="GL 865 CPF Restricted" sheetId="14" r:id="rId25"/>
    <sheet name="GL 866 CPF Restricted" sheetId="15" r:id="rId26"/>
    <sheet name="GL 867 CPF Restricted" sheetId="16" r:id="rId27"/>
    <sheet name="GL 869 CPF Restricted" sheetId="17" r:id="rId28"/>
    <sheet name="GL 870 Committed" sheetId="18" r:id="rId29"/>
    <sheet name="GL 872 Committed" sheetId="19" r:id="rId30"/>
    <sheet name="GL 875 Assigned" sheetId="20" r:id="rId31"/>
    <sheet name="GL 884 Assigned" sheetId="21" r:id="rId32"/>
    <sheet name="GL 888 Assigned" sheetId="25" r:id="rId33"/>
    <sheet name="GL 889 Assigned" sheetId="22" r:id="rId34"/>
    <sheet name="GL 890 Unassigned" sheetId="23" r:id="rId35"/>
    <sheet name="GL 891 Unassigned MFBP" sheetId="38" r:id="rId36"/>
    <sheet name="Journal Entries" sheetId="30" r:id="rId37"/>
  </sheets>
  <definedNames>
    <definedName name="DISNAME">ALLOC!$B$7:$B$314</definedName>
    <definedName name="_xlnm.Print_Area" localSheetId="2">'Fund Balance Summary'!$A$1:$O$54</definedName>
    <definedName name="_xlnm.Print_Area" localSheetId="8">'GL 821 Restricted'!$A$81:$C$101</definedName>
    <definedName name="_xlnm.Print_Area" localSheetId="10">'GL 828 Restricted'!$A$1:$D$46</definedName>
    <definedName name="_xlnm.Print_Area" localSheetId="0">'Please Read Instructions'!$B$2:$C$27</definedName>
    <definedName name="solver_eng" localSheetId="0" hidden="1">1</definedName>
    <definedName name="solver_neg" localSheetId="0" hidden="1">1</definedName>
    <definedName name="solver_num" localSheetId="0" hidden="1">0</definedName>
    <definedName name="solver_opt" localSheetId="0" hidden="1">'Please Read Instructions'!$E$2</definedName>
    <definedName name="solver_typ" localSheetId="0" hidden="1">1</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0" i="4" l="1"/>
  <c r="G293" i="32" l="1"/>
  <c r="BC294" i="32"/>
  <c r="BC293" i="32"/>
  <c r="BC292" i="32"/>
  <c r="BC291" i="32"/>
  <c r="BC290" i="32"/>
  <c r="BC289" i="32"/>
  <c r="BC288" i="32"/>
  <c r="BC287" i="32"/>
  <c r="BC286" i="32"/>
  <c r="BC285" i="32"/>
  <c r="BC284" i="32"/>
  <c r="BC283" i="32"/>
  <c r="BC282" i="32"/>
  <c r="BC281" i="32"/>
  <c r="BC280" i="32"/>
  <c r="BC279" i="32"/>
  <c r="BC278" i="32"/>
  <c r="BC277" i="32"/>
  <c r="BC276" i="32"/>
  <c r="BC275" i="32"/>
  <c r="BC274" i="32"/>
  <c r="BC273" i="32"/>
  <c r="BC272" i="32"/>
  <c r="BC271" i="32"/>
  <c r="BC270" i="32"/>
  <c r="BC269" i="32"/>
  <c r="BC268" i="32"/>
  <c r="BC267" i="32"/>
  <c r="BC266" i="32"/>
  <c r="BC265" i="32"/>
  <c r="BC264" i="32"/>
  <c r="BC263" i="32"/>
  <c r="BC262" i="32"/>
  <c r="BC261" i="32"/>
  <c r="G261" i="32"/>
  <c r="BC260" i="32"/>
  <c r="BC259" i="32"/>
  <c r="BC258" i="32"/>
  <c r="BC257" i="32"/>
  <c r="BC256" i="32"/>
  <c r="BC255" i="32"/>
  <c r="BC254" i="32"/>
  <c r="BC253" i="32"/>
  <c r="BC252" i="32"/>
  <c r="BC251" i="32"/>
  <c r="BC250" i="32"/>
  <c r="BC249" i="32"/>
  <c r="BC248" i="32"/>
  <c r="BC247" i="32"/>
  <c r="BC246" i="32"/>
  <c r="BC245" i="32"/>
  <c r="BC244" i="32"/>
  <c r="BC243" i="32"/>
  <c r="BC242" i="32"/>
  <c r="BC241" i="32"/>
  <c r="BC240" i="32"/>
  <c r="BC239" i="32"/>
  <c r="BC238" i="32"/>
  <c r="BC237" i="32"/>
  <c r="BC236" i="32"/>
  <c r="BC235" i="32"/>
  <c r="BC234" i="32"/>
  <c r="BC233" i="32"/>
  <c r="BC232" i="32"/>
  <c r="BC231" i="32"/>
  <c r="BC230" i="32"/>
  <c r="BC229" i="32"/>
  <c r="BC228" i="32"/>
  <c r="BC227" i="32"/>
  <c r="BC226" i="32"/>
  <c r="BC225" i="32"/>
  <c r="BC224" i="32"/>
  <c r="BC223" i="32"/>
  <c r="BC222" i="32"/>
  <c r="BC221" i="32"/>
  <c r="BC220" i="32"/>
  <c r="BC219" i="32"/>
  <c r="BC218" i="32"/>
  <c r="BC217" i="32"/>
  <c r="BC216" i="32"/>
  <c r="BC215" i="32"/>
  <c r="BC214" i="32"/>
  <c r="BC213" i="32"/>
  <c r="BC212" i="32"/>
  <c r="BC211" i="32"/>
  <c r="BC210" i="32"/>
  <c r="BC209" i="32"/>
  <c r="BC208" i="32"/>
  <c r="BC207" i="32"/>
  <c r="BC206" i="32"/>
  <c r="BC205" i="32"/>
  <c r="BC204" i="32"/>
  <c r="BC203" i="32"/>
  <c r="BC202" i="32"/>
  <c r="BC201" i="32"/>
  <c r="BC200" i="32"/>
  <c r="BC199" i="32"/>
  <c r="BC198" i="32"/>
  <c r="BC197" i="32"/>
  <c r="BC196" i="32"/>
  <c r="BC195" i="32"/>
  <c r="BC194" i="32"/>
  <c r="BC193" i="32"/>
  <c r="BC192" i="32"/>
  <c r="BC191" i="32"/>
  <c r="BC190" i="32"/>
  <c r="BC189" i="32"/>
  <c r="BC188" i="32"/>
  <c r="BC187" i="32"/>
  <c r="BC186" i="32"/>
  <c r="BC185" i="32"/>
  <c r="BC184" i="32"/>
  <c r="BC183" i="32"/>
  <c r="BC182" i="32"/>
  <c r="BC181" i="32"/>
  <c r="BC180" i="32"/>
  <c r="BC179" i="32"/>
  <c r="BC178" i="32"/>
  <c r="BC177" i="32"/>
  <c r="BC176" i="32"/>
  <c r="BC175" i="32"/>
  <c r="BC174" i="32"/>
  <c r="BC173" i="32"/>
  <c r="BC172" i="32"/>
  <c r="BC171" i="32"/>
  <c r="BC170" i="32"/>
  <c r="BC169" i="32"/>
  <c r="BC168" i="32"/>
  <c r="BC167" i="32"/>
  <c r="BC166" i="32"/>
  <c r="BC165" i="32"/>
  <c r="BC164" i="32"/>
  <c r="BC163" i="32"/>
  <c r="BC162" i="32"/>
  <c r="BC161" i="32"/>
  <c r="BC160" i="32"/>
  <c r="BC159" i="32"/>
  <c r="BC158" i="32"/>
  <c r="BC157" i="32"/>
  <c r="BC156" i="32"/>
  <c r="BC155" i="32"/>
  <c r="BC154" i="32"/>
  <c r="BC153" i="32"/>
  <c r="BC152" i="32"/>
  <c r="BC151" i="32"/>
  <c r="BC150" i="32"/>
  <c r="BC149" i="32"/>
  <c r="BC148" i="32"/>
  <c r="BC147" i="32"/>
  <c r="BC146" i="32"/>
  <c r="BC145" i="32"/>
  <c r="BC144" i="32"/>
  <c r="BC143" i="32"/>
  <c r="BC142" i="32"/>
  <c r="BC141" i="32"/>
  <c r="BC140" i="32"/>
  <c r="BC139" i="32"/>
  <c r="BC138" i="32"/>
  <c r="BC137" i="32"/>
  <c r="BC136" i="32"/>
  <c r="BC135" i="32"/>
  <c r="BC134" i="32"/>
  <c r="BC133" i="32"/>
  <c r="BC132" i="32"/>
  <c r="BC131" i="32"/>
  <c r="BC130" i="32"/>
  <c r="BC129" i="32"/>
  <c r="BC128" i="32"/>
  <c r="BC127" i="32"/>
  <c r="BC126" i="32"/>
  <c r="BC125" i="32"/>
  <c r="BC124" i="32"/>
  <c r="BC123" i="32"/>
  <c r="BC122" i="32"/>
  <c r="BC121" i="32"/>
  <c r="BC120" i="32"/>
  <c r="BC119" i="32"/>
  <c r="BC118" i="32"/>
  <c r="BC117" i="32"/>
  <c r="BC116" i="32"/>
  <c r="BC115" i="32"/>
  <c r="BC114" i="32"/>
  <c r="BC113" i="32"/>
  <c r="BC112" i="32"/>
  <c r="G112" i="32"/>
  <c r="BC111" i="32"/>
  <c r="BC110" i="32"/>
  <c r="BC109" i="32"/>
  <c r="BC108" i="32"/>
  <c r="BC107" i="32"/>
  <c r="BC106" i="32"/>
  <c r="BC105" i="32"/>
  <c r="BC104" i="32"/>
  <c r="BC103" i="32"/>
  <c r="BC102" i="32"/>
  <c r="BC101" i="32"/>
  <c r="BC100" i="32"/>
  <c r="BC99" i="32"/>
  <c r="BC98" i="32"/>
  <c r="BC97" i="32"/>
  <c r="BC96" i="32"/>
  <c r="BC95" i="32"/>
  <c r="BC94" i="32"/>
  <c r="BC93" i="32"/>
  <c r="BC92" i="32"/>
  <c r="BC91" i="32"/>
  <c r="BC90" i="32"/>
  <c r="BC89" i="32"/>
  <c r="BC88" i="32"/>
  <c r="BC87" i="32"/>
  <c r="BC86" i="32"/>
  <c r="BC85" i="32"/>
  <c r="BC84" i="32"/>
  <c r="BC83" i="32"/>
  <c r="BC82" i="32"/>
  <c r="BC81" i="32"/>
  <c r="BC80" i="32"/>
  <c r="BC79" i="32"/>
  <c r="BC78" i="32"/>
  <c r="BC77" i="32"/>
  <c r="BC76" i="32"/>
  <c r="BC75" i="32"/>
  <c r="BC74" i="32"/>
  <c r="BC73" i="32"/>
  <c r="BC72" i="32"/>
  <c r="BC71" i="32"/>
  <c r="BC70" i="32"/>
  <c r="BC69" i="32"/>
  <c r="BC68" i="32"/>
  <c r="BC67" i="32"/>
  <c r="BC66" i="32"/>
  <c r="BC65" i="32"/>
  <c r="BC64" i="32"/>
  <c r="BC63" i="32"/>
  <c r="BC62" i="32"/>
  <c r="BC61" i="32"/>
  <c r="BC60" i="32"/>
  <c r="BC59" i="32"/>
  <c r="BC58" i="32"/>
  <c r="BC57" i="32"/>
  <c r="BC56" i="32"/>
  <c r="BC55" i="32"/>
  <c r="BC54" i="32"/>
  <c r="BC53" i="32"/>
  <c r="BC52" i="32"/>
  <c r="BC51" i="32"/>
  <c r="BC50" i="32"/>
  <c r="BC49" i="32"/>
  <c r="BC48" i="32"/>
  <c r="BC47" i="32"/>
  <c r="BC46" i="32"/>
  <c r="BC45" i="32"/>
  <c r="BC44" i="32"/>
  <c r="BC43" i="32"/>
  <c r="BC42" i="32"/>
  <c r="BC41" i="32"/>
  <c r="BC40" i="32"/>
  <c r="BC39" i="32"/>
  <c r="BC38" i="32"/>
  <c r="BC37" i="32"/>
  <c r="BC36" i="32"/>
  <c r="BC35" i="32"/>
  <c r="BC34" i="32"/>
  <c r="BC33" i="32"/>
  <c r="BC32" i="32"/>
  <c r="BC31" i="32"/>
  <c r="BC30" i="32"/>
  <c r="BC29" i="32"/>
  <c r="BC28" i="32"/>
  <c r="BC27" i="32"/>
  <c r="BC26" i="32"/>
  <c r="BC25" i="32"/>
  <c r="BC24" i="32"/>
  <c r="BC23" i="32"/>
  <c r="BC22" i="32"/>
  <c r="BC21" i="32"/>
  <c r="BC20" i="32"/>
  <c r="BC19" i="32"/>
  <c r="BC18" i="32"/>
  <c r="BC17" i="32"/>
  <c r="BC16" i="32"/>
  <c r="BC15" i="32"/>
  <c r="BC14" i="32"/>
  <c r="BC13" i="32"/>
  <c r="BC12" i="32"/>
  <c r="BC11" i="32"/>
  <c r="BC10" i="32"/>
  <c r="BC9" i="32"/>
  <c r="BC8" i="32"/>
  <c r="BC7" i="32"/>
  <c r="BC6" i="32"/>
  <c r="BC5" i="32"/>
  <c r="BC4" i="32"/>
  <c r="BC3" i="32"/>
  <c r="BC2" i="32"/>
  <c r="AU6" i="28" l="1"/>
  <c r="AM328" i="28" l="1"/>
  <c r="AL328" i="28"/>
  <c r="AI328" i="28"/>
  <c r="AH328" i="28"/>
  <c r="AG328" i="28"/>
  <c r="AM327" i="28"/>
  <c r="AL327" i="28"/>
  <c r="AH327" i="28"/>
  <c r="AG327" i="28"/>
  <c r="AM326" i="28"/>
  <c r="AL326" i="28"/>
  <c r="AH326" i="28"/>
  <c r="AG326" i="28"/>
  <c r="AM325" i="28"/>
  <c r="AL325" i="28"/>
  <c r="AH325" i="28"/>
  <c r="AG325" i="28"/>
  <c r="AM324" i="28"/>
  <c r="AL324" i="28"/>
  <c r="AH324" i="28"/>
  <c r="AG324" i="28"/>
  <c r="AM323" i="28"/>
  <c r="AL323" i="28"/>
  <c r="AH323" i="28"/>
  <c r="AG323" i="28"/>
  <c r="AM322" i="28"/>
  <c r="AL322" i="28"/>
  <c r="AH322" i="28"/>
  <c r="AI322" i="28" s="1"/>
  <c r="AG322" i="28"/>
  <c r="AM321" i="28"/>
  <c r="AL321" i="28"/>
  <c r="AH321" i="28"/>
  <c r="AG321" i="28"/>
  <c r="AM320" i="28"/>
  <c r="AL320" i="28"/>
  <c r="AI320" i="28"/>
  <c r="AH320" i="28"/>
  <c r="AG320" i="28"/>
  <c r="AM319" i="28"/>
  <c r="AL319" i="28"/>
  <c r="AH319" i="28"/>
  <c r="AG319" i="28"/>
  <c r="AI319" i="28" s="1"/>
  <c r="AM318" i="28"/>
  <c r="AL318" i="28"/>
  <c r="AH318" i="28"/>
  <c r="AG318" i="28"/>
  <c r="AM317" i="28"/>
  <c r="AN317" i="28" s="1"/>
  <c r="AL317" i="28"/>
  <c r="AH317" i="28"/>
  <c r="AG317" i="28"/>
  <c r="AI317" i="28" s="1"/>
  <c r="AM316" i="28"/>
  <c r="AN316" i="28" s="1"/>
  <c r="AL316" i="28"/>
  <c r="AH316" i="28"/>
  <c r="AG316" i="28"/>
  <c r="AM315" i="28"/>
  <c r="AL315" i="28"/>
  <c r="AH315" i="28"/>
  <c r="AG315" i="28"/>
  <c r="AI315" i="28" s="1"/>
  <c r="AM314" i="28"/>
  <c r="AL314" i="28"/>
  <c r="AH314" i="28"/>
  <c r="AG314" i="28"/>
  <c r="AM313" i="28"/>
  <c r="AL313" i="28"/>
  <c r="AH313" i="28"/>
  <c r="AG313" i="28"/>
  <c r="AM312" i="28"/>
  <c r="AL312" i="28"/>
  <c r="AH312" i="28"/>
  <c r="AI312" i="28" s="1"/>
  <c r="AG312" i="28"/>
  <c r="AM311" i="28"/>
  <c r="AL311" i="28"/>
  <c r="AH311" i="28"/>
  <c r="AG311" i="28"/>
  <c r="AI311" i="28" s="1"/>
  <c r="AM310" i="28"/>
  <c r="AL310" i="28"/>
  <c r="AH310" i="28"/>
  <c r="AG310" i="28"/>
  <c r="AM309" i="28"/>
  <c r="AN309" i="28" s="1"/>
  <c r="AL309" i="28"/>
  <c r="AH309" i="28"/>
  <c r="AG309" i="28"/>
  <c r="AI309" i="28" s="1"/>
  <c r="AM308" i="28"/>
  <c r="AN308" i="28" s="1"/>
  <c r="AL308" i="28"/>
  <c r="AH308" i="28"/>
  <c r="AG308" i="28"/>
  <c r="AM307" i="28"/>
  <c r="AL307" i="28"/>
  <c r="AH307" i="28"/>
  <c r="AG307" i="28"/>
  <c r="AI307" i="28" s="1"/>
  <c r="AM306" i="28"/>
  <c r="AL306" i="28"/>
  <c r="AH306" i="28"/>
  <c r="AG306" i="28"/>
  <c r="AM305" i="28"/>
  <c r="AL305" i="28"/>
  <c r="AH305" i="28"/>
  <c r="AG305" i="28"/>
  <c r="AM304" i="28"/>
  <c r="AL304" i="28"/>
  <c r="AH304" i="28"/>
  <c r="AI304" i="28" s="1"/>
  <c r="AG304" i="28"/>
  <c r="AM303" i="28"/>
  <c r="AL303" i="28"/>
  <c r="AH303" i="28"/>
  <c r="AG303" i="28"/>
  <c r="AM302" i="28"/>
  <c r="AL302" i="28"/>
  <c r="AH302" i="28"/>
  <c r="AI302" i="28" s="1"/>
  <c r="AG302" i="28"/>
  <c r="AM301" i="28"/>
  <c r="AL301" i="28"/>
  <c r="AH301" i="28"/>
  <c r="AG301" i="28"/>
  <c r="AM300" i="28"/>
  <c r="AN300" i="28" s="1"/>
  <c r="AL300" i="28"/>
  <c r="AH300" i="28"/>
  <c r="AI300" i="28" s="1"/>
  <c r="AG300" i="28"/>
  <c r="AM299" i="28"/>
  <c r="AL299" i="28"/>
  <c r="AH299" i="28"/>
  <c r="AG299" i="28"/>
  <c r="AM298" i="28"/>
  <c r="AL298" i="28"/>
  <c r="AH298" i="28"/>
  <c r="AI298" i="28" s="1"/>
  <c r="AG298" i="28"/>
  <c r="AM297" i="28"/>
  <c r="AL297" i="28"/>
  <c r="AH297" i="28"/>
  <c r="AG297" i="28"/>
  <c r="AM296" i="28"/>
  <c r="AL296" i="28"/>
  <c r="AI296" i="28"/>
  <c r="AH296" i="28"/>
  <c r="AG296" i="28"/>
  <c r="AM295" i="28"/>
  <c r="AL295" i="28"/>
  <c r="AH295" i="28"/>
  <c r="AG295" i="28"/>
  <c r="AM294" i="28"/>
  <c r="AL294" i="28"/>
  <c r="AH294" i="28"/>
  <c r="AI294" i="28" s="1"/>
  <c r="AG294" i="28"/>
  <c r="AM293" i="28"/>
  <c r="AL293" i="28"/>
  <c r="AH293" i="28"/>
  <c r="AG293" i="28"/>
  <c r="AM292" i="28"/>
  <c r="AL292" i="28"/>
  <c r="AH292" i="28"/>
  <c r="AI292" i="28" s="1"/>
  <c r="AG292" i="28"/>
  <c r="AM291" i="28"/>
  <c r="AL291" i="28"/>
  <c r="AH291" i="28"/>
  <c r="AG291" i="28"/>
  <c r="AM290" i="28"/>
  <c r="AL290" i="28"/>
  <c r="AH290" i="28"/>
  <c r="AI290" i="28" s="1"/>
  <c r="AG290" i="28"/>
  <c r="AM289" i="28"/>
  <c r="AL289" i="28"/>
  <c r="AH289" i="28"/>
  <c r="AG289" i="28"/>
  <c r="AM288" i="28"/>
  <c r="AL288" i="28"/>
  <c r="AI288" i="28"/>
  <c r="AH288" i="28"/>
  <c r="AG288" i="28"/>
  <c r="AM287" i="28"/>
  <c r="AL287" i="28"/>
  <c r="AH287" i="28"/>
  <c r="AG287" i="28"/>
  <c r="AI287" i="28" s="1"/>
  <c r="AM286" i="28"/>
  <c r="AL286" i="28"/>
  <c r="AH286" i="28"/>
  <c r="AG286" i="28"/>
  <c r="AM285" i="28"/>
  <c r="AN285" i="28" s="1"/>
  <c r="AL285" i="28"/>
  <c r="AH285" i="28"/>
  <c r="AG285" i="28"/>
  <c r="AI285" i="28" s="1"/>
  <c r="AM284" i="28"/>
  <c r="AN284" i="28" s="1"/>
  <c r="AL284" i="28"/>
  <c r="AH284" i="28"/>
  <c r="AG284" i="28"/>
  <c r="AM283" i="28"/>
  <c r="AL283" i="28"/>
  <c r="AH283" i="28"/>
  <c r="AG283" i="28"/>
  <c r="AI283" i="28" s="1"/>
  <c r="AM282" i="28"/>
  <c r="AL282" i="28"/>
  <c r="AH282" i="28"/>
  <c r="AG282" i="28"/>
  <c r="AM281" i="28"/>
  <c r="AL281" i="28"/>
  <c r="AH281" i="28"/>
  <c r="AG281" i="28"/>
  <c r="AM280" i="28"/>
  <c r="AL280" i="28"/>
  <c r="AH280" i="28"/>
  <c r="AI280" i="28" s="1"/>
  <c r="AG280" i="28"/>
  <c r="AM279" i="28"/>
  <c r="AL279" i="28"/>
  <c r="AH279" i="28"/>
  <c r="AG279" i="28"/>
  <c r="AI279" i="28" s="1"/>
  <c r="AM278" i="28"/>
  <c r="AL278" i="28"/>
  <c r="AH278" i="28"/>
  <c r="AG278" i="28"/>
  <c r="AM277" i="28"/>
  <c r="AN277" i="28" s="1"/>
  <c r="AL277" i="28"/>
  <c r="AH277" i="28"/>
  <c r="AG277" i="28"/>
  <c r="AI277" i="28" s="1"/>
  <c r="AM276" i="28"/>
  <c r="AN276" i="28" s="1"/>
  <c r="AL276" i="28"/>
  <c r="AH276" i="28"/>
  <c r="AG276" i="28"/>
  <c r="AM275" i="28"/>
  <c r="AL275" i="28"/>
  <c r="AH275" i="28"/>
  <c r="AG275" i="28"/>
  <c r="AM274" i="28"/>
  <c r="AL274" i="28"/>
  <c r="AH274" i="28"/>
  <c r="AG274" i="28"/>
  <c r="AM273" i="28"/>
  <c r="AL273" i="28"/>
  <c r="AH273" i="28"/>
  <c r="AG273" i="28"/>
  <c r="AM272" i="28"/>
  <c r="AL272" i="28"/>
  <c r="AH272" i="28"/>
  <c r="AI272" i="28" s="1"/>
  <c r="AG272" i="28"/>
  <c r="AM271" i="28"/>
  <c r="AL271" i="28"/>
  <c r="AH271" i="28"/>
  <c r="AG271" i="28"/>
  <c r="AM270" i="28"/>
  <c r="AL270" i="28"/>
  <c r="AH270" i="28"/>
  <c r="AI270" i="28" s="1"/>
  <c r="AG270" i="28"/>
  <c r="AM269" i="28"/>
  <c r="AN269" i="28" s="1"/>
  <c r="AL269" i="28"/>
  <c r="AH269" i="28"/>
  <c r="AG269" i="28"/>
  <c r="AM268" i="28"/>
  <c r="AN268" i="28" s="1"/>
  <c r="AL268" i="28"/>
  <c r="AH268" i="28"/>
  <c r="AI268" i="28" s="1"/>
  <c r="AG268" i="28"/>
  <c r="AM267" i="28"/>
  <c r="AL267" i="28"/>
  <c r="AH267" i="28"/>
  <c r="AG267" i="28"/>
  <c r="AM266" i="28"/>
  <c r="AL266" i="28"/>
  <c r="AH266" i="28"/>
  <c r="AI266" i="28" s="1"/>
  <c r="AG266" i="28"/>
  <c r="AM265" i="28"/>
  <c r="AL265" i="28"/>
  <c r="AH265" i="28"/>
  <c r="AG265" i="28"/>
  <c r="AM264" i="28"/>
  <c r="AL264" i="28"/>
  <c r="AI264" i="28"/>
  <c r="AH264" i="28"/>
  <c r="AG264" i="28"/>
  <c r="AM263" i="28"/>
  <c r="AL263" i="28"/>
  <c r="AH263" i="28"/>
  <c r="AG263" i="28"/>
  <c r="AM262" i="28"/>
  <c r="AL262" i="28"/>
  <c r="AH262" i="28"/>
  <c r="AI262" i="28" s="1"/>
  <c r="AG262" i="28"/>
  <c r="AM261" i="28"/>
  <c r="AL261" i="28"/>
  <c r="AH261" i="28"/>
  <c r="AG261" i="28"/>
  <c r="AM260" i="28"/>
  <c r="AL260" i="28"/>
  <c r="AH260" i="28"/>
  <c r="AI260" i="28" s="1"/>
  <c r="AG260" i="28"/>
  <c r="AM259" i="28"/>
  <c r="AL259" i="28"/>
  <c r="AH259" i="28"/>
  <c r="AG259" i="28"/>
  <c r="AM258" i="28"/>
  <c r="AL258" i="28"/>
  <c r="AH258" i="28"/>
  <c r="AI258" i="28" s="1"/>
  <c r="AG258" i="28"/>
  <c r="AM257" i="28"/>
  <c r="AL257" i="28"/>
  <c r="AH257" i="28"/>
  <c r="AG257" i="28"/>
  <c r="AM256" i="28"/>
  <c r="AL256" i="28"/>
  <c r="AI256" i="28"/>
  <c r="AH256" i="28"/>
  <c r="AG256" i="28"/>
  <c r="AM255" i="28"/>
  <c r="AL255" i="28"/>
  <c r="AH255" i="28"/>
  <c r="AG255" i="28"/>
  <c r="AI255" i="28" s="1"/>
  <c r="AM254" i="28"/>
  <c r="AL254" i="28"/>
  <c r="AH254" i="28"/>
  <c r="AG254" i="28"/>
  <c r="AM253" i="28"/>
  <c r="AN253" i="28" s="1"/>
  <c r="AL253" i="28"/>
  <c r="AH253" i="28"/>
  <c r="AG253" i="28"/>
  <c r="AI253" i="28" s="1"/>
  <c r="AM252" i="28"/>
  <c r="AN252" i="28" s="1"/>
  <c r="AL252" i="28"/>
  <c r="AH252" i="28"/>
  <c r="AG252" i="28"/>
  <c r="AM251" i="28"/>
  <c r="AL251" i="28"/>
  <c r="AH251" i="28"/>
  <c r="AG251" i="28"/>
  <c r="AI251" i="28" s="1"/>
  <c r="AM250" i="28"/>
  <c r="AL250" i="28"/>
  <c r="AH250" i="28"/>
  <c r="AG250" i="28"/>
  <c r="AM249" i="28"/>
  <c r="AL249" i="28"/>
  <c r="AH249" i="28"/>
  <c r="AG249" i="28"/>
  <c r="AM248" i="28"/>
  <c r="AL248" i="28"/>
  <c r="AH248" i="28"/>
  <c r="AI248" i="28" s="1"/>
  <c r="AG248" i="28"/>
  <c r="AM247" i="28"/>
  <c r="AL247" i="28"/>
  <c r="AH247" i="28"/>
  <c r="AG247" i="28"/>
  <c r="AI247" i="28" s="1"/>
  <c r="AM246" i="28"/>
  <c r="AL246" i="28"/>
  <c r="AH246" i="28"/>
  <c r="AG246" i="28"/>
  <c r="AM245" i="28"/>
  <c r="AN245" i="28" s="1"/>
  <c r="AL245" i="28"/>
  <c r="AH245" i="28"/>
  <c r="AG245" i="28"/>
  <c r="AI245" i="28" s="1"/>
  <c r="AM244" i="28"/>
  <c r="AN244" i="28" s="1"/>
  <c r="AL244" i="28"/>
  <c r="AH244" i="28"/>
  <c r="AG244" i="28"/>
  <c r="AM243" i="28"/>
  <c r="AL243" i="28"/>
  <c r="AH243" i="28"/>
  <c r="AG243" i="28"/>
  <c r="AI243" i="28" s="1"/>
  <c r="AM242" i="28"/>
  <c r="AL242" i="28"/>
  <c r="AH242" i="28"/>
  <c r="AG242" i="28"/>
  <c r="AM241" i="28"/>
  <c r="AL241" i="28"/>
  <c r="AH241" i="28"/>
  <c r="AG241" i="28"/>
  <c r="AM240" i="28"/>
  <c r="AL240" i="28"/>
  <c r="AH240" i="28"/>
  <c r="AI240" i="28" s="1"/>
  <c r="AG240" i="28"/>
  <c r="AM239" i="28"/>
  <c r="AL239" i="28"/>
  <c r="AH239" i="28"/>
  <c r="AG239" i="28"/>
  <c r="AM238" i="28"/>
  <c r="AL238" i="28"/>
  <c r="AH238" i="28"/>
  <c r="AI238" i="28" s="1"/>
  <c r="AG238" i="28"/>
  <c r="AM237" i="28"/>
  <c r="AN237" i="28" s="1"/>
  <c r="AL237" i="28"/>
  <c r="AH237" i="28"/>
  <c r="AG237" i="28"/>
  <c r="AM236" i="28"/>
  <c r="AN236" i="28" s="1"/>
  <c r="AL236" i="28"/>
  <c r="AH236" i="28"/>
  <c r="AI236" i="28" s="1"/>
  <c r="AG236" i="28"/>
  <c r="AM235" i="28"/>
  <c r="AL235" i="28"/>
  <c r="AH235" i="28"/>
  <c r="AG235" i="28"/>
  <c r="AM234" i="28"/>
  <c r="AL234" i="28"/>
  <c r="AH234" i="28"/>
  <c r="AI234" i="28" s="1"/>
  <c r="AG234" i="28"/>
  <c r="AM233" i="28"/>
  <c r="AL233" i="28"/>
  <c r="AH233" i="28"/>
  <c r="AG233" i="28"/>
  <c r="AM232" i="28"/>
  <c r="AL232" i="28"/>
  <c r="AI232" i="28"/>
  <c r="AH232" i="28"/>
  <c r="AG232" i="28"/>
  <c r="AM231" i="28"/>
  <c r="AL231" i="28"/>
  <c r="AH231" i="28"/>
  <c r="AG231" i="28"/>
  <c r="AM230" i="28"/>
  <c r="AL230" i="28"/>
  <c r="AH230" i="28"/>
  <c r="AI230" i="28" s="1"/>
  <c r="AG230" i="28"/>
  <c r="AM229" i="28"/>
  <c r="AL229" i="28"/>
  <c r="AH229" i="28"/>
  <c r="AG229" i="28"/>
  <c r="AM228" i="28"/>
  <c r="AL228" i="28"/>
  <c r="AH228" i="28"/>
  <c r="AI228" i="28" s="1"/>
  <c r="AG228" i="28"/>
  <c r="AM227" i="28"/>
  <c r="AL227" i="28"/>
  <c r="AH227" i="28"/>
  <c r="AG227" i="28"/>
  <c r="AM226" i="28"/>
  <c r="AL226" i="28"/>
  <c r="AH226" i="28"/>
  <c r="AI226" i="28" s="1"/>
  <c r="AG226" i="28"/>
  <c r="AM225" i="28"/>
  <c r="AL225" i="28"/>
  <c r="AH225" i="28"/>
  <c r="AG225" i="28"/>
  <c r="AM224" i="28"/>
  <c r="AL224" i="28"/>
  <c r="AI224" i="28"/>
  <c r="AH224" i="28"/>
  <c r="AG224" i="28"/>
  <c r="AM223" i="28"/>
  <c r="AL223" i="28"/>
  <c r="AH223" i="28"/>
  <c r="AG223" i="28"/>
  <c r="AI223" i="28" s="1"/>
  <c r="AM222" i="28"/>
  <c r="AL222" i="28"/>
  <c r="AH222" i="28"/>
  <c r="AG222" i="28"/>
  <c r="AM221" i="28"/>
  <c r="AN221" i="28" s="1"/>
  <c r="AL221" i="28"/>
  <c r="AH221" i="28"/>
  <c r="AG221" i="28"/>
  <c r="AM220" i="28"/>
  <c r="AN220" i="28" s="1"/>
  <c r="AL220" i="28"/>
  <c r="AH220" i="28"/>
  <c r="AG220" i="28"/>
  <c r="AI220" i="28" s="1"/>
  <c r="AM219" i="28"/>
  <c r="AL219" i="28"/>
  <c r="AH219" i="28"/>
  <c r="AG219" i="28"/>
  <c r="AI219" i="28" s="1"/>
  <c r="AM218" i="28"/>
  <c r="AL218" i="28"/>
  <c r="AH218" i="28"/>
  <c r="AG218" i="28"/>
  <c r="AM217" i="28"/>
  <c r="AN217" i="28" s="1"/>
  <c r="AL217" i="28"/>
  <c r="AH217" i="28"/>
  <c r="AG217" i="28"/>
  <c r="AM216" i="28"/>
  <c r="AN216" i="28" s="1"/>
  <c r="AL216" i="28"/>
  <c r="AH216" i="28"/>
  <c r="AI216" i="28" s="1"/>
  <c r="AG216" i="28"/>
  <c r="AM215" i="28"/>
  <c r="AL215" i="28"/>
  <c r="AH215" i="28"/>
  <c r="AG215" i="28"/>
  <c r="AI215" i="28" s="1"/>
  <c r="AM214" i="28"/>
  <c r="AL214" i="28"/>
  <c r="AH214" i="28"/>
  <c r="AG214" i="28"/>
  <c r="AM213" i="28"/>
  <c r="AN213" i="28" s="1"/>
  <c r="AL213" i="28"/>
  <c r="AH213" i="28"/>
  <c r="AG213" i="28"/>
  <c r="AM212" i="28"/>
  <c r="AN212" i="28" s="1"/>
  <c r="AL212" i="28"/>
  <c r="AH212" i="28"/>
  <c r="AG212" i="28"/>
  <c r="AI212" i="28" s="1"/>
  <c r="AM211" i="28"/>
  <c r="AL211" i="28"/>
  <c r="AH211" i="28"/>
  <c r="AG211" i="28"/>
  <c r="AI211" i="28" s="1"/>
  <c r="AM210" i="28"/>
  <c r="AL210" i="28"/>
  <c r="AH210" i="28"/>
  <c r="AG210" i="28"/>
  <c r="AM209" i="28"/>
  <c r="AL209" i="28"/>
  <c r="AH209" i="28"/>
  <c r="AG209" i="28"/>
  <c r="AM208" i="28"/>
  <c r="AN208" i="28" s="1"/>
  <c r="AL208" i="28"/>
  <c r="AH208" i="28"/>
  <c r="AI208" i="28" s="1"/>
  <c r="AG208" i="28"/>
  <c r="AM207" i="28"/>
  <c r="AL207" i="28"/>
  <c r="AH207" i="28"/>
  <c r="AG207" i="28"/>
  <c r="AM206" i="28"/>
  <c r="AL206" i="28"/>
  <c r="AH206" i="28"/>
  <c r="AI206" i="28" s="1"/>
  <c r="AG206" i="28"/>
  <c r="AM205" i="28"/>
  <c r="AN205" i="28" s="1"/>
  <c r="AL205" i="28"/>
  <c r="AH205" i="28"/>
  <c r="AG205" i="28"/>
  <c r="AM204" i="28"/>
  <c r="AN204" i="28" s="1"/>
  <c r="AL204" i="28"/>
  <c r="AI204" i="28"/>
  <c r="AH204" i="28"/>
  <c r="AG204" i="28"/>
  <c r="AM203" i="28"/>
  <c r="AL203" i="28"/>
  <c r="AH203" i="28"/>
  <c r="AG203" i="28"/>
  <c r="AI203" i="28" s="1"/>
  <c r="AM202" i="28"/>
  <c r="AL202" i="28"/>
  <c r="AH202" i="28"/>
  <c r="AG202" i="28"/>
  <c r="AM201" i="28"/>
  <c r="AL201" i="28"/>
  <c r="AH201" i="28"/>
  <c r="AG201" i="28"/>
  <c r="AM200" i="28"/>
  <c r="AL200" i="28"/>
  <c r="AH200" i="28"/>
  <c r="AG200" i="28"/>
  <c r="AM199" i="28"/>
  <c r="AL199" i="28"/>
  <c r="AH199" i="28"/>
  <c r="AG199" i="28"/>
  <c r="AI199" i="28" s="1"/>
  <c r="AM198" i="28"/>
  <c r="AL198" i="28"/>
  <c r="AH198" i="28"/>
  <c r="AG198" i="28"/>
  <c r="AM197" i="28"/>
  <c r="AL197" i="28"/>
  <c r="AH197" i="28"/>
  <c r="AG197" i="28"/>
  <c r="AM196" i="28"/>
  <c r="AL196" i="28"/>
  <c r="AH196" i="28"/>
  <c r="AG196" i="28"/>
  <c r="AM195" i="28"/>
  <c r="AL195" i="28"/>
  <c r="AH195" i="28"/>
  <c r="AG195" i="28"/>
  <c r="AI195" i="28" s="1"/>
  <c r="AM194" i="28"/>
  <c r="AL194" i="28"/>
  <c r="AH194" i="28"/>
  <c r="AG194" i="28"/>
  <c r="AM193" i="28"/>
  <c r="AL193" i="28"/>
  <c r="AH193" i="28"/>
  <c r="AG193" i="28"/>
  <c r="AM192" i="28"/>
  <c r="AL192" i="28"/>
  <c r="AI192" i="28"/>
  <c r="AH192" i="28"/>
  <c r="AG192" i="28"/>
  <c r="AM191" i="28"/>
  <c r="AL191" i="28"/>
  <c r="AH191" i="28"/>
  <c r="AG191" i="28"/>
  <c r="AM190" i="28"/>
  <c r="AL190" i="28"/>
  <c r="AH190" i="28"/>
  <c r="AI190" i="28" s="1"/>
  <c r="AG190" i="28"/>
  <c r="AM189" i="28"/>
  <c r="AN189" i="28" s="1"/>
  <c r="AL189" i="28"/>
  <c r="AH189" i="28"/>
  <c r="AG189" i="28"/>
  <c r="AM188" i="28"/>
  <c r="AN188" i="28" s="1"/>
  <c r="AL188" i="28"/>
  <c r="AH188" i="28"/>
  <c r="AG188" i="28"/>
  <c r="AI188" i="28" s="1"/>
  <c r="AM187" i="28"/>
  <c r="AL187" i="28"/>
  <c r="AH187" i="28"/>
  <c r="AG187" i="28"/>
  <c r="AM186" i="28"/>
  <c r="AL186" i="28"/>
  <c r="AH186" i="28"/>
  <c r="AI186" i="28" s="1"/>
  <c r="AG186" i="28"/>
  <c r="AM185" i="28"/>
  <c r="AN185" i="28" s="1"/>
  <c r="AL185" i="28"/>
  <c r="AH185" i="28"/>
  <c r="AG185" i="28"/>
  <c r="AM184" i="28"/>
  <c r="AN184" i="28" s="1"/>
  <c r="AL184" i="28"/>
  <c r="AH184" i="28"/>
  <c r="AG184" i="28"/>
  <c r="AM183" i="28"/>
  <c r="AN183" i="28" s="1"/>
  <c r="AL183" i="28"/>
  <c r="AH183" i="28"/>
  <c r="AG183" i="28"/>
  <c r="AM182" i="28"/>
  <c r="AN182" i="28" s="1"/>
  <c r="AL182" i="28"/>
  <c r="AH182" i="28"/>
  <c r="AG182" i="28"/>
  <c r="AM181" i="28"/>
  <c r="AN181" i="28" s="1"/>
  <c r="AL181" i="28"/>
  <c r="AH181" i="28"/>
  <c r="AG181" i="28"/>
  <c r="AM180" i="28"/>
  <c r="AN180" i="28" s="1"/>
  <c r="AL180" i="28"/>
  <c r="AH180" i="28"/>
  <c r="AI180" i="28" s="1"/>
  <c r="AG180" i="28"/>
  <c r="AM179" i="28"/>
  <c r="AL179" i="28"/>
  <c r="AH179" i="28"/>
  <c r="AG179" i="28"/>
  <c r="AM178" i="28"/>
  <c r="AL178" i="28"/>
  <c r="AI178" i="28"/>
  <c r="AH178" i="28"/>
  <c r="AG178" i="28"/>
  <c r="AM177" i="28"/>
  <c r="AL177" i="28"/>
  <c r="AH177" i="28"/>
  <c r="AG177" i="28"/>
  <c r="AM176" i="28"/>
  <c r="AL176" i="28"/>
  <c r="AH176" i="28"/>
  <c r="AG176" i="28"/>
  <c r="AM175" i="28"/>
  <c r="AL175" i="28"/>
  <c r="AH175" i="28"/>
  <c r="AG175" i="28"/>
  <c r="AM174" i="28"/>
  <c r="AL174" i="28"/>
  <c r="AH174" i="28"/>
  <c r="AG174" i="28"/>
  <c r="AM173" i="28"/>
  <c r="AL173" i="28"/>
  <c r="AH173" i="28"/>
  <c r="AG173" i="28"/>
  <c r="AI173" i="28" s="1"/>
  <c r="AM172" i="28"/>
  <c r="AL172" i="28"/>
  <c r="AH172" i="28"/>
  <c r="AG172" i="28"/>
  <c r="AM171" i="28"/>
  <c r="AL171" i="28"/>
  <c r="AH171" i="28"/>
  <c r="AG171" i="28"/>
  <c r="AI171" i="28" s="1"/>
  <c r="AM170" i="28"/>
  <c r="AL170" i="28"/>
  <c r="AH170" i="28"/>
  <c r="AG170" i="28"/>
  <c r="AM169" i="28"/>
  <c r="AL169" i="28"/>
  <c r="AH169" i="28"/>
  <c r="AG169" i="28"/>
  <c r="AM168" i="28"/>
  <c r="AL168" i="28"/>
  <c r="AH168" i="28"/>
  <c r="AI168" i="28" s="1"/>
  <c r="AG168" i="28"/>
  <c r="AM167" i="28"/>
  <c r="AL167" i="28"/>
  <c r="AH167" i="28"/>
  <c r="AG167" i="28"/>
  <c r="AM166" i="28"/>
  <c r="AL166" i="28"/>
  <c r="AH166" i="28"/>
  <c r="AI166" i="28" s="1"/>
  <c r="AG166" i="28"/>
  <c r="AM165" i="28"/>
  <c r="AN165" i="28" s="1"/>
  <c r="AL165" i="28"/>
  <c r="AH165" i="28"/>
  <c r="AG165" i="28"/>
  <c r="AM164" i="28"/>
  <c r="AN164" i="28" s="1"/>
  <c r="AL164" i="28"/>
  <c r="AH164" i="28"/>
  <c r="AG164" i="28"/>
  <c r="AM163" i="28"/>
  <c r="AL163" i="28"/>
  <c r="AH163" i="28"/>
  <c r="AG163" i="28"/>
  <c r="AI163" i="28" s="1"/>
  <c r="AM162" i="28"/>
  <c r="AN162" i="28" s="1"/>
  <c r="AL162" i="28"/>
  <c r="AH162" i="28"/>
  <c r="AG162" i="28"/>
  <c r="AM161" i="28"/>
  <c r="AN161" i="28" s="1"/>
  <c r="AL161" i="28"/>
  <c r="AH161" i="28"/>
  <c r="AG161" i="28"/>
  <c r="AI161" i="28" s="1"/>
  <c r="AM160" i="28"/>
  <c r="AN160" i="28" s="1"/>
  <c r="AL160" i="28"/>
  <c r="AH160" i="28"/>
  <c r="AG160" i="28"/>
  <c r="AM159" i="28"/>
  <c r="AL159" i="28"/>
  <c r="AH159" i="28"/>
  <c r="AG159" i="28"/>
  <c r="AM158" i="28"/>
  <c r="AL158" i="28"/>
  <c r="AH158" i="28"/>
  <c r="AG158" i="28"/>
  <c r="AM157" i="28"/>
  <c r="AL157" i="28"/>
  <c r="AH157" i="28"/>
  <c r="AI157" i="28" s="1"/>
  <c r="AG157" i="28"/>
  <c r="AM156" i="28"/>
  <c r="AN156" i="28" s="1"/>
  <c r="AL156" i="28"/>
  <c r="AH156" i="28"/>
  <c r="AI156" i="28" s="1"/>
  <c r="AG156" i="28"/>
  <c r="AM155" i="28"/>
  <c r="AL155" i="28"/>
  <c r="AH155" i="28"/>
  <c r="AI155" i="28" s="1"/>
  <c r="AG155" i="28"/>
  <c r="AM154" i="28"/>
  <c r="AN154" i="28" s="1"/>
  <c r="AL154" i="28"/>
  <c r="AH154" i="28"/>
  <c r="AG154" i="28"/>
  <c r="AM153" i="28"/>
  <c r="AL153" i="28"/>
  <c r="AH153" i="28"/>
  <c r="AG153" i="28"/>
  <c r="AN152" i="28"/>
  <c r="AM152" i="28"/>
  <c r="AL152" i="28"/>
  <c r="AH152" i="28"/>
  <c r="AG152" i="28"/>
  <c r="AM151" i="28"/>
  <c r="AL151" i="28"/>
  <c r="AH151" i="28"/>
  <c r="AG151" i="28"/>
  <c r="AM150" i="28"/>
  <c r="AN150" i="28" s="1"/>
  <c r="AL150" i="28"/>
  <c r="AH150" i="28"/>
  <c r="AG150" i="28"/>
  <c r="AM149" i="28"/>
  <c r="AL149" i="28"/>
  <c r="AH149" i="28"/>
  <c r="AG149" i="28"/>
  <c r="AM148" i="28"/>
  <c r="AL148" i="28"/>
  <c r="AH148" i="28"/>
  <c r="AG148" i="28"/>
  <c r="AM147" i="28"/>
  <c r="AL147" i="28"/>
  <c r="AH147" i="28"/>
  <c r="AG147" i="28"/>
  <c r="AM146" i="28"/>
  <c r="AN146" i="28" s="1"/>
  <c r="AL146" i="28"/>
  <c r="AH146" i="28"/>
  <c r="AG146" i="28"/>
  <c r="AM145" i="28"/>
  <c r="AL145" i="28"/>
  <c r="AH145" i="28"/>
  <c r="AG145" i="28"/>
  <c r="AM144" i="28"/>
  <c r="AN144" i="28" s="1"/>
  <c r="AL144" i="28"/>
  <c r="AH144" i="28"/>
  <c r="AG144" i="28"/>
  <c r="AM143" i="28"/>
  <c r="AL143" i="28"/>
  <c r="AH143" i="28"/>
  <c r="AG143" i="28"/>
  <c r="AM142" i="28"/>
  <c r="AN142" i="28" s="1"/>
  <c r="AL142" i="28"/>
  <c r="AH142" i="28"/>
  <c r="AI142" i="28" s="1"/>
  <c r="AG142" i="28"/>
  <c r="AM141" i="28"/>
  <c r="AL141" i="28"/>
  <c r="AH141" i="28"/>
  <c r="AI141" i="28" s="1"/>
  <c r="AG141" i="28"/>
  <c r="AM140" i="28"/>
  <c r="AL140" i="28"/>
  <c r="AH140" i="28"/>
  <c r="AI140" i="28" s="1"/>
  <c r="AG140" i="28"/>
  <c r="AM139" i="28"/>
  <c r="AL139" i="28"/>
  <c r="AN139" i="28" s="1"/>
  <c r="AH139" i="28"/>
  <c r="AI139" i="28" s="1"/>
  <c r="AG139" i="28"/>
  <c r="AM138" i="28"/>
  <c r="AL138" i="28"/>
  <c r="AH138" i="28"/>
  <c r="AG138" i="28"/>
  <c r="AM137" i="28"/>
  <c r="AL137" i="28"/>
  <c r="AH137" i="28"/>
  <c r="AG137" i="28"/>
  <c r="AM136" i="28"/>
  <c r="AN136" i="28" s="1"/>
  <c r="AL136" i="28"/>
  <c r="AH136" i="28"/>
  <c r="AG136" i="28"/>
  <c r="AM135" i="28"/>
  <c r="AL135" i="28"/>
  <c r="AH135" i="28"/>
  <c r="AG135" i="28"/>
  <c r="AM134" i="28"/>
  <c r="AL134" i="28"/>
  <c r="AN134" i="28" s="1"/>
  <c r="AH134" i="28"/>
  <c r="AG134" i="28"/>
  <c r="AM133" i="28"/>
  <c r="AL133" i="28"/>
  <c r="AN133" i="28" s="1"/>
  <c r="AH133" i="28"/>
  <c r="AG133" i="28"/>
  <c r="AM132" i="28"/>
  <c r="AL132" i="28"/>
  <c r="AH132" i="28"/>
  <c r="AI132" i="28" s="1"/>
  <c r="AG132" i="28"/>
  <c r="AM131" i="28"/>
  <c r="AL131" i="28"/>
  <c r="AN131" i="28" s="1"/>
  <c r="AH131" i="28"/>
  <c r="AI131" i="28" s="1"/>
  <c r="AG131" i="28"/>
  <c r="AM130" i="28"/>
  <c r="AL130" i="28"/>
  <c r="AH130" i="28"/>
  <c r="AG130" i="28"/>
  <c r="AM129" i="28"/>
  <c r="AL129" i="28"/>
  <c r="AH129" i="28"/>
  <c r="AG129" i="28"/>
  <c r="AM128" i="28"/>
  <c r="AN128" i="28" s="1"/>
  <c r="AL128" i="28"/>
  <c r="AH128" i="28"/>
  <c r="AG128" i="28"/>
  <c r="AM127" i="28"/>
  <c r="AL127" i="28"/>
  <c r="AH127" i="28"/>
  <c r="AG127" i="28"/>
  <c r="AM126" i="28"/>
  <c r="AN126" i="28" s="1"/>
  <c r="AL126" i="28"/>
  <c r="AH126" i="28"/>
  <c r="AG126" i="28"/>
  <c r="AM125" i="28"/>
  <c r="AL125" i="28"/>
  <c r="AH125" i="28"/>
  <c r="AG125" i="28"/>
  <c r="AM124" i="28"/>
  <c r="AN124" i="28" s="1"/>
  <c r="AL124" i="28"/>
  <c r="AH124" i="28"/>
  <c r="AG124" i="28"/>
  <c r="AM123" i="28"/>
  <c r="AL123" i="28"/>
  <c r="AH123" i="28"/>
  <c r="AI123" i="28" s="1"/>
  <c r="AG123" i="28"/>
  <c r="AM122" i="28"/>
  <c r="AN122" i="28" s="1"/>
  <c r="AL122" i="28"/>
  <c r="AH122" i="28"/>
  <c r="AG122" i="28"/>
  <c r="AM121" i="28"/>
  <c r="AL121" i="28"/>
  <c r="AH121" i="28"/>
  <c r="AG121" i="28"/>
  <c r="AN120" i="28"/>
  <c r="AM120" i="28"/>
  <c r="AL120" i="28"/>
  <c r="AH120" i="28"/>
  <c r="AG120" i="28"/>
  <c r="AM119" i="28"/>
  <c r="AL119" i="28"/>
  <c r="AH119" i="28"/>
  <c r="AG119" i="28"/>
  <c r="AM118" i="28"/>
  <c r="AN118" i="28" s="1"/>
  <c r="AL118" i="28"/>
  <c r="AH118" i="28"/>
  <c r="AG118" i="28"/>
  <c r="AM117" i="28"/>
  <c r="AL117" i="28"/>
  <c r="AH117" i="28"/>
  <c r="AG117" i="28"/>
  <c r="AM116" i="28"/>
  <c r="AL116" i="28"/>
  <c r="AH116" i="28"/>
  <c r="AG116" i="28"/>
  <c r="AM115" i="28"/>
  <c r="AL115" i="28"/>
  <c r="AH115" i="28"/>
  <c r="AG115" i="28"/>
  <c r="AM114" i="28"/>
  <c r="AL114" i="28"/>
  <c r="AH114" i="28"/>
  <c r="AG114" i="28"/>
  <c r="AM113" i="28"/>
  <c r="AN113" i="28" s="1"/>
  <c r="AL113" i="28"/>
  <c r="AH113" i="28"/>
  <c r="AG113" i="28"/>
  <c r="AN112" i="28"/>
  <c r="AM112" i="28"/>
  <c r="AL112" i="28"/>
  <c r="AH112" i="28"/>
  <c r="AG112" i="28"/>
  <c r="AM111" i="28"/>
  <c r="AL111" i="28"/>
  <c r="AH111" i="28"/>
  <c r="AG111" i="28"/>
  <c r="AM110" i="28"/>
  <c r="AN110" i="28" s="1"/>
  <c r="AL110" i="28"/>
  <c r="AH110" i="28"/>
  <c r="AI110" i="28" s="1"/>
  <c r="AG110" i="28"/>
  <c r="AM109" i="28"/>
  <c r="AL109" i="28"/>
  <c r="AH109" i="28"/>
  <c r="AI109" i="28" s="1"/>
  <c r="AG109" i="28"/>
  <c r="AM108" i="28"/>
  <c r="AL108" i="28"/>
  <c r="AH108" i="28"/>
  <c r="AI108" i="28" s="1"/>
  <c r="AG108" i="28"/>
  <c r="AM107" i="28"/>
  <c r="AL107" i="28"/>
  <c r="AH107" i="28"/>
  <c r="AI107" i="28" s="1"/>
  <c r="AG107" i="28"/>
  <c r="AM106" i="28"/>
  <c r="AN106" i="28" s="1"/>
  <c r="AL106" i="28"/>
  <c r="AH106" i="28"/>
  <c r="AG106" i="28"/>
  <c r="AM105" i="28"/>
  <c r="AN105" i="28" s="1"/>
  <c r="AL105" i="28"/>
  <c r="AH105" i="28"/>
  <c r="AG105" i="28"/>
  <c r="AM104" i="28"/>
  <c r="AL104" i="28"/>
  <c r="AN104" i="28" s="1"/>
  <c r="AH104" i="28"/>
  <c r="AG104" i="28"/>
  <c r="AM103" i="28"/>
  <c r="AL103" i="28"/>
  <c r="AH103" i="28"/>
  <c r="AG103" i="28"/>
  <c r="AI103" i="28" s="1"/>
  <c r="AM102" i="28"/>
  <c r="AL102" i="28"/>
  <c r="AH102" i="28"/>
  <c r="AG102" i="28"/>
  <c r="AM101" i="28"/>
  <c r="AL101" i="28"/>
  <c r="AH101" i="28"/>
  <c r="AI101" i="28" s="1"/>
  <c r="AG101" i="28"/>
  <c r="AM100" i="28"/>
  <c r="AL100" i="28"/>
  <c r="AH100" i="28"/>
  <c r="AG100" i="28"/>
  <c r="AM99" i="28"/>
  <c r="AL99" i="28"/>
  <c r="AH99" i="28"/>
  <c r="AI99" i="28" s="1"/>
  <c r="AG99" i="28"/>
  <c r="AM98" i="28"/>
  <c r="AL98" i="28"/>
  <c r="AH98" i="28"/>
  <c r="AG98" i="28"/>
  <c r="AM97" i="28"/>
  <c r="AL97" i="28"/>
  <c r="AH97" i="28"/>
  <c r="AG97" i="28"/>
  <c r="AM96" i="28"/>
  <c r="AN96" i="28" s="1"/>
  <c r="AL96" i="28"/>
  <c r="AH96" i="28"/>
  <c r="AG96" i="28"/>
  <c r="AM95" i="28"/>
  <c r="AL95" i="28"/>
  <c r="AH95" i="28"/>
  <c r="AG95" i="28"/>
  <c r="AM94" i="28"/>
  <c r="AN94" i="28" s="1"/>
  <c r="AL94" i="28"/>
  <c r="AH94" i="28"/>
  <c r="AG94" i="28"/>
  <c r="AM93" i="28"/>
  <c r="AL93" i="28"/>
  <c r="AH93" i="28"/>
  <c r="AI93" i="28" s="1"/>
  <c r="AG93" i="28"/>
  <c r="AM92" i="28"/>
  <c r="AN92" i="28" s="1"/>
  <c r="AL92" i="28"/>
  <c r="AH92" i="28"/>
  <c r="AI92" i="28" s="1"/>
  <c r="AG92" i="28"/>
  <c r="AM91" i="28"/>
  <c r="AL91" i="28"/>
  <c r="AH91" i="28"/>
  <c r="AI91" i="28" s="1"/>
  <c r="AG91" i="28"/>
  <c r="AM90" i="28"/>
  <c r="AN90" i="28" s="1"/>
  <c r="AL90" i="28"/>
  <c r="AH90" i="28"/>
  <c r="AG90" i="28"/>
  <c r="AM89" i="28"/>
  <c r="AN89" i="28" s="1"/>
  <c r="AL89" i="28"/>
  <c r="AH89" i="28"/>
  <c r="AG89" i="28"/>
  <c r="AN88" i="28"/>
  <c r="AM88" i="28"/>
  <c r="AL88" i="28"/>
  <c r="AH88" i="28"/>
  <c r="AG88" i="28"/>
  <c r="AM87" i="28"/>
  <c r="AL87" i="28"/>
  <c r="AH87" i="28"/>
  <c r="AG87" i="28"/>
  <c r="AM86" i="28"/>
  <c r="AL86" i="28"/>
  <c r="AH86" i="28"/>
  <c r="AG86" i="28"/>
  <c r="AM85" i="28"/>
  <c r="AL85" i="28"/>
  <c r="AH85" i="28"/>
  <c r="AG85" i="28"/>
  <c r="AM84" i="28"/>
  <c r="AL84" i="28"/>
  <c r="AH84" i="28"/>
  <c r="AG84" i="28"/>
  <c r="AM83" i="28"/>
  <c r="AL83" i="28"/>
  <c r="AH83" i="28"/>
  <c r="AG83" i="28"/>
  <c r="AM82" i="28"/>
  <c r="AN82" i="28" s="1"/>
  <c r="AL82" i="28"/>
  <c r="AH82" i="28"/>
  <c r="AG82" i="28"/>
  <c r="AM81" i="28"/>
  <c r="AN81" i="28" s="1"/>
  <c r="AL81" i="28"/>
  <c r="AH81" i="28"/>
  <c r="AG81" i="28"/>
  <c r="AN80" i="28"/>
  <c r="AM80" i="28"/>
  <c r="AL80" i="28"/>
  <c r="AH80" i="28"/>
  <c r="AG80" i="28"/>
  <c r="AM79" i="28"/>
  <c r="AL79" i="28"/>
  <c r="AH79" i="28"/>
  <c r="AG79" i="28"/>
  <c r="AM78" i="28"/>
  <c r="AN78" i="28" s="1"/>
  <c r="AL78" i="28"/>
  <c r="AH78" i="28"/>
  <c r="AI78" i="28" s="1"/>
  <c r="AG78" i="28"/>
  <c r="AM77" i="28"/>
  <c r="AL77" i="28"/>
  <c r="AH77" i="28"/>
  <c r="AI77" i="28" s="1"/>
  <c r="AG77" i="28"/>
  <c r="AM76" i="28"/>
  <c r="AL76" i="28"/>
  <c r="AH76" i="28"/>
  <c r="AG76" i="28"/>
  <c r="AM75" i="28"/>
  <c r="AL75" i="28"/>
  <c r="AH75" i="28"/>
  <c r="AI75" i="28" s="1"/>
  <c r="AG75" i="28"/>
  <c r="AM74" i="28"/>
  <c r="AN74" i="28" s="1"/>
  <c r="AL74" i="28"/>
  <c r="AH74" i="28"/>
  <c r="AG74" i="28"/>
  <c r="AM73" i="28"/>
  <c r="AN73" i="28" s="1"/>
  <c r="AL73" i="28"/>
  <c r="AH73" i="28"/>
  <c r="AG73" i="28"/>
  <c r="AM72" i="28"/>
  <c r="AL72" i="28"/>
  <c r="AN72" i="28" s="1"/>
  <c r="AH72" i="28"/>
  <c r="AG72" i="28"/>
  <c r="AM71" i="28"/>
  <c r="AL71" i="28"/>
  <c r="AH71" i="28"/>
  <c r="AG71" i="28"/>
  <c r="AM70" i="28"/>
  <c r="AL70" i="28"/>
  <c r="AH70" i="28"/>
  <c r="AI70" i="28" s="1"/>
  <c r="AG70" i="28"/>
  <c r="AM69" i="28"/>
  <c r="AL69" i="28"/>
  <c r="AH69" i="28"/>
  <c r="AI69" i="28" s="1"/>
  <c r="AG69" i="28"/>
  <c r="AM68" i="28"/>
  <c r="AL68" i="28"/>
  <c r="AH68" i="28"/>
  <c r="AG68" i="28"/>
  <c r="AM67" i="28"/>
  <c r="AL67" i="28"/>
  <c r="AH67" i="28"/>
  <c r="AI67" i="28" s="1"/>
  <c r="AG67" i="28"/>
  <c r="AM66" i="28"/>
  <c r="AL66" i="28"/>
  <c r="AH66" i="28"/>
  <c r="AG66" i="28"/>
  <c r="AM65" i="28"/>
  <c r="AL65" i="28"/>
  <c r="AH65" i="28"/>
  <c r="AG65" i="28"/>
  <c r="AM64" i="28"/>
  <c r="AN64" i="28" s="1"/>
  <c r="AL64" i="28"/>
  <c r="AH64" i="28"/>
  <c r="AG64" i="28"/>
  <c r="AM63" i="28"/>
  <c r="AL63" i="28"/>
  <c r="AH63" i="28"/>
  <c r="AG63" i="28"/>
  <c r="AM62" i="28"/>
  <c r="AN62" i="28" s="1"/>
  <c r="AL62" i="28"/>
  <c r="AH62" i="28"/>
  <c r="AG62" i="28"/>
  <c r="AM61" i="28"/>
  <c r="AL61" i="28"/>
  <c r="AH61" i="28"/>
  <c r="AG61" i="28"/>
  <c r="AM60" i="28"/>
  <c r="AN60" i="28" s="1"/>
  <c r="AL60" i="28"/>
  <c r="AH60" i="28"/>
  <c r="AG60" i="28"/>
  <c r="AM59" i="28"/>
  <c r="AL59" i="28"/>
  <c r="AH59" i="28"/>
  <c r="AG59" i="28"/>
  <c r="AM58" i="28"/>
  <c r="AN58" i="28" s="1"/>
  <c r="AL58" i="28"/>
  <c r="AH58" i="28"/>
  <c r="AG58" i="28"/>
  <c r="AM57" i="28"/>
  <c r="AN57" i="28" s="1"/>
  <c r="AL57" i="28"/>
  <c r="AH57" i="28"/>
  <c r="AG57" i="28"/>
  <c r="AN56" i="28"/>
  <c r="AM56" i="28"/>
  <c r="AL56" i="28"/>
  <c r="AH56" i="28"/>
  <c r="AG56" i="28"/>
  <c r="AM55" i="28"/>
  <c r="AL55" i="28"/>
  <c r="AH55" i="28"/>
  <c r="AG55" i="28"/>
  <c r="AM54" i="28"/>
  <c r="AN54" i="28" s="1"/>
  <c r="AL54" i="28"/>
  <c r="AH54" i="28"/>
  <c r="AG54" i="28"/>
  <c r="AM53" i="28"/>
  <c r="AL53" i="28"/>
  <c r="AH53" i="28"/>
  <c r="AG53" i="28"/>
  <c r="AM52" i="28"/>
  <c r="AL52" i="28"/>
  <c r="AH52" i="28"/>
  <c r="AG52" i="28"/>
  <c r="AM51" i="28"/>
  <c r="AL51" i="28"/>
  <c r="AH51" i="28"/>
  <c r="AG51" i="28"/>
  <c r="AM50" i="28"/>
  <c r="AN50" i="28" s="1"/>
  <c r="AL50" i="28"/>
  <c r="AH50" i="28"/>
  <c r="AG50" i="28"/>
  <c r="AM49" i="28"/>
  <c r="AN49" i="28" s="1"/>
  <c r="AL49" i="28"/>
  <c r="AH49" i="28"/>
  <c r="AG49" i="28"/>
  <c r="AN48" i="28"/>
  <c r="AM48" i="28"/>
  <c r="AL48" i="28"/>
  <c r="AH48" i="28"/>
  <c r="AG48" i="28"/>
  <c r="AM47" i="28"/>
  <c r="AL47" i="28"/>
  <c r="AH47" i="28"/>
  <c r="AG47" i="28"/>
  <c r="AM46" i="28"/>
  <c r="AN46" i="28" s="1"/>
  <c r="AL46" i="28"/>
  <c r="AH46" i="28"/>
  <c r="AI46" i="28" s="1"/>
  <c r="AG46" i="28"/>
  <c r="AM45" i="28"/>
  <c r="AL45" i="28"/>
  <c r="AH45" i="28"/>
  <c r="AI45" i="28" s="1"/>
  <c r="AG45" i="28"/>
  <c r="AM44" i="28"/>
  <c r="AL44" i="28"/>
  <c r="AH44" i="28"/>
  <c r="AG44" i="28"/>
  <c r="AM43" i="28"/>
  <c r="AL43" i="28"/>
  <c r="AH43" i="28"/>
  <c r="AI43" i="28" s="1"/>
  <c r="AG43" i="28"/>
  <c r="AM42" i="28"/>
  <c r="AN42" i="28" s="1"/>
  <c r="AL42" i="28"/>
  <c r="AH42" i="28"/>
  <c r="AG42" i="28"/>
  <c r="AM41" i="28"/>
  <c r="AN41" i="28" s="1"/>
  <c r="AL41" i="28"/>
  <c r="AH41" i="28"/>
  <c r="AG41" i="28"/>
  <c r="AM40" i="28"/>
  <c r="AL40" i="28"/>
  <c r="AN40" i="28" s="1"/>
  <c r="AH40" i="28"/>
  <c r="AG40" i="28"/>
  <c r="AM39" i="28"/>
  <c r="AL39" i="28"/>
  <c r="AH39" i="28"/>
  <c r="AG39" i="28"/>
  <c r="AM38" i="28"/>
  <c r="AL38" i="28"/>
  <c r="AH38" i="28"/>
  <c r="AI38" i="28" s="1"/>
  <c r="AG38" i="28"/>
  <c r="AM37" i="28"/>
  <c r="AL37" i="28"/>
  <c r="AH37" i="28"/>
  <c r="AI37" i="28" s="1"/>
  <c r="AG37" i="28"/>
  <c r="AM36" i="28"/>
  <c r="AL36" i="28"/>
  <c r="AH36" i="28"/>
  <c r="AG36" i="28"/>
  <c r="AM35" i="28"/>
  <c r="AL35" i="28"/>
  <c r="AH35" i="28"/>
  <c r="AG35" i="28"/>
  <c r="AM34" i="28"/>
  <c r="AL34" i="28"/>
  <c r="AH34" i="28"/>
  <c r="AG34" i="28"/>
  <c r="AM33" i="28"/>
  <c r="AL33" i="28"/>
  <c r="AH33" i="28"/>
  <c r="AG33" i="28"/>
  <c r="AM32" i="28"/>
  <c r="AN32" i="28" s="1"/>
  <c r="AL32" i="28"/>
  <c r="AH32" i="28"/>
  <c r="AG32" i="28"/>
  <c r="AM31" i="28"/>
  <c r="AL31" i="28"/>
  <c r="AH31" i="28"/>
  <c r="AG31" i="28"/>
  <c r="AM30" i="28"/>
  <c r="AN30" i="28" s="1"/>
  <c r="AL30" i="28"/>
  <c r="AH30" i="28"/>
  <c r="AG30" i="28"/>
  <c r="AM29" i="28"/>
  <c r="AL29" i="28"/>
  <c r="AH29" i="28"/>
  <c r="AG29" i="28"/>
  <c r="AM28" i="28"/>
  <c r="AN28" i="28" s="1"/>
  <c r="AL28" i="28"/>
  <c r="AH28" i="28"/>
  <c r="AG28" i="28"/>
  <c r="AM27" i="28"/>
  <c r="AL27" i="28"/>
  <c r="AH27" i="28"/>
  <c r="AI27" i="28" s="1"/>
  <c r="AG27" i="28"/>
  <c r="AM26" i="28"/>
  <c r="AN26" i="28" s="1"/>
  <c r="AL26" i="28"/>
  <c r="AH26" i="28"/>
  <c r="AG26" i="28"/>
  <c r="AM25" i="28"/>
  <c r="AN25" i="28" s="1"/>
  <c r="AL25" i="28"/>
  <c r="AH25" i="28"/>
  <c r="AG25" i="28"/>
  <c r="AN24" i="28"/>
  <c r="AM24" i="28"/>
  <c r="AL24" i="28"/>
  <c r="AH24" i="28"/>
  <c r="AG24" i="28"/>
  <c r="AM23" i="28"/>
  <c r="AL23" i="28"/>
  <c r="AH23" i="28"/>
  <c r="AG23" i="28"/>
  <c r="AM22" i="28"/>
  <c r="AN22" i="28" s="1"/>
  <c r="AL22" i="28"/>
  <c r="AH22" i="28"/>
  <c r="AG22" i="28"/>
  <c r="AM21" i="28"/>
  <c r="AL21" i="28"/>
  <c r="AH21" i="28"/>
  <c r="AG21" i="28"/>
  <c r="AM20" i="28"/>
  <c r="AL20" i="28"/>
  <c r="AH20" i="28"/>
  <c r="AG20" i="28"/>
  <c r="AM19" i="28"/>
  <c r="AL19" i="28"/>
  <c r="AH19" i="28"/>
  <c r="AG19" i="28"/>
  <c r="AM18" i="28"/>
  <c r="AN18" i="28" s="1"/>
  <c r="AL18" i="28"/>
  <c r="AH18" i="28"/>
  <c r="AG18" i="28"/>
  <c r="AM17" i="28"/>
  <c r="AN17" i="28" s="1"/>
  <c r="AL17" i="28"/>
  <c r="AH17" i="28"/>
  <c r="AG17" i="28"/>
  <c r="AN16" i="28"/>
  <c r="AM16" i="28"/>
  <c r="AL16" i="28"/>
  <c r="AH16" i="28"/>
  <c r="AG16" i="28"/>
  <c r="AM15" i="28"/>
  <c r="AL15" i="28"/>
  <c r="AH15" i="28"/>
  <c r="AG15" i="28"/>
  <c r="AM14" i="28"/>
  <c r="AN14" i="28" s="1"/>
  <c r="AL14" i="28"/>
  <c r="AH14" i="28"/>
  <c r="AI14" i="28" s="1"/>
  <c r="AG14" i="28"/>
  <c r="AM13" i="28"/>
  <c r="AL13" i="28"/>
  <c r="AH13" i="28"/>
  <c r="AI13" i="28" s="1"/>
  <c r="AG13" i="28"/>
  <c r="AM12" i="28"/>
  <c r="AL12" i="28"/>
  <c r="AH12" i="28"/>
  <c r="AG12" i="28"/>
  <c r="AM11" i="28"/>
  <c r="AL11" i="28"/>
  <c r="AH11" i="28"/>
  <c r="AG11" i="28"/>
  <c r="AM10" i="28"/>
  <c r="AN10" i="28" s="1"/>
  <c r="AL10" i="28"/>
  <c r="AH10" i="28"/>
  <c r="AG10" i="28"/>
  <c r="AM9" i="28"/>
  <c r="AN9" i="28" s="1"/>
  <c r="AL9" i="28"/>
  <c r="AH9" i="28"/>
  <c r="AG9" i="28"/>
  <c r="AM8" i="28"/>
  <c r="AL8" i="28"/>
  <c r="AN8" i="28" s="1"/>
  <c r="AH8" i="28"/>
  <c r="AG8" i="28"/>
  <c r="AM7" i="28"/>
  <c r="AL7" i="28"/>
  <c r="AH7" i="28"/>
  <c r="AG7" i="28"/>
  <c r="AS6" i="28"/>
  <c r="AR6" i="28"/>
  <c r="AQ6" i="28"/>
  <c r="AP6" i="28"/>
  <c r="AO6" i="28"/>
  <c r="AK6" i="28"/>
  <c r="AJ6" i="28"/>
  <c r="AF6" i="28"/>
  <c r="AE6" i="28"/>
  <c r="AD6" i="28"/>
  <c r="AC6" i="28"/>
  <c r="AB6" i="28"/>
  <c r="AA6" i="28"/>
  <c r="Z6" i="28"/>
  <c r="Y6" i="28"/>
  <c r="X6" i="28"/>
  <c r="W6" i="28"/>
  <c r="V6" i="28"/>
  <c r="U6" i="28"/>
  <c r="T6" i="28"/>
  <c r="S6" i="28"/>
  <c r="R6" i="28"/>
  <c r="Q6" i="28"/>
  <c r="N6" i="28"/>
  <c r="M6" i="28"/>
  <c r="L6" i="28"/>
  <c r="K6" i="28"/>
  <c r="J6" i="28"/>
  <c r="I6" i="28"/>
  <c r="H6" i="28"/>
  <c r="G6" i="28"/>
  <c r="F6" i="28"/>
  <c r="E6" i="28"/>
  <c r="D6" i="28"/>
  <c r="C6" i="28"/>
  <c r="B1" i="28"/>
  <c r="C1" i="28" s="1"/>
  <c r="D1" i="28" s="1"/>
  <c r="E1" i="28" s="1"/>
  <c r="F1" i="28" s="1"/>
  <c r="G1" i="28" s="1"/>
  <c r="H1" i="28" s="1"/>
  <c r="I1" i="28" s="1"/>
  <c r="J1" i="28" s="1"/>
  <c r="K1" i="28" s="1"/>
  <c r="L1" i="28" s="1"/>
  <c r="M1" i="28" s="1"/>
  <c r="N1" i="28" s="1"/>
  <c r="O1" i="28" s="1"/>
  <c r="P1" i="28" s="1"/>
  <c r="Q1" i="28" s="1"/>
  <c r="R1" i="28" s="1"/>
  <c r="S1" i="28" s="1"/>
  <c r="T1" i="28" s="1"/>
  <c r="U1" i="28" s="1"/>
  <c r="V1" i="28" s="1"/>
  <c r="W1" i="28" s="1"/>
  <c r="X1" i="28" s="1"/>
  <c r="Y1" i="28" s="1"/>
  <c r="Z1" i="28" s="1"/>
  <c r="AA1" i="28" s="1"/>
  <c r="AB1" i="28" s="1"/>
  <c r="AC1" i="28" s="1"/>
  <c r="AD1" i="28" s="1"/>
  <c r="AE1" i="28" s="1"/>
  <c r="AF1" i="28" s="1"/>
  <c r="AG1" i="28" s="1"/>
  <c r="AH1" i="28" s="1"/>
  <c r="AI1" i="28" s="1"/>
  <c r="AJ1" i="28" s="1"/>
  <c r="AK1" i="28" s="1"/>
  <c r="AL1" i="28" s="1"/>
  <c r="AM1" i="28" s="1"/>
  <c r="AN1" i="28" s="1"/>
  <c r="AO1" i="28" s="1"/>
  <c r="AP1" i="28" s="1"/>
  <c r="AQ1" i="28" s="1"/>
  <c r="AR1" i="28" s="1"/>
  <c r="AS1" i="28" s="1"/>
  <c r="AI19" i="28" l="1"/>
  <c r="AI21" i="28"/>
  <c r="AI22" i="28"/>
  <c r="AN33" i="28"/>
  <c r="AN34" i="28"/>
  <c r="AN38" i="28"/>
  <c r="AI51" i="28"/>
  <c r="AI53" i="28"/>
  <c r="AI54" i="28"/>
  <c r="AN65" i="28"/>
  <c r="AN66" i="28"/>
  <c r="AN70" i="28"/>
  <c r="AI83" i="28"/>
  <c r="AI85" i="28"/>
  <c r="AI86" i="28"/>
  <c r="AN97" i="28"/>
  <c r="AN98" i="28"/>
  <c r="AN102" i="28"/>
  <c r="AI115" i="28"/>
  <c r="AI117" i="28"/>
  <c r="AI118" i="28"/>
  <c r="AN130" i="28"/>
  <c r="AN141" i="28"/>
  <c r="AI147" i="28"/>
  <c r="AI148" i="28"/>
  <c r="AI149" i="28"/>
  <c r="AI150" i="28"/>
  <c r="AI164" i="28"/>
  <c r="AI167" i="28"/>
  <c r="AN172" i="28"/>
  <c r="AN173" i="28"/>
  <c r="AN174" i="28"/>
  <c r="AN175" i="28"/>
  <c r="AI191" i="28"/>
  <c r="AN192" i="28"/>
  <c r="AN193" i="28"/>
  <c r="AN196" i="28"/>
  <c r="AN197" i="28"/>
  <c r="AN200" i="28"/>
  <c r="AN201" i="28"/>
  <c r="AI210" i="28"/>
  <c r="AI214" i="28"/>
  <c r="AN228" i="28"/>
  <c r="AN229" i="28"/>
  <c r="AI242" i="28"/>
  <c r="AI246" i="28"/>
  <c r="AN260" i="28"/>
  <c r="AN261" i="28"/>
  <c r="AI274" i="28"/>
  <c r="AI278" i="28"/>
  <c r="AN292" i="28"/>
  <c r="AN293" i="28"/>
  <c r="AI306" i="28"/>
  <c r="AI310" i="28"/>
  <c r="AN324" i="28"/>
  <c r="AN325" i="28"/>
  <c r="AI29" i="28"/>
  <c r="AI30" i="28"/>
  <c r="AI59" i="28"/>
  <c r="AI61" i="28"/>
  <c r="AI62" i="28"/>
  <c r="AI94" i="28"/>
  <c r="AN115" i="28"/>
  <c r="AN117" i="28"/>
  <c r="AN119" i="28"/>
  <c r="AI125" i="28"/>
  <c r="AI126" i="28"/>
  <c r="AN138" i="28"/>
  <c r="AN147" i="28"/>
  <c r="AN149" i="28"/>
  <c r="AI158" i="28"/>
  <c r="AI175" i="28"/>
  <c r="AI176" i="28"/>
  <c r="AI196" i="28"/>
  <c r="AI200" i="28"/>
  <c r="AI218" i="28"/>
  <c r="AI222" i="28"/>
  <c r="AI227" i="28"/>
  <c r="AI229" i="28"/>
  <c r="AI231" i="28"/>
  <c r="AI250" i="28"/>
  <c r="AI254" i="28"/>
  <c r="AI259" i="28"/>
  <c r="AI261" i="28"/>
  <c r="AI263" i="28"/>
  <c r="AI282" i="28"/>
  <c r="AI286" i="28"/>
  <c r="AI291" i="28"/>
  <c r="AI293" i="28"/>
  <c r="AI295" i="28"/>
  <c r="AN301" i="28"/>
  <c r="AI314" i="28"/>
  <c r="AI318" i="28"/>
  <c r="AI323" i="28"/>
  <c r="AI325" i="28"/>
  <c r="AN86" i="28"/>
  <c r="AI102" i="28"/>
  <c r="AI105" i="28"/>
  <c r="AN114" i="28"/>
  <c r="AN123" i="28"/>
  <c r="AN125" i="28"/>
  <c r="AI133" i="28"/>
  <c r="AI134" i="28"/>
  <c r="AN155" i="28"/>
  <c r="AN157" i="28"/>
  <c r="AN158" i="28"/>
  <c r="AI170" i="28"/>
  <c r="AI181" i="28"/>
  <c r="AI184" i="28"/>
  <c r="AI194" i="28"/>
  <c r="AI198" i="28"/>
  <c r="AI202" i="28"/>
  <c r="AI207" i="28"/>
  <c r="AN209" i="28"/>
  <c r="AI235" i="28"/>
  <c r="AI237" i="28"/>
  <c r="AI239" i="28"/>
  <c r="AI267" i="28"/>
  <c r="AI269" i="28"/>
  <c r="AI271" i="28"/>
  <c r="AI299" i="28"/>
  <c r="AI326" i="28"/>
  <c r="AN132" i="28"/>
  <c r="AN12" i="28"/>
  <c r="AN44" i="28"/>
  <c r="AN76" i="28"/>
  <c r="AN108" i="28"/>
  <c r="AN140" i="28"/>
  <c r="AI162" i="28"/>
  <c r="AN36" i="28"/>
  <c r="AN68" i="28"/>
  <c r="AN100" i="28"/>
  <c r="AN20" i="28"/>
  <c r="AN52" i="28"/>
  <c r="AN84" i="28"/>
  <c r="AN116" i="28"/>
  <c r="AN148" i="28"/>
  <c r="AI172" i="28"/>
  <c r="AI7" i="28"/>
  <c r="AI8" i="28"/>
  <c r="AI15" i="28"/>
  <c r="AI16" i="28"/>
  <c r="AI23" i="28"/>
  <c r="AI24" i="28"/>
  <c r="AI31" i="28"/>
  <c r="AI32" i="28"/>
  <c r="AI39" i="28"/>
  <c r="AI40" i="28"/>
  <c r="AI47" i="28"/>
  <c r="AI48" i="28"/>
  <c r="AI55" i="28"/>
  <c r="AI56" i="28"/>
  <c r="AI63" i="28"/>
  <c r="AI64" i="28"/>
  <c r="AI71" i="28"/>
  <c r="AI72" i="28"/>
  <c r="AI79" i="28"/>
  <c r="AI80" i="28"/>
  <c r="AI87" i="28"/>
  <c r="AI88" i="28"/>
  <c r="AI95" i="28"/>
  <c r="AI96" i="28"/>
  <c r="AI104" i="28"/>
  <c r="AI111" i="28"/>
  <c r="AI112" i="28"/>
  <c r="AI119" i="28"/>
  <c r="AI120" i="28"/>
  <c r="AI127" i="28"/>
  <c r="AI128" i="28"/>
  <c r="AI135" i="28"/>
  <c r="AI136" i="28"/>
  <c r="AI143" i="28"/>
  <c r="AI144" i="28"/>
  <c r="AI151" i="28"/>
  <c r="AI152" i="28"/>
  <c r="AI159" i="28"/>
  <c r="AI160" i="28"/>
  <c r="AN166" i="28"/>
  <c r="AN167" i="28"/>
  <c r="AN176" i="28"/>
  <c r="AN177" i="28"/>
  <c r="AI182" i="28"/>
  <c r="AI244" i="28"/>
  <c r="AI276" i="28"/>
  <c r="AI308" i="28"/>
  <c r="AI9" i="28"/>
  <c r="AI10" i="28"/>
  <c r="AN13" i="28"/>
  <c r="AI17" i="28"/>
  <c r="AI18" i="28"/>
  <c r="AN21" i="28"/>
  <c r="AI25" i="28"/>
  <c r="AI26" i="28"/>
  <c r="AN29" i="28"/>
  <c r="AI33" i="28"/>
  <c r="AI34" i="28"/>
  <c r="AN37" i="28"/>
  <c r="AI41" i="28"/>
  <c r="AI42" i="28"/>
  <c r="AI49" i="28"/>
  <c r="AI50" i="28"/>
  <c r="AI57" i="28"/>
  <c r="AI58" i="28"/>
  <c r="AI65" i="28"/>
  <c r="AI66" i="28"/>
  <c r="AI73" i="28"/>
  <c r="AI74" i="28"/>
  <c r="AI81" i="28"/>
  <c r="AI82" i="28"/>
  <c r="AI89" i="28"/>
  <c r="AI90" i="28"/>
  <c r="AI97" i="28"/>
  <c r="AI98" i="28"/>
  <c r="AI106" i="28"/>
  <c r="AI113" i="28"/>
  <c r="AI114" i="28"/>
  <c r="AI121" i="28"/>
  <c r="AI122" i="28"/>
  <c r="AN127" i="28"/>
  <c r="AI129" i="28"/>
  <c r="AI130" i="28"/>
  <c r="AN135" i="28"/>
  <c r="AI137" i="28"/>
  <c r="AI138" i="28"/>
  <c r="AN143" i="28"/>
  <c r="AI145" i="28"/>
  <c r="AI146" i="28"/>
  <c r="AN151" i="28"/>
  <c r="AI153" i="28"/>
  <c r="AI154" i="28"/>
  <c r="AN159" i="28"/>
  <c r="AI165" i="28"/>
  <c r="AN168" i="28"/>
  <c r="AN169" i="28"/>
  <c r="AI174" i="28"/>
  <c r="AI187" i="28"/>
  <c r="AN190" i="28"/>
  <c r="AN191" i="28"/>
  <c r="AI252" i="28"/>
  <c r="AI284" i="28"/>
  <c r="AI316" i="28"/>
  <c r="AI11" i="28"/>
  <c r="AI12" i="28"/>
  <c r="AI20" i="28"/>
  <c r="AI28" i="28"/>
  <c r="AI35" i="28"/>
  <c r="AI36" i="28"/>
  <c r="AI44" i="28"/>
  <c r="AI52" i="28"/>
  <c r="AI60" i="28"/>
  <c r="AI68" i="28"/>
  <c r="AI76" i="28"/>
  <c r="AI84" i="28"/>
  <c r="AI100" i="28"/>
  <c r="AI116" i="28"/>
  <c r="AN121" i="28"/>
  <c r="AI124" i="28"/>
  <c r="AN129" i="28"/>
  <c r="AN137" i="28"/>
  <c r="AN145" i="28"/>
  <c r="AN153" i="28"/>
  <c r="AI179" i="28"/>
  <c r="AI189" i="28"/>
  <c r="AI324" i="28"/>
  <c r="AI197" i="28"/>
  <c r="AN198" i="28"/>
  <c r="AN199" i="28"/>
  <c r="AI205" i="28"/>
  <c r="AN206" i="28"/>
  <c r="AN207" i="28"/>
  <c r="AI213" i="28"/>
  <c r="AN214" i="28"/>
  <c r="AN215" i="28"/>
  <c r="AI221" i="28"/>
  <c r="AN222" i="28"/>
  <c r="AN223" i="28"/>
  <c r="AN230" i="28"/>
  <c r="AN231" i="28"/>
  <c r="AN238" i="28"/>
  <c r="AN239" i="28"/>
  <c r="AN246" i="28"/>
  <c r="AN247" i="28"/>
  <c r="AN254" i="28"/>
  <c r="AN255" i="28"/>
  <c r="AN262" i="28"/>
  <c r="AN263" i="28"/>
  <c r="AN270" i="28"/>
  <c r="AN271" i="28"/>
  <c r="AI275" i="28"/>
  <c r="AN278" i="28"/>
  <c r="AN279" i="28"/>
  <c r="AN286" i="28"/>
  <c r="AN287" i="28"/>
  <c r="AN294" i="28"/>
  <c r="AN295" i="28"/>
  <c r="AN302" i="28"/>
  <c r="AN303" i="28"/>
  <c r="AN310" i="28"/>
  <c r="AN311" i="28"/>
  <c r="AN318" i="28"/>
  <c r="AN319" i="28"/>
  <c r="AN326" i="28"/>
  <c r="AN327" i="28"/>
  <c r="AN224" i="28"/>
  <c r="AN225" i="28"/>
  <c r="AN232" i="28"/>
  <c r="AN233" i="28"/>
  <c r="AN240" i="28"/>
  <c r="AN241" i="28"/>
  <c r="AN248" i="28"/>
  <c r="AN249" i="28"/>
  <c r="AN256" i="28"/>
  <c r="AN257" i="28"/>
  <c r="AN264" i="28"/>
  <c r="AN265" i="28"/>
  <c r="AN272" i="28"/>
  <c r="AN273" i="28"/>
  <c r="AN280" i="28"/>
  <c r="AN281" i="28"/>
  <c r="AN288" i="28"/>
  <c r="AN289" i="28"/>
  <c r="AN296" i="28"/>
  <c r="AN297" i="28"/>
  <c r="AN304" i="28"/>
  <c r="AN305" i="28"/>
  <c r="AN312" i="28"/>
  <c r="AN313" i="28"/>
  <c r="AN320" i="28"/>
  <c r="AN321" i="28"/>
  <c r="AN328" i="28"/>
  <c r="AN163" i="28"/>
  <c r="AI169" i="28"/>
  <c r="AN170" i="28"/>
  <c r="AN171" i="28"/>
  <c r="AI177" i="28"/>
  <c r="AN178" i="28"/>
  <c r="AN179" i="28"/>
  <c r="AI183" i="28"/>
  <c r="AI185" i="28"/>
  <c r="AN186" i="28"/>
  <c r="AN187" i="28"/>
  <c r="AI193" i="28"/>
  <c r="AN194" i="28"/>
  <c r="AN195" i="28"/>
  <c r="AI201" i="28"/>
  <c r="AN202" i="28"/>
  <c r="AN203" i="28"/>
  <c r="AI209" i="28"/>
  <c r="AN210" i="28"/>
  <c r="AN211" i="28"/>
  <c r="AI217" i="28"/>
  <c r="AN218" i="28"/>
  <c r="AN219" i="28"/>
  <c r="AI225" i="28"/>
  <c r="AN226" i="28"/>
  <c r="AN227" i="28"/>
  <c r="AI233" i="28"/>
  <c r="AN234" i="28"/>
  <c r="AN235" i="28"/>
  <c r="AI241" i="28"/>
  <c r="AN242" i="28"/>
  <c r="AN243" i="28"/>
  <c r="AI249" i="28"/>
  <c r="AN250" i="28"/>
  <c r="AN251" i="28"/>
  <c r="AI257" i="28"/>
  <c r="AN258" i="28"/>
  <c r="AN259" i="28"/>
  <c r="AI265" i="28"/>
  <c r="AN266" i="28"/>
  <c r="AN267" i="28"/>
  <c r="AI273" i="28"/>
  <c r="AN274" i="28"/>
  <c r="AN275" i="28"/>
  <c r="AI281" i="28"/>
  <c r="AN282" i="28"/>
  <c r="AN283" i="28"/>
  <c r="AI289" i="28"/>
  <c r="AN290" i="28"/>
  <c r="AN291" i="28"/>
  <c r="AI297" i="28"/>
  <c r="AN298" i="28"/>
  <c r="AN299" i="28"/>
  <c r="AI303" i="28"/>
  <c r="AI305" i="28"/>
  <c r="AN306" i="28"/>
  <c r="AN307" i="28"/>
  <c r="AI313" i="28"/>
  <c r="AN314" i="28"/>
  <c r="AN315" i="28"/>
  <c r="AI321" i="28"/>
  <c r="AN322" i="28"/>
  <c r="AN323" i="28"/>
  <c r="AI327" i="28"/>
  <c r="AN11" i="28"/>
  <c r="AN19" i="28"/>
  <c r="AN27" i="28"/>
  <c r="AN35" i="28"/>
  <c r="AN43" i="28"/>
  <c r="AN51" i="28"/>
  <c r="AN59" i="28"/>
  <c r="AN67" i="28"/>
  <c r="AN75" i="28"/>
  <c r="AN83" i="28"/>
  <c r="AN91" i="28"/>
  <c r="AN99" i="28"/>
  <c r="AN107" i="28"/>
  <c r="AN45" i="28"/>
  <c r="AN53" i="28"/>
  <c r="AN61" i="28"/>
  <c r="AN69" i="28"/>
  <c r="AN77" i="28"/>
  <c r="AN85" i="28"/>
  <c r="AN93" i="28"/>
  <c r="AN101" i="28"/>
  <c r="AN109" i="28"/>
  <c r="AN7" i="28"/>
  <c r="AN15" i="28"/>
  <c r="AN23" i="28"/>
  <c r="AN31" i="28"/>
  <c r="AN39" i="28"/>
  <c r="AN47" i="28"/>
  <c r="AN55" i="28"/>
  <c r="AN63" i="28"/>
  <c r="AN71" i="28"/>
  <c r="AN79" i="28"/>
  <c r="AN87" i="28"/>
  <c r="AN95" i="28"/>
  <c r="AN103" i="28"/>
  <c r="AN111" i="28"/>
  <c r="AI301" i="28"/>
  <c r="F315" i="26" l="1"/>
  <c r="F314" i="26"/>
  <c r="F313" i="26"/>
  <c r="F312" i="26"/>
  <c r="F311" i="26"/>
  <c r="F310" i="26"/>
  <c r="F309" i="26"/>
  <c r="F308" i="26"/>
  <c r="F307" i="26"/>
  <c r="F306" i="26"/>
  <c r="F305" i="26"/>
  <c r="F304" i="26"/>
  <c r="F303" i="26"/>
  <c r="F302" i="26"/>
  <c r="F301" i="26"/>
  <c r="F300" i="26"/>
  <c r="F299" i="26"/>
  <c r="F298" i="26"/>
  <c r="F297" i="26"/>
  <c r="F296" i="26"/>
  <c r="F295" i="26"/>
  <c r="F294" i="26"/>
  <c r="F293" i="26"/>
  <c r="F292" i="26"/>
  <c r="F291" i="26"/>
  <c r="F290" i="26"/>
  <c r="F289" i="26"/>
  <c r="F288" i="26"/>
  <c r="F287" i="26"/>
  <c r="F286" i="26"/>
  <c r="F285" i="26"/>
  <c r="F284" i="26"/>
  <c r="F283" i="26"/>
  <c r="F282" i="26"/>
  <c r="F281" i="26"/>
  <c r="F280" i="26"/>
  <c r="F279" i="26"/>
  <c r="F278" i="26"/>
  <c r="F277" i="26"/>
  <c r="F276" i="26"/>
  <c r="F275" i="26"/>
  <c r="F274" i="26"/>
  <c r="F273" i="26"/>
  <c r="F272" i="26"/>
  <c r="F271" i="26"/>
  <c r="F270" i="26"/>
  <c r="F269" i="26"/>
  <c r="F268" i="26"/>
  <c r="F267" i="26"/>
  <c r="F266" i="26"/>
  <c r="F265" i="26"/>
  <c r="F264" i="26"/>
  <c r="F263" i="26"/>
  <c r="F262" i="26"/>
  <c r="F261" i="26"/>
  <c r="F260" i="26"/>
  <c r="F259" i="26"/>
  <c r="F258" i="26"/>
  <c r="F257" i="26"/>
  <c r="F256" i="26"/>
  <c r="F255" i="26"/>
  <c r="F254" i="26"/>
  <c r="F253" i="26"/>
  <c r="F252" i="26"/>
  <c r="F251" i="26"/>
  <c r="F250" i="26"/>
  <c r="F249" i="26"/>
  <c r="F248" i="26"/>
  <c r="F247" i="26"/>
  <c r="F246" i="26"/>
  <c r="F245" i="26"/>
  <c r="F244" i="26"/>
  <c r="F243" i="26"/>
  <c r="F242" i="26"/>
  <c r="F241" i="26"/>
  <c r="F240" i="26"/>
  <c r="F239" i="26"/>
  <c r="F238" i="26"/>
  <c r="F237" i="26"/>
  <c r="F236" i="26"/>
  <c r="F235" i="26"/>
  <c r="F234" i="26"/>
  <c r="F233" i="26"/>
  <c r="F232" i="26"/>
  <c r="F231" i="26"/>
  <c r="F230" i="26"/>
  <c r="F229" i="26"/>
  <c r="F228" i="26"/>
  <c r="F227" i="26"/>
  <c r="F226" i="26"/>
  <c r="F225" i="26"/>
  <c r="F224" i="26"/>
  <c r="F223" i="26"/>
  <c r="F222" i="26"/>
  <c r="F221" i="26"/>
  <c r="F220" i="26"/>
  <c r="F219" i="26"/>
  <c r="F218" i="26"/>
  <c r="F217" i="26"/>
  <c r="F216" i="26"/>
  <c r="F215" i="26"/>
  <c r="F214" i="26"/>
  <c r="F213" i="26"/>
  <c r="F212" i="26"/>
  <c r="F211" i="26"/>
  <c r="F210" i="26"/>
  <c r="F209" i="26"/>
  <c r="F208" i="26"/>
  <c r="F207" i="26"/>
  <c r="F206" i="26"/>
  <c r="F205" i="26"/>
  <c r="F204" i="26"/>
  <c r="F203" i="26"/>
  <c r="F202" i="26"/>
  <c r="F201" i="26"/>
  <c r="F200" i="26"/>
  <c r="F199" i="26"/>
  <c r="F198" i="26"/>
  <c r="F197" i="26"/>
  <c r="F196" i="26"/>
  <c r="F195" i="26"/>
  <c r="F194" i="26"/>
  <c r="F193" i="26"/>
  <c r="F192" i="26"/>
  <c r="F191" i="26"/>
  <c r="F190" i="26"/>
  <c r="F189" i="26"/>
  <c r="F188" i="26"/>
  <c r="F187" i="26"/>
  <c r="F186" i="26"/>
  <c r="F185" i="26"/>
  <c r="F184" i="26"/>
  <c r="F183" i="26"/>
  <c r="F182" i="26"/>
  <c r="F181" i="26"/>
  <c r="F180" i="26"/>
  <c r="F179" i="26"/>
  <c r="F178" i="26"/>
  <c r="F177" i="26"/>
  <c r="F176" i="26"/>
  <c r="F175" i="26"/>
  <c r="F174" i="26"/>
  <c r="F173" i="26"/>
  <c r="F172" i="26"/>
  <c r="F171" i="26"/>
  <c r="F170" i="26"/>
  <c r="F169" i="26"/>
  <c r="F16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5" i="26"/>
  <c r="F4" i="26"/>
  <c r="F3" i="26"/>
  <c r="F2" i="26"/>
  <c r="X2" i="26"/>
  <c r="W2" i="26"/>
  <c r="V2" i="26"/>
  <c r="U2" i="26"/>
  <c r="F1" i="26" l="1"/>
  <c r="M27" i="32"/>
  <c r="O27" i="32" s="1"/>
  <c r="O287" i="32"/>
  <c r="O282" i="32"/>
  <c r="M282" i="32"/>
  <c r="M242" i="32"/>
  <c r="O213" i="32"/>
  <c r="O212" i="32"/>
  <c r="M169" i="32"/>
  <c r="O169" i="32" s="1"/>
  <c r="O131" i="32"/>
  <c r="M117" i="32"/>
  <c r="O117" i="32" s="1"/>
  <c r="O68" i="32"/>
  <c r="O3" i="32"/>
  <c r="G294" i="32"/>
  <c r="M293" i="32"/>
  <c r="M288" i="32"/>
  <c r="M285" i="32"/>
  <c r="M284" i="32"/>
  <c r="M283" i="32"/>
  <c r="M266" i="32"/>
  <c r="M265" i="32"/>
  <c r="M205" i="32"/>
  <c r="M188" i="32"/>
  <c r="M185" i="32"/>
  <c r="M184" i="32"/>
  <c r="M152" i="32"/>
  <c r="M137" i="32"/>
  <c r="M127" i="32"/>
  <c r="O127" i="32" s="1"/>
  <c r="M113" i="32"/>
  <c r="M105" i="32"/>
  <c r="M102" i="32"/>
  <c r="M99" i="32"/>
  <c r="M94" i="32"/>
  <c r="M92" i="32"/>
  <c r="M62" i="32"/>
  <c r="M59" i="32"/>
  <c r="O59" i="32" s="1"/>
  <c r="M57" i="32"/>
  <c r="M54" i="32"/>
  <c r="M53" i="32"/>
  <c r="O53" i="32" s="1"/>
  <c r="M31" i="32"/>
  <c r="M10" i="32"/>
  <c r="B5" i="25" l="1"/>
  <c r="O294" i="32" l="1"/>
  <c r="O293" i="32"/>
  <c r="O292" i="32"/>
  <c r="O291" i="32"/>
  <c r="O290" i="32"/>
  <c r="O289" i="32"/>
  <c r="O288" i="32"/>
  <c r="O286" i="32"/>
  <c r="O285" i="32"/>
  <c r="O284" i="32"/>
  <c r="O283" i="32"/>
  <c r="O281" i="32"/>
  <c r="O280" i="32"/>
  <c r="O279" i="32"/>
  <c r="O278" i="32"/>
  <c r="O277" i="32"/>
  <c r="O276" i="32"/>
  <c r="O275" i="32"/>
  <c r="O274" i="32"/>
  <c r="O273" i="32"/>
  <c r="O272" i="32"/>
  <c r="O271" i="32"/>
  <c r="O270" i="32"/>
  <c r="O269" i="32"/>
  <c r="O268" i="32"/>
  <c r="O267" i="32"/>
  <c r="O266" i="32"/>
  <c r="O265" i="32"/>
  <c r="O264" i="32"/>
  <c r="O263" i="32"/>
  <c r="O262" i="32"/>
  <c r="O260" i="32"/>
  <c r="O259" i="32"/>
  <c r="O258" i="32"/>
  <c r="O257" i="32"/>
  <c r="O256" i="32"/>
  <c r="O255" i="32"/>
  <c r="O254" i="32"/>
  <c r="O253" i="32"/>
  <c r="O252" i="32"/>
  <c r="O251" i="32"/>
  <c r="O250" i="32"/>
  <c r="O249" i="32"/>
  <c r="O248" i="32"/>
  <c r="O247" i="32"/>
  <c r="O246" i="32"/>
  <c r="O245" i="32"/>
  <c r="O244" i="32"/>
  <c r="O243" i="32"/>
  <c r="O242" i="32"/>
  <c r="O241" i="32"/>
  <c r="O240" i="32"/>
  <c r="O239" i="32"/>
  <c r="O238" i="32"/>
  <c r="O237" i="32"/>
  <c r="O236" i="32"/>
  <c r="O235" i="32"/>
  <c r="O234" i="32"/>
  <c r="O233" i="32"/>
  <c r="O232" i="32"/>
  <c r="O231" i="32"/>
  <c r="O230" i="32"/>
  <c r="O229" i="32"/>
  <c r="O228" i="32"/>
  <c r="O227" i="32"/>
  <c r="O226" i="32"/>
  <c r="O225" i="32"/>
  <c r="O224" i="32"/>
  <c r="O223" i="32"/>
  <c r="O222" i="32"/>
  <c r="O221" i="32"/>
  <c r="O220" i="32"/>
  <c r="O219" i="32"/>
  <c r="O218" i="32"/>
  <c r="O217" i="32"/>
  <c r="O216" i="32"/>
  <c r="O215" i="32"/>
  <c r="O214" i="32"/>
  <c r="O211" i="32"/>
  <c r="O210" i="32"/>
  <c r="O209" i="32"/>
  <c r="O208" i="32"/>
  <c r="O207" i="32"/>
  <c r="O206" i="32"/>
  <c r="O205" i="32"/>
  <c r="O204" i="32"/>
  <c r="O203" i="32"/>
  <c r="O202" i="32"/>
  <c r="O201" i="32"/>
  <c r="O200" i="32"/>
  <c r="O199" i="32"/>
  <c r="O198" i="32"/>
  <c r="O197" i="32"/>
  <c r="O196" i="32"/>
  <c r="O195" i="32"/>
  <c r="O194" i="32"/>
  <c r="O193" i="32"/>
  <c r="O192" i="32"/>
  <c r="O191" i="32"/>
  <c r="O190" i="32"/>
  <c r="O189" i="32"/>
  <c r="O188" i="32"/>
  <c r="O187" i="32"/>
  <c r="O186" i="32"/>
  <c r="O185" i="32"/>
  <c r="O184" i="32"/>
  <c r="O183" i="32"/>
  <c r="O182" i="32"/>
  <c r="O181" i="32"/>
  <c r="O180" i="32"/>
  <c r="O179" i="32"/>
  <c r="O178" i="32"/>
  <c r="O177" i="32"/>
  <c r="O176" i="32"/>
  <c r="O175" i="32"/>
  <c r="O174" i="32"/>
  <c r="O173" i="32"/>
  <c r="O172" i="32"/>
  <c r="O171" i="32"/>
  <c r="O170" i="32"/>
  <c r="O168" i="32"/>
  <c r="O167" i="32"/>
  <c r="O166" i="32"/>
  <c r="O165" i="32"/>
  <c r="O164" i="32"/>
  <c r="O163" i="32"/>
  <c r="O162" i="32"/>
  <c r="O161" i="32"/>
  <c r="O160" i="32"/>
  <c r="O159" i="32"/>
  <c r="O158" i="32"/>
  <c r="O157" i="32"/>
  <c r="O156" i="32"/>
  <c r="O155" i="32"/>
  <c r="O154" i="32"/>
  <c r="O153" i="32"/>
  <c r="O152" i="32"/>
  <c r="O151" i="32"/>
  <c r="O150" i="32"/>
  <c r="O149" i="32"/>
  <c r="O148" i="32"/>
  <c r="O147" i="32"/>
  <c r="O146" i="32"/>
  <c r="O145" i="32"/>
  <c r="O144" i="32"/>
  <c r="O143" i="32"/>
  <c r="O142" i="32"/>
  <c r="O141" i="32"/>
  <c r="O140" i="32"/>
  <c r="O139" i="32"/>
  <c r="O138" i="32"/>
  <c r="O137" i="32"/>
  <c r="O136" i="32"/>
  <c r="O135" i="32"/>
  <c r="O134" i="32"/>
  <c r="O133" i="32"/>
  <c r="O132" i="32"/>
  <c r="O130" i="32"/>
  <c r="O129" i="32"/>
  <c r="O128" i="32"/>
  <c r="O126" i="32"/>
  <c r="O125" i="32"/>
  <c r="O124" i="32"/>
  <c r="O123" i="32"/>
  <c r="O122" i="32"/>
  <c r="O121" i="32"/>
  <c r="O120" i="32"/>
  <c r="O119" i="32"/>
  <c r="O118" i="32"/>
  <c r="O116" i="32"/>
  <c r="O115" i="32"/>
  <c r="O114" i="32"/>
  <c r="O113" i="32"/>
  <c r="O110" i="32"/>
  <c r="O109" i="32"/>
  <c r="O107" i="32"/>
  <c r="O106" i="32"/>
  <c r="O105" i="32"/>
  <c r="O104" i="32"/>
  <c r="O103" i="32"/>
  <c r="O102" i="32"/>
  <c r="O101" i="32"/>
  <c r="O100" i="32"/>
  <c r="O99" i="32"/>
  <c r="O98" i="32"/>
  <c r="O97" i="32"/>
  <c r="O96" i="32"/>
  <c r="O95" i="32"/>
  <c r="O94" i="32"/>
  <c r="O93" i="32"/>
  <c r="O92" i="32"/>
  <c r="O91" i="32"/>
  <c r="O90" i="32"/>
  <c r="O89" i="32"/>
  <c r="O88" i="32"/>
  <c r="O87" i="32"/>
  <c r="O86" i="32"/>
  <c r="O85" i="32"/>
  <c r="O84" i="32"/>
  <c r="O83" i="32"/>
  <c r="O82" i="32"/>
  <c r="O81" i="32"/>
  <c r="O80" i="32"/>
  <c r="O79" i="32"/>
  <c r="O78" i="32"/>
  <c r="O77" i="32"/>
  <c r="O76" i="32"/>
  <c r="O75" i="32"/>
  <c r="O74" i="32"/>
  <c r="O73" i="32"/>
  <c r="O72" i="32"/>
  <c r="O71" i="32"/>
  <c r="O70" i="32"/>
  <c r="O69" i="32"/>
  <c r="O67" i="32"/>
  <c r="O66" i="32"/>
  <c r="O65" i="32"/>
  <c r="O64" i="32"/>
  <c r="O63" i="32"/>
  <c r="O62" i="32"/>
  <c r="O61" i="32"/>
  <c r="O60" i="32"/>
  <c r="O58" i="32"/>
  <c r="O57" i="32"/>
  <c r="O56" i="32"/>
  <c r="O55" i="32"/>
  <c r="O54" i="32"/>
  <c r="O52" i="32"/>
  <c r="O51" i="32"/>
  <c r="O50" i="32"/>
  <c r="O49" i="32"/>
  <c r="O48" i="32"/>
  <c r="O47" i="32"/>
  <c r="O46" i="32"/>
  <c r="O45" i="32"/>
  <c r="O44" i="32"/>
  <c r="O43" i="32"/>
  <c r="O42" i="32"/>
  <c r="O41" i="32"/>
  <c r="O40" i="32"/>
  <c r="O39" i="32"/>
  <c r="O38" i="32"/>
  <c r="O37" i="32"/>
  <c r="O36" i="32"/>
  <c r="O35" i="32"/>
  <c r="O34" i="32"/>
  <c r="O33" i="32"/>
  <c r="O32" i="32"/>
  <c r="O31" i="32"/>
  <c r="O30" i="32"/>
  <c r="O29" i="32"/>
  <c r="O28" i="32"/>
  <c r="O26" i="32"/>
  <c r="O25" i="32"/>
  <c r="O24" i="32"/>
  <c r="O23" i="32"/>
  <c r="O22" i="32"/>
  <c r="O21" i="32"/>
  <c r="O20" i="32"/>
  <c r="O19" i="32"/>
  <c r="O18" i="32"/>
  <c r="O17" i="32"/>
  <c r="O16" i="32"/>
  <c r="O15" i="32"/>
  <c r="O14" i="32"/>
  <c r="O13" i="32"/>
  <c r="O12" i="32"/>
  <c r="O11" i="32"/>
  <c r="O10" i="32"/>
  <c r="O9" i="32"/>
  <c r="O8" i="32"/>
  <c r="O7" i="32"/>
  <c r="O6" i="32"/>
  <c r="O5" i="32"/>
  <c r="O4" i="32"/>
  <c r="O2" i="32"/>
  <c r="M38" i="24" l="1"/>
  <c r="M52" i="24" s="1"/>
  <c r="L38" i="24"/>
  <c r="L52" i="24" s="1"/>
  <c r="M44" i="24"/>
  <c r="M53" i="24" s="1"/>
  <c r="L44" i="24"/>
  <c r="L53" i="24" s="1"/>
  <c r="M32" i="24"/>
  <c r="M51" i="24" s="1"/>
  <c r="L32" i="24"/>
  <c r="L51" i="24" s="1"/>
  <c r="M13" i="24"/>
  <c r="M50" i="24" s="1"/>
  <c r="L13" i="24"/>
  <c r="L50" i="24" s="1"/>
  <c r="M9" i="24"/>
  <c r="M49" i="24" s="1"/>
  <c r="L9" i="24"/>
  <c r="L49" i="24" s="1"/>
  <c r="N46" i="24"/>
  <c r="N45" i="24"/>
  <c r="N42" i="24"/>
  <c r="O42" i="24" s="1"/>
  <c r="N41" i="24"/>
  <c r="N40" i="24"/>
  <c r="N39" i="24"/>
  <c r="N35" i="24"/>
  <c r="N34" i="24"/>
  <c r="N23" i="24"/>
  <c r="N22" i="24"/>
  <c r="N21" i="24"/>
  <c r="N20" i="24"/>
  <c r="N19" i="24"/>
  <c r="N18" i="24"/>
  <c r="N17" i="24"/>
  <c r="N15" i="24"/>
  <c r="N14" i="24"/>
  <c r="N10" i="24"/>
  <c r="N9" i="24" s="1"/>
  <c r="N49" i="24" s="1"/>
  <c r="N32" i="24" l="1"/>
  <c r="N38" i="24"/>
  <c r="N52" i="24" s="1"/>
  <c r="N13" i="24"/>
  <c r="N50" i="24" s="1"/>
  <c r="N44" i="24"/>
  <c r="N53" i="24" s="1"/>
  <c r="M54" i="24"/>
  <c r="L54" i="24"/>
  <c r="B1" i="24"/>
  <c r="B15" i="24" s="1"/>
  <c r="O15" i="24" s="1"/>
  <c r="AI81" i="48"/>
  <c r="AG291" i="48"/>
  <c r="AG290" i="48"/>
  <c r="AG289" i="48"/>
  <c r="AG288" i="48"/>
  <c r="AG287" i="48"/>
  <c r="AG286" i="48"/>
  <c r="AG285" i="48"/>
  <c r="AG284" i="48"/>
  <c r="AG283" i="48"/>
  <c r="AG282" i="48"/>
  <c r="AG281" i="48"/>
  <c r="AG280" i="48"/>
  <c r="AG279" i="48"/>
  <c r="AG278" i="48"/>
  <c r="AG277" i="48"/>
  <c r="AG276" i="48"/>
  <c r="AG275" i="48"/>
  <c r="AG274" i="48"/>
  <c r="AG273" i="48"/>
  <c r="AG272" i="48"/>
  <c r="AG271" i="48"/>
  <c r="AG270" i="48"/>
  <c r="AG269" i="48"/>
  <c r="AG268" i="48"/>
  <c r="AG267" i="48"/>
  <c r="AG266" i="48"/>
  <c r="AG265" i="48"/>
  <c r="AG264" i="48"/>
  <c r="AG263" i="48"/>
  <c r="AG262" i="48"/>
  <c r="AG261" i="48"/>
  <c r="AG260" i="48"/>
  <c r="AI260" i="48" s="1"/>
  <c r="AG259" i="48"/>
  <c r="AG258" i="48"/>
  <c r="AG257" i="48"/>
  <c r="AG256" i="48"/>
  <c r="AG255" i="48"/>
  <c r="AG254" i="48"/>
  <c r="AG253" i="48"/>
  <c r="AG252" i="48"/>
  <c r="AG251" i="48"/>
  <c r="AG250" i="48"/>
  <c r="AG249" i="48"/>
  <c r="AG248" i="48"/>
  <c r="AG247" i="48"/>
  <c r="AG246" i="48"/>
  <c r="AG245" i="48"/>
  <c r="AG244" i="48"/>
  <c r="AI244" i="48" s="1"/>
  <c r="AG243" i="48"/>
  <c r="AG242" i="48"/>
  <c r="AG241" i="48"/>
  <c r="AG240" i="48"/>
  <c r="AG239" i="48"/>
  <c r="AG238" i="48"/>
  <c r="AG237" i="48"/>
  <c r="AG236" i="48"/>
  <c r="AG235" i="48"/>
  <c r="AG234" i="48"/>
  <c r="AG233" i="48"/>
  <c r="AG232" i="48"/>
  <c r="AG231" i="48"/>
  <c r="AG230" i="48"/>
  <c r="AG229" i="48"/>
  <c r="AG228" i="48"/>
  <c r="AI228" i="48" s="1"/>
  <c r="AG227" i="48"/>
  <c r="AG226" i="48"/>
  <c r="AG225" i="48"/>
  <c r="AG224" i="48"/>
  <c r="AG223" i="48"/>
  <c r="AG222" i="48"/>
  <c r="AG221" i="48"/>
  <c r="AG220" i="48"/>
  <c r="AG219" i="48"/>
  <c r="AG218" i="48"/>
  <c r="AG217" i="48"/>
  <c r="AG216" i="48"/>
  <c r="AG215" i="48"/>
  <c r="AG214" i="48"/>
  <c r="AG213" i="48"/>
  <c r="AG212" i="48"/>
  <c r="AI212" i="48" s="1"/>
  <c r="AG211" i="48"/>
  <c r="AG210" i="48"/>
  <c r="AG209" i="48"/>
  <c r="AG208" i="48"/>
  <c r="AG207" i="48"/>
  <c r="AG206" i="48"/>
  <c r="AG205" i="48"/>
  <c r="AG204" i="48"/>
  <c r="AG203" i="48"/>
  <c r="AG202" i="48"/>
  <c r="AG201" i="48"/>
  <c r="AG200" i="48"/>
  <c r="AG199" i="48"/>
  <c r="AG198" i="48"/>
  <c r="AG197" i="48"/>
  <c r="AG196" i="48"/>
  <c r="AG195" i="48"/>
  <c r="AG194" i="48"/>
  <c r="AG193" i="48"/>
  <c r="AG192" i="48"/>
  <c r="AG191" i="48"/>
  <c r="AG190" i="48"/>
  <c r="AG189" i="48"/>
  <c r="AG188" i="48"/>
  <c r="AG187" i="48"/>
  <c r="AG186" i="48"/>
  <c r="AG185" i="48"/>
  <c r="AG184" i="48"/>
  <c r="AG183" i="48"/>
  <c r="AG182" i="48"/>
  <c r="AG181" i="48"/>
  <c r="AG180" i="48"/>
  <c r="AG179" i="48"/>
  <c r="AG178" i="48"/>
  <c r="AG177" i="48"/>
  <c r="AG176" i="48"/>
  <c r="AG175" i="48"/>
  <c r="AG174" i="48"/>
  <c r="AG173" i="48"/>
  <c r="AG172" i="48"/>
  <c r="AG171" i="48"/>
  <c r="AG170" i="48"/>
  <c r="AG169" i="48"/>
  <c r="AG168" i="48"/>
  <c r="AG167" i="48"/>
  <c r="AG166" i="48"/>
  <c r="AG165" i="48"/>
  <c r="AG164" i="48"/>
  <c r="AG163" i="48"/>
  <c r="AG162" i="48"/>
  <c r="AG161" i="48"/>
  <c r="AG160" i="48"/>
  <c r="AG159" i="48"/>
  <c r="AG158" i="48"/>
  <c r="AG157" i="48"/>
  <c r="AG156" i="48"/>
  <c r="AG155" i="48"/>
  <c r="AG154" i="48"/>
  <c r="AG153" i="48"/>
  <c r="AG152" i="48"/>
  <c r="AG151" i="48"/>
  <c r="AG150" i="48"/>
  <c r="AG149" i="48"/>
  <c r="AG148" i="48"/>
  <c r="AG147" i="48"/>
  <c r="AG146" i="48"/>
  <c r="AG145" i="48"/>
  <c r="AG144" i="48"/>
  <c r="AG143" i="48"/>
  <c r="AG142" i="48"/>
  <c r="AG141" i="48"/>
  <c r="AG140" i="48"/>
  <c r="AG139" i="48"/>
  <c r="AG138" i="48"/>
  <c r="AG137" i="48"/>
  <c r="AG136" i="48"/>
  <c r="AG135" i="48"/>
  <c r="AG134" i="48"/>
  <c r="AG133" i="48"/>
  <c r="AG132" i="48"/>
  <c r="AI132" i="48" s="1"/>
  <c r="AG131" i="48"/>
  <c r="AG130" i="48"/>
  <c r="AG129" i="48"/>
  <c r="AG128" i="48"/>
  <c r="AG127" i="48"/>
  <c r="AG126" i="48"/>
  <c r="AG125" i="48"/>
  <c r="AG124" i="48"/>
  <c r="AG123" i="48"/>
  <c r="AG122" i="48"/>
  <c r="AG121" i="48"/>
  <c r="AG120" i="48"/>
  <c r="AG119" i="48"/>
  <c r="AG118" i="48"/>
  <c r="AG117" i="48"/>
  <c r="AG116" i="48"/>
  <c r="AI116" i="48" s="1"/>
  <c r="AG115" i="48"/>
  <c r="AG114" i="48"/>
  <c r="AG113" i="48"/>
  <c r="AG112" i="48"/>
  <c r="AG111" i="48"/>
  <c r="AG110" i="48"/>
  <c r="AG109" i="48"/>
  <c r="AG108" i="48"/>
  <c r="AG107" i="48"/>
  <c r="AG106" i="48"/>
  <c r="AG105" i="48"/>
  <c r="AG104" i="48"/>
  <c r="AG103" i="48"/>
  <c r="AG102" i="48"/>
  <c r="AG101" i="48"/>
  <c r="AG100" i="48"/>
  <c r="AI100" i="48" s="1"/>
  <c r="AG99" i="48"/>
  <c r="AG98" i="48"/>
  <c r="AG97" i="48"/>
  <c r="AG96" i="48"/>
  <c r="AG95" i="48"/>
  <c r="AG94" i="48"/>
  <c r="AG93" i="48"/>
  <c r="AG92" i="48"/>
  <c r="AG91" i="48"/>
  <c r="AG90" i="48"/>
  <c r="AG89" i="48"/>
  <c r="AG88" i="48"/>
  <c r="AG87" i="48"/>
  <c r="AG86" i="48"/>
  <c r="AG85" i="48"/>
  <c r="AG84" i="48"/>
  <c r="AI84" i="48" s="1"/>
  <c r="AG83" i="48"/>
  <c r="AG82" i="48"/>
  <c r="AG81" i="48"/>
  <c r="AG80" i="48"/>
  <c r="AG79" i="48"/>
  <c r="AG78" i="48"/>
  <c r="AG77" i="48"/>
  <c r="AG76" i="48"/>
  <c r="AG75" i="48"/>
  <c r="AG74" i="48"/>
  <c r="AG73" i="48"/>
  <c r="AG72" i="48"/>
  <c r="AG71" i="48"/>
  <c r="AG70" i="48"/>
  <c r="AG69" i="48"/>
  <c r="AG68" i="48"/>
  <c r="AG67" i="48"/>
  <c r="AG66" i="48"/>
  <c r="AG65" i="48"/>
  <c r="AG64" i="48"/>
  <c r="AG63" i="48"/>
  <c r="AG62" i="48"/>
  <c r="AG61" i="48"/>
  <c r="AG60" i="48"/>
  <c r="AG59" i="48"/>
  <c r="AG58" i="48"/>
  <c r="AG57" i="48"/>
  <c r="AG56" i="48"/>
  <c r="AG55" i="48"/>
  <c r="AG54" i="48"/>
  <c r="AG53" i="48"/>
  <c r="AG52" i="48"/>
  <c r="AG51" i="48"/>
  <c r="AG50" i="48"/>
  <c r="AG49" i="48"/>
  <c r="AI49" i="48" s="1"/>
  <c r="AG48" i="48"/>
  <c r="AG47" i="48"/>
  <c r="AG46" i="48"/>
  <c r="AG45" i="48"/>
  <c r="AG44" i="48"/>
  <c r="AG43" i="48"/>
  <c r="AG42" i="48"/>
  <c r="AG41" i="48"/>
  <c r="AG40" i="48"/>
  <c r="AG39" i="48"/>
  <c r="AG38" i="48"/>
  <c r="AG37" i="48"/>
  <c r="AG36" i="48"/>
  <c r="AG35" i="48"/>
  <c r="AG34" i="48"/>
  <c r="AG33" i="48"/>
  <c r="AG32" i="48"/>
  <c r="AG31" i="48"/>
  <c r="AG30" i="48"/>
  <c r="AG29" i="48"/>
  <c r="AG28" i="48"/>
  <c r="AG27" i="48"/>
  <c r="AG26" i="48"/>
  <c r="AG25" i="48"/>
  <c r="AG24" i="48"/>
  <c r="AG23" i="48"/>
  <c r="AG22" i="48"/>
  <c r="AG21" i="48"/>
  <c r="AG20" i="48"/>
  <c r="AI20" i="48" s="1"/>
  <c r="AG19" i="48"/>
  <c r="AG18" i="48"/>
  <c r="AG17" i="48"/>
  <c r="AG16" i="48"/>
  <c r="AG15" i="48"/>
  <c r="AG14" i="48"/>
  <c r="AG13" i="48"/>
  <c r="AG12" i="48"/>
  <c r="AG11" i="48"/>
  <c r="AG10" i="48"/>
  <c r="AG9" i="48"/>
  <c r="AG8" i="48"/>
  <c r="AG7" i="48"/>
  <c r="AG6" i="48"/>
  <c r="AG5" i="48"/>
  <c r="AG4" i="48"/>
  <c r="AG3" i="48"/>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G3" i="32"/>
  <c r="G2" i="32"/>
  <c r="O213" i="48"/>
  <c r="G291" i="48"/>
  <c r="O291" i="48" s="1"/>
  <c r="G290" i="48"/>
  <c r="O290" i="48" s="1"/>
  <c r="G289" i="48"/>
  <c r="G288" i="48"/>
  <c r="G287" i="48"/>
  <c r="O287" i="48" s="1"/>
  <c r="G286" i="48"/>
  <c r="O286" i="48" s="1"/>
  <c r="G285" i="48"/>
  <c r="O285" i="48" s="1"/>
  <c r="G284" i="48"/>
  <c r="O284" i="48" s="1"/>
  <c r="G283" i="48"/>
  <c r="O283" i="48" s="1"/>
  <c r="G282" i="48"/>
  <c r="O282" i="48" s="1"/>
  <c r="G281" i="48"/>
  <c r="O281" i="48" s="1"/>
  <c r="G280" i="48"/>
  <c r="O280" i="48" s="1"/>
  <c r="G279" i="48"/>
  <c r="O279" i="48" s="1"/>
  <c r="G278" i="48"/>
  <c r="O278" i="48" s="1"/>
  <c r="G277" i="48"/>
  <c r="O277" i="48"/>
  <c r="G276" i="48"/>
  <c r="O276" i="48" s="1"/>
  <c r="G275" i="48"/>
  <c r="O275" i="48"/>
  <c r="G274" i="48"/>
  <c r="O274" i="48" s="1"/>
  <c r="G273" i="48"/>
  <c r="O273" i="48" s="1"/>
  <c r="G272" i="48"/>
  <c r="O272" i="48" s="1"/>
  <c r="G271" i="48"/>
  <c r="O271" i="48" s="1"/>
  <c r="G270" i="48"/>
  <c r="O270" i="48" s="1"/>
  <c r="G269" i="48"/>
  <c r="O269" i="48"/>
  <c r="G268" i="48"/>
  <c r="O268" i="48" s="1"/>
  <c r="G267" i="48"/>
  <c r="O267" i="48"/>
  <c r="G266" i="48"/>
  <c r="O266" i="48" s="1"/>
  <c r="G265" i="48"/>
  <c r="AI265" i="48" s="1"/>
  <c r="G264" i="48"/>
  <c r="O264" i="48" s="1"/>
  <c r="G263" i="48"/>
  <c r="O263" i="48" s="1"/>
  <c r="G262" i="48"/>
  <c r="O262" i="48" s="1"/>
  <c r="G261" i="48"/>
  <c r="O261" i="48" s="1"/>
  <c r="G260" i="48"/>
  <c r="O260" i="48"/>
  <c r="G259" i="48"/>
  <c r="O259" i="48" s="1"/>
  <c r="G258" i="48"/>
  <c r="O258" i="48"/>
  <c r="G257" i="48"/>
  <c r="AI257" i="48" s="1"/>
  <c r="G256" i="48"/>
  <c r="AI256" i="48" s="1"/>
  <c r="G255" i="48"/>
  <c r="O255" i="48" s="1"/>
  <c r="G254" i="48"/>
  <c r="O254" i="48" s="1"/>
  <c r="G253" i="48"/>
  <c r="O253" i="48" s="1"/>
  <c r="G252" i="48"/>
  <c r="G251" i="48"/>
  <c r="O251" i="48"/>
  <c r="G250" i="48"/>
  <c r="O250" i="48" s="1"/>
  <c r="G249" i="48"/>
  <c r="AI249" i="48" s="1"/>
  <c r="G248" i="48"/>
  <c r="G247" i="48"/>
  <c r="O247" i="48" s="1"/>
  <c r="G246" i="48"/>
  <c r="O246" i="48" s="1"/>
  <c r="G245" i="48"/>
  <c r="O245" i="48"/>
  <c r="G244" i="48"/>
  <c r="O244" i="48" s="1"/>
  <c r="G243" i="48"/>
  <c r="O243" i="48"/>
  <c r="G242" i="48"/>
  <c r="O242" i="48" s="1"/>
  <c r="G241" i="48"/>
  <c r="O241" i="48" s="1"/>
  <c r="G240" i="48"/>
  <c r="O240" i="48" s="1"/>
  <c r="G239" i="48"/>
  <c r="O239" i="48" s="1"/>
  <c r="G238" i="48"/>
  <c r="O238" i="48" s="1"/>
  <c r="G237" i="48"/>
  <c r="O237" i="48" s="1"/>
  <c r="G236" i="48"/>
  <c r="AI236" i="48" s="1"/>
  <c r="G235" i="48"/>
  <c r="O235" i="48" s="1"/>
  <c r="G234" i="48"/>
  <c r="O234" i="48"/>
  <c r="G233" i="48"/>
  <c r="G232" i="48"/>
  <c r="O232" i="48" s="1"/>
  <c r="G231" i="48"/>
  <c r="O231" i="48" s="1"/>
  <c r="G230" i="48"/>
  <c r="O230" i="48" s="1"/>
  <c r="G229" i="48"/>
  <c r="O229" i="48" s="1"/>
  <c r="G228" i="48"/>
  <c r="O228" i="48"/>
  <c r="G227" i="48"/>
  <c r="O227" i="48" s="1"/>
  <c r="G226" i="48"/>
  <c r="O226" i="48" s="1"/>
  <c r="G225" i="48"/>
  <c r="AI225" i="48" s="1"/>
  <c r="G224" i="48"/>
  <c r="AI224" i="48" s="1"/>
  <c r="G223" i="48"/>
  <c r="O223" i="48" s="1"/>
  <c r="G222" i="48"/>
  <c r="O222" i="48" s="1"/>
  <c r="G221" i="48"/>
  <c r="O221" i="48" s="1"/>
  <c r="G220" i="48"/>
  <c r="G219" i="48"/>
  <c r="O219" i="48"/>
  <c r="G218" i="48"/>
  <c r="O218" i="48" s="1"/>
  <c r="G217" i="48"/>
  <c r="AI217" i="48" s="1"/>
  <c r="O217" i="48"/>
  <c r="G216" i="48"/>
  <c r="G215" i="48"/>
  <c r="O215" i="48" s="1"/>
  <c r="G214" i="48"/>
  <c r="O214" i="48" s="1"/>
  <c r="G213" i="48"/>
  <c r="G212" i="48"/>
  <c r="O212" i="48" s="1"/>
  <c r="G211" i="48"/>
  <c r="O211" i="48" s="1"/>
  <c r="G210" i="48"/>
  <c r="O210" i="48" s="1"/>
  <c r="G209" i="48"/>
  <c r="O209" i="48"/>
  <c r="G208" i="48"/>
  <c r="O208" i="48" s="1"/>
  <c r="G207" i="48"/>
  <c r="O207" i="48"/>
  <c r="G206" i="48"/>
  <c r="O206" i="48" s="1"/>
  <c r="G205" i="48"/>
  <c r="O205" i="48" s="1"/>
  <c r="G204" i="48"/>
  <c r="G203" i="48"/>
  <c r="O203" i="48" s="1"/>
  <c r="G202" i="48"/>
  <c r="O202" i="48" s="1"/>
  <c r="G201" i="48"/>
  <c r="G200" i="48"/>
  <c r="O200" i="48"/>
  <c r="G199" i="48"/>
  <c r="O199" i="48" s="1"/>
  <c r="G198" i="48"/>
  <c r="O198" i="48" s="1"/>
  <c r="G197" i="48"/>
  <c r="O197" i="48" s="1"/>
  <c r="G196" i="48"/>
  <c r="O196" i="48" s="1"/>
  <c r="G195" i="48"/>
  <c r="O195" i="48" s="1"/>
  <c r="G194" i="48"/>
  <c r="O194" i="48"/>
  <c r="G193" i="48"/>
  <c r="AI193" i="48" s="1"/>
  <c r="G192" i="48"/>
  <c r="O192" i="48" s="1"/>
  <c r="G191" i="48"/>
  <c r="O191" i="48" s="1"/>
  <c r="G190" i="48"/>
  <c r="O190" i="48" s="1"/>
  <c r="G189" i="48"/>
  <c r="O189" i="48" s="1"/>
  <c r="G188" i="48"/>
  <c r="O188" i="48" s="1"/>
  <c r="G187" i="48"/>
  <c r="O187" i="48" s="1"/>
  <c r="G186" i="48"/>
  <c r="O186" i="48" s="1"/>
  <c r="G185" i="48"/>
  <c r="AI185" i="48" s="1"/>
  <c r="O185" i="48"/>
  <c r="G184" i="48"/>
  <c r="G183" i="48"/>
  <c r="O183" i="48"/>
  <c r="G182" i="48"/>
  <c r="O182" i="48" s="1"/>
  <c r="G181" i="48"/>
  <c r="O181" i="48" s="1"/>
  <c r="G180" i="48"/>
  <c r="O180" i="48" s="1"/>
  <c r="G179" i="48"/>
  <c r="O179" i="48" s="1"/>
  <c r="G178" i="48"/>
  <c r="O178" i="48" s="1"/>
  <c r="G177" i="48"/>
  <c r="AI177" i="48" s="1"/>
  <c r="G176" i="48"/>
  <c r="G175" i="48"/>
  <c r="O175" i="48"/>
  <c r="G174" i="48"/>
  <c r="O174" i="48" s="1"/>
  <c r="G173" i="48"/>
  <c r="O173" i="48" s="1"/>
  <c r="G172" i="48"/>
  <c r="G171" i="48"/>
  <c r="O171" i="48" s="1"/>
  <c r="G170" i="48"/>
  <c r="O170" i="48" s="1"/>
  <c r="G169" i="48"/>
  <c r="AI169" i="48" s="1"/>
  <c r="O169" i="48"/>
  <c r="G168" i="48"/>
  <c r="G167" i="48"/>
  <c r="O167" i="48"/>
  <c r="G166" i="48"/>
  <c r="O166" i="48" s="1"/>
  <c r="G165" i="48"/>
  <c r="O165" i="48" s="1"/>
  <c r="G164" i="48"/>
  <c r="G163" i="48"/>
  <c r="O163" i="48" s="1"/>
  <c r="G162" i="48"/>
  <c r="O162" i="48" s="1"/>
  <c r="G161" i="48"/>
  <c r="AI161" i="48" s="1"/>
  <c r="G160" i="48"/>
  <c r="G159" i="48"/>
  <c r="O159" i="48"/>
  <c r="G158" i="48"/>
  <c r="O158" i="48" s="1"/>
  <c r="G157" i="48"/>
  <c r="O157" i="48" s="1"/>
  <c r="G156" i="48"/>
  <c r="G155" i="48"/>
  <c r="O155" i="48" s="1"/>
  <c r="G154" i="48"/>
  <c r="O154" i="48" s="1"/>
  <c r="G153" i="48"/>
  <c r="AI153" i="48" s="1"/>
  <c r="G152" i="48"/>
  <c r="G151" i="48"/>
  <c r="O151" i="48"/>
  <c r="G150" i="48"/>
  <c r="O150" i="48" s="1"/>
  <c r="G149" i="48"/>
  <c r="O149" i="48" s="1"/>
  <c r="G148" i="48"/>
  <c r="O148" i="48" s="1"/>
  <c r="G147" i="48"/>
  <c r="O147" i="48" s="1"/>
  <c r="G146" i="48"/>
  <c r="O146" i="48" s="1"/>
  <c r="G145" i="48"/>
  <c r="O145" i="48" s="1"/>
  <c r="G144" i="48"/>
  <c r="G143" i="48"/>
  <c r="O143" i="48" s="1"/>
  <c r="G142" i="48"/>
  <c r="O142" i="48" s="1"/>
  <c r="G141" i="48"/>
  <c r="O141" i="48" s="1"/>
  <c r="G140" i="48"/>
  <c r="G139" i="48"/>
  <c r="O139" i="48"/>
  <c r="G138" i="48"/>
  <c r="O138" i="48" s="1"/>
  <c r="G137" i="48"/>
  <c r="AI137" i="48" s="1"/>
  <c r="O137" i="48"/>
  <c r="G136" i="48"/>
  <c r="G135" i="48"/>
  <c r="O135" i="48" s="1"/>
  <c r="G134" i="48"/>
  <c r="O134" i="48"/>
  <c r="G133" i="48"/>
  <c r="O133" i="48" s="1"/>
  <c r="G132" i="48"/>
  <c r="O132" i="48" s="1"/>
  <c r="G131" i="48"/>
  <c r="O131" i="48" s="1"/>
  <c r="G130" i="48"/>
  <c r="O130" i="48" s="1"/>
  <c r="G129" i="48"/>
  <c r="G128" i="48"/>
  <c r="O128" i="48" s="1"/>
  <c r="G127" i="48"/>
  <c r="O127" i="48" s="1"/>
  <c r="G126" i="48"/>
  <c r="O126" i="48"/>
  <c r="G125" i="48"/>
  <c r="O125" i="48" s="1"/>
  <c r="G124" i="48"/>
  <c r="O124" i="48"/>
  <c r="G123" i="48"/>
  <c r="O123" i="48" s="1"/>
  <c r="G122" i="48"/>
  <c r="O122" i="48"/>
  <c r="G121" i="48"/>
  <c r="G120" i="48"/>
  <c r="O120" i="48"/>
  <c r="G119" i="48"/>
  <c r="O119" i="48" s="1"/>
  <c r="G118" i="48"/>
  <c r="O118" i="48" s="1"/>
  <c r="G117" i="48"/>
  <c r="O117" i="48"/>
  <c r="G116" i="48"/>
  <c r="O116" i="48" s="1"/>
  <c r="G115" i="48"/>
  <c r="O115" i="48" s="1"/>
  <c r="G114" i="48"/>
  <c r="O114" i="48" s="1"/>
  <c r="G113" i="48"/>
  <c r="G112" i="48"/>
  <c r="G111" i="48"/>
  <c r="O111" i="48" s="1"/>
  <c r="G110" i="48"/>
  <c r="O110" i="48" s="1"/>
  <c r="G109" i="48"/>
  <c r="O109" i="48"/>
  <c r="G108" i="48"/>
  <c r="G107" i="48"/>
  <c r="O107" i="48"/>
  <c r="G106" i="48"/>
  <c r="O106" i="48" s="1"/>
  <c r="G105" i="48"/>
  <c r="AI105" i="48" s="1"/>
  <c r="O105" i="48"/>
  <c r="G104" i="48"/>
  <c r="G103" i="48"/>
  <c r="O103" i="48"/>
  <c r="G102" i="48"/>
  <c r="O102" i="48" s="1"/>
  <c r="G101" i="48"/>
  <c r="O101" i="48" s="1"/>
  <c r="G100" i="48"/>
  <c r="O100" i="48"/>
  <c r="G99" i="48"/>
  <c r="O99" i="48" s="1"/>
  <c r="G98" i="48"/>
  <c r="O98" i="48" s="1"/>
  <c r="G97" i="48"/>
  <c r="G96" i="48"/>
  <c r="G95" i="48"/>
  <c r="O95" i="48" s="1"/>
  <c r="G94" i="48"/>
  <c r="O94" i="48" s="1"/>
  <c r="G93" i="48"/>
  <c r="O93" i="48" s="1"/>
  <c r="G92" i="48"/>
  <c r="O92" i="48"/>
  <c r="G91" i="48"/>
  <c r="O91" i="48" s="1"/>
  <c r="G90" i="48"/>
  <c r="O90" i="48"/>
  <c r="G89" i="48"/>
  <c r="G88" i="48"/>
  <c r="O88" i="48"/>
  <c r="G87" i="48"/>
  <c r="O87" i="48" s="1"/>
  <c r="G86" i="48"/>
  <c r="O86" i="48"/>
  <c r="G85" i="48"/>
  <c r="O85" i="48" s="1"/>
  <c r="G84" i="48"/>
  <c r="O84" i="48" s="1"/>
  <c r="G83" i="48"/>
  <c r="O83" i="48" s="1"/>
  <c r="G82" i="48"/>
  <c r="O82" i="48" s="1"/>
  <c r="G81" i="48"/>
  <c r="O81" i="48"/>
  <c r="G80" i="48"/>
  <c r="G79" i="48"/>
  <c r="O79" i="48" s="1"/>
  <c r="G78" i="48"/>
  <c r="O78" i="48" s="1"/>
  <c r="G77" i="48"/>
  <c r="O77" i="48" s="1"/>
  <c r="G76" i="48"/>
  <c r="G75" i="48"/>
  <c r="O75" i="48" s="1"/>
  <c r="G74" i="48"/>
  <c r="O74" i="48" s="1"/>
  <c r="G73" i="48"/>
  <c r="AI73" i="48" s="1"/>
  <c r="O73" i="48"/>
  <c r="G72" i="48"/>
  <c r="O72" i="48" s="1"/>
  <c r="G71" i="48"/>
  <c r="O71" i="48" s="1"/>
  <c r="G70" i="48"/>
  <c r="O70" i="48" s="1"/>
  <c r="G69" i="48"/>
  <c r="O69" i="48" s="1"/>
  <c r="G68" i="48"/>
  <c r="O68" i="48" s="1"/>
  <c r="G67" i="48"/>
  <c r="O67" i="48" s="1"/>
  <c r="G66" i="48"/>
  <c r="O66" i="48" s="1"/>
  <c r="G65" i="48"/>
  <c r="O65" i="48" s="1"/>
  <c r="G64" i="48"/>
  <c r="O64" i="48"/>
  <c r="G63" i="48"/>
  <c r="O63" i="48" s="1"/>
  <c r="G62" i="48"/>
  <c r="O62" i="48" s="1"/>
  <c r="G61" i="48"/>
  <c r="O61" i="48" s="1"/>
  <c r="G60" i="48"/>
  <c r="G59" i="48"/>
  <c r="O59" i="48" s="1"/>
  <c r="G58" i="48"/>
  <c r="O58" i="48"/>
  <c r="G57" i="48"/>
  <c r="O57" i="48" s="1"/>
  <c r="G56" i="48"/>
  <c r="O56" i="48" s="1"/>
  <c r="G55" i="48"/>
  <c r="O55" i="48" s="1"/>
  <c r="G54" i="48"/>
  <c r="O54" i="48" s="1"/>
  <c r="G53" i="48"/>
  <c r="O53" i="48" s="1"/>
  <c r="G52" i="48"/>
  <c r="O52" i="48" s="1"/>
  <c r="G51" i="48"/>
  <c r="O51" i="48" s="1"/>
  <c r="G50" i="48"/>
  <c r="O50" i="48"/>
  <c r="G49" i="48"/>
  <c r="O49" i="48" s="1"/>
  <c r="G48" i="48"/>
  <c r="G47" i="48"/>
  <c r="O47" i="48"/>
  <c r="G46" i="48"/>
  <c r="O46" i="48" s="1"/>
  <c r="G45" i="48"/>
  <c r="O45" i="48"/>
  <c r="G44" i="48"/>
  <c r="G43" i="48"/>
  <c r="O43" i="48" s="1"/>
  <c r="G42" i="48"/>
  <c r="O42" i="48" s="1"/>
  <c r="G41" i="48"/>
  <c r="O41" i="48" s="1"/>
  <c r="G40" i="48"/>
  <c r="O40" i="48" s="1"/>
  <c r="G39" i="48"/>
  <c r="O39" i="48" s="1"/>
  <c r="G38" i="48"/>
  <c r="O38" i="48" s="1"/>
  <c r="G37" i="48"/>
  <c r="O37" i="48" s="1"/>
  <c r="G36" i="48"/>
  <c r="O36" i="48" s="1"/>
  <c r="G35" i="48"/>
  <c r="O35" i="48"/>
  <c r="G34" i="48"/>
  <c r="O34" i="48" s="1"/>
  <c r="G33" i="48"/>
  <c r="O33" i="48" s="1"/>
  <c r="G32" i="48"/>
  <c r="G31" i="48"/>
  <c r="O31" i="48" s="1"/>
  <c r="G30" i="48"/>
  <c r="O30" i="48" s="1"/>
  <c r="G29" i="48"/>
  <c r="O29" i="48" s="1"/>
  <c r="G28" i="48"/>
  <c r="O28" i="48"/>
  <c r="G27" i="48"/>
  <c r="O27" i="48" s="1"/>
  <c r="G26" i="48"/>
  <c r="O26" i="48" s="1"/>
  <c r="G25" i="48"/>
  <c r="O25" i="48" s="1"/>
  <c r="G24" i="48"/>
  <c r="G23" i="48"/>
  <c r="O23" i="48" s="1"/>
  <c r="G22" i="48"/>
  <c r="O22" i="48"/>
  <c r="G21" i="48"/>
  <c r="O21" i="48" s="1"/>
  <c r="G20" i="48"/>
  <c r="O20" i="48"/>
  <c r="G19" i="48"/>
  <c r="O19" i="48" s="1"/>
  <c r="G18" i="48"/>
  <c r="O18" i="48" s="1"/>
  <c r="G17" i="48"/>
  <c r="O17" i="48" s="1"/>
  <c r="G16" i="48"/>
  <c r="G15" i="48"/>
  <c r="O15" i="48" s="1"/>
  <c r="G14" i="48"/>
  <c r="O14" i="48" s="1"/>
  <c r="G13" i="48"/>
  <c r="O13" i="48" s="1"/>
  <c r="G12" i="48"/>
  <c r="AI12" i="48" s="1"/>
  <c r="G11" i="48"/>
  <c r="O11" i="48" s="1"/>
  <c r="G10" i="48"/>
  <c r="O10" i="48"/>
  <c r="G9" i="48"/>
  <c r="O9" i="48" s="1"/>
  <c r="G8" i="48"/>
  <c r="O8" i="48" s="1"/>
  <c r="G7" i="48"/>
  <c r="O7" i="48" s="1"/>
  <c r="G6" i="48"/>
  <c r="O6" i="48" s="1"/>
  <c r="G5" i="48"/>
  <c r="O5" i="48" s="1"/>
  <c r="G4" i="48"/>
  <c r="O4" i="48" s="1"/>
  <c r="G3" i="48"/>
  <c r="O3" i="48"/>
  <c r="C56" i="4"/>
  <c r="C59" i="4" s="1"/>
  <c r="C159" i="4" s="1"/>
  <c r="CC127" i="42"/>
  <c r="CD127" i="42"/>
  <c r="CC256" i="42"/>
  <c r="CD256" i="42"/>
  <c r="CD206" i="42"/>
  <c r="CC206" i="42"/>
  <c r="CD184" i="42"/>
  <c r="CC184" i="42"/>
  <c r="CD123" i="42"/>
  <c r="CC123" i="42"/>
  <c r="CD94" i="42"/>
  <c r="CE94" i="42" s="1"/>
  <c r="CC94" i="42"/>
  <c r="CD91" i="42"/>
  <c r="CC91" i="42"/>
  <c r="CD70" i="42"/>
  <c r="CC70" i="42"/>
  <c r="CD61" i="42"/>
  <c r="CC61" i="42"/>
  <c r="CG91" i="42"/>
  <c r="CD284" i="42"/>
  <c r="CC284" i="42"/>
  <c r="CD281" i="42"/>
  <c r="CC281" i="42"/>
  <c r="CE281" i="42" s="1"/>
  <c r="CD280" i="42"/>
  <c r="CC280" i="42"/>
  <c r="CD277" i="42"/>
  <c r="CC277" i="42"/>
  <c r="CD275" i="42"/>
  <c r="CC275" i="42"/>
  <c r="CD274" i="42"/>
  <c r="CC274" i="42"/>
  <c r="CD273" i="42"/>
  <c r="CC273" i="42"/>
  <c r="CD258" i="42"/>
  <c r="CC258" i="42"/>
  <c r="CE258" i="42" s="1"/>
  <c r="CD257" i="42"/>
  <c r="CE257" i="42" s="1"/>
  <c r="CC257" i="42"/>
  <c r="CD255" i="42"/>
  <c r="CE255" i="42" s="1"/>
  <c r="CC255" i="42"/>
  <c r="CD247" i="42"/>
  <c r="CC247" i="42"/>
  <c r="CE247" i="42"/>
  <c r="CD246" i="42"/>
  <c r="CC246" i="42"/>
  <c r="CD237" i="42"/>
  <c r="CC237" i="42"/>
  <c r="CE237" i="42" s="1"/>
  <c r="CD214" i="42"/>
  <c r="CC214" i="42"/>
  <c r="CD198" i="42"/>
  <c r="CC198" i="42"/>
  <c r="CE198" i="42" s="1"/>
  <c r="CD181" i="42"/>
  <c r="CC181" i="42"/>
  <c r="CD180" i="42"/>
  <c r="CC180" i="42"/>
  <c r="CD176" i="42"/>
  <c r="CC176" i="42"/>
  <c r="CE176" i="42" s="1"/>
  <c r="CD148" i="42"/>
  <c r="CC148" i="42"/>
  <c r="CD130" i="42"/>
  <c r="CC130" i="42"/>
  <c r="CE130" i="42" s="1"/>
  <c r="CD109" i="42"/>
  <c r="CC109" i="42"/>
  <c r="CE109" i="42" s="1"/>
  <c r="CD107" i="42"/>
  <c r="CC107" i="42"/>
  <c r="CD104" i="42"/>
  <c r="CC104" i="42"/>
  <c r="CD102" i="42"/>
  <c r="CC102" i="42"/>
  <c r="CD101" i="42"/>
  <c r="CC101" i="42"/>
  <c r="CD99" i="42"/>
  <c r="CC99" i="42"/>
  <c r="CD98" i="42"/>
  <c r="CE98" i="42" s="1"/>
  <c r="CC98" i="42"/>
  <c r="CD96" i="42"/>
  <c r="CC96" i="42"/>
  <c r="CD59" i="42"/>
  <c r="CC59" i="42"/>
  <c r="CD56" i="42"/>
  <c r="CE56" i="42" s="1"/>
  <c r="CC56" i="42"/>
  <c r="CD55" i="42"/>
  <c r="CC55" i="42"/>
  <c r="CD33" i="42"/>
  <c r="CC33" i="42"/>
  <c r="CD28" i="42"/>
  <c r="CE28" i="42" s="1"/>
  <c r="CC28" i="42"/>
  <c r="CD22" i="42"/>
  <c r="CC22" i="42"/>
  <c r="BU285" i="42"/>
  <c r="BU284" i="42"/>
  <c r="BU283" i="42"/>
  <c r="BU282" i="42"/>
  <c r="BU281" i="42"/>
  <c r="BU280" i="42"/>
  <c r="BU279" i="42"/>
  <c r="BU278" i="42"/>
  <c r="BU277" i="42"/>
  <c r="BU276" i="42"/>
  <c r="BU275" i="42"/>
  <c r="BU274" i="42"/>
  <c r="BU273" i="42"/>
  <c r="BU272" i="42"/>
  <c r="BU271" i="42"/>
  <c r="BU270" i="42"/>
  <c r="BU269" i="42"/>
  <c r="BU268" i="42"/>
  <c r="BU267" i="42"/>
  <c r="BU266" i="42"/>
  <c r="BU265" i="42"/>
  <c r="BU264" i="42"/>
  <c r="BU263" i="42"/>
  <c r="BU262" i="42"/>
  <c r="BU261" i="42"/>
  <c r="BU260" i="42"/>
  <c r="BU259" i="42"/>
  <c r="BU258" i="42"/>
  <c r="BU257" i="42"/>
  <c r="BU256" i="42"/>
  <c r="BU255" i="42"/>
  <c r="BU254" i="42"/>
  <c r="BU253" i="42"/>
  <c r="BU252" i="42"/>
  <c r="BU251" i="42"/>
  <c r="BU250" i="42"/>
  <c r="BU249" i="42"/>
  <c r="BW249" i="42" s="1"/>
  <c r="BU248" i="42"/>
  <c r="BU247" i="42"/>
  <c r="BU246" i="42"/>
  <c r="BU245" i="42"/>
  <c r="BU244" i="42"/>
  <c r="BU243" i="42"/>
  <c r="BU242" i="42"/>
  <c r="BU241" i="42"/>
  <c r="BU240" i="42"/>
  <c r="BU239" i="42"/>
  <c r="BU238" i="42"/>
  <c r="BU237" i="42"/>
  <c r="BU236" i="42"/>
  <c r="BU235" i="42"/>
  <c r="BU234" i="42"/>
  <c r="BU233" i="42"/>
  <c r="BU232" i="42"/>
  <c r="BU231" i="42"/>
  <c r="BU230" i="42"/>
  <c r="BU229" i="42"/>
  <c r="BU228" i="42"/>
  <c r="BU227" i="42"/>
  <c r="BU226" i="42"/>
  <c r="BU225" i="42"/>
  <c r="BU224" i="42"/>
  <c r="BU223" i="42"/>
  <c r="BU222" i="42"/>
  <c r="BU221" i="42"/>
  <c r="BU220" i="42"/>
  <c r="BU219" i="42"/>
  <c r="BU218" i="42"/>
  <c r="BU217" i="42"/>
  <c r="BU216" i="42"/>
  <c r="BU215" i="42"/>
  <c r="BU214" i="42"/>
  <c r="BU213" i="42"/>
  <c r="BU212" i="42"/>
  <c r="BU211" i="42"/>
  <c r="BU210" i="42"/>
  <c r="BU209" i="42"/>
  <c r="BU208" i="42"/>
  <c r="BU207" i="42"/>
  <c r="BU206" i="42"/>
  <c r="BU205" i="42"/>
  <c r="BU204" i="42"/>
  <c r="BU203" i="42"/>
  <c r="BU202" i="42"/>
  <c r="BU201" i="42"/>
  <c r="BU200" i="42"/>
  <c r="BU199" i="42"/>
  <c r="BU198" i="42"/>
  <c r="BU197" i="42"/>
  <c r="BU196" i="42"/>
  <c r="BU195" i="42"/>
  <c r="BU194" i="42"/>
  <c r="BU193" i="42"/>
  <c r="BU192" i="42"/>
  <c r="BU191" i="42"/>
  <c r="BU190" i="42"/>
  <c r="BU189" i="42"/>
  <c r="BU188" i="42"/>
  <c r="BU187" i="42"/>
  <c r="BU186" i="42"/>
  <c r="BU185" i="42"/>
  <c r="BU184" i="42"/>
  <c r="BU183" i="42"/>
  <c r="BU182" i="42"/>
  <c r="BU181" i="42"/>
  <c r="BU180" i="42"/>
  <c r="BU179" i="42"/>
  <c r="BU178" i="42"/>
  <c r="BU177" i="42"/>
  <c r="BU176" i="42"/>
  <c r="BU175" i="42"/>
  <c r="BU174" i="42"/>
  <c r="BU173" i="42"/>
  <c r="BU172" i="42"/>
  <c r="BU171" i="42"/>
  <c r="BU170" i="42"/>
  <c r="BU169" i="42"/>
  <c r="BU168" i="42"/>
  <c r="BU167" i="42"/>
  <c r="BU166" i="42"/>
  <c r="BU165" i="42"/>
  <c r="BU164" i="42"/>
  <c r="BU163" i="42"/>
  <c r="BU162" i="42"/>
  <c r="BU161" i="42"/>
  <c r="BU160" i="42"/>
  <c r="BU159" i="42"/>
  <c r="BU158" i="42"/>
  <c r="BU157" i="42"/>
  <c r="BU156" i="42"/>
  <c r="BU155" i="42"/>
  <c r="BU154" i="42"/>
  <c r="BU153" i="42"/>
  <c r="BU152" i="42"/>
  <c r="BU151" i="42"/>
  <c r="BU150" i="42"/>
  <c r="BU149" i="42"/>
  <c r="BU148" i="42"/>
  <c r="BU147" i="42"/>
  <c r="BU146" i="42"/>
  <c r="BU145" i="42"/>
  <c r="BU144" i="42"/>
  <c r="BU143" i="42"/>
  <c r="BU142" i="42"/>
  <c r="BU141" i="42"/>
  <c r="BU140" i="42"/>
  <c r="BU139" i="42"/>
  <c r="BU138" i="42"/>
  <c r="BU137" i="42"/>
  <c r="BU136" i="42"/>
  <c r="BU135" i="42"/>
  <c r="BU134" i="42"/>
  <c r="BU133" i="42"/>
  <c r="BU132" i="42"/>
  <c r="BU131" i="42"/>
  <c r="BU130" i="42"/>
  <c r="BU129" i="42"/>
  <c r="BU128" i="42"/>
  <c r="BU127" i="42"/>
  <c r="BU126" i="42"/>
  <c r="BU125" i="42"/>
  <c r="BU124" i="42"/>
  <c r="BU123" i="42"/>
  <c r="BU122" i="42"/>
  <c r="BU121" i="42"/>
  <c r="BU120" i="42"/>
  <c r="BU119" i="42"/>
  <c r="BU118" i="42"/>
  <c r="BU117" i="42"/>
  <c r="BU116" i="42"/>
  <c r="BU115" i="42"/>
  <c r="BU114" i="42"/>
  <c r="BU113" i="42"/>
  <c r="BU112" i="42"/>
  <c r="BU111" i="42"/>
  <c r="BU110" i="42"/>
  <c r="BU109" i="42"/>
  <c r="BU108" i="42"/>
  <c r="BU107" i="42"/>
  <c r="BU106" i="42"/>
  <c r="BU105" i="42"/>
  <c r="BU104" i="42"/>
  <c r="BU103" i="42"/>
  <c r="BU102" i="42"/>
  <c r="BU101" i="42"/>
  <c r="BU100" i="42"/>
  <c r="BU99" i="42"/>
  <c r="BU98" i="42"/>
  <c r="BU97" i="42"/>
  <c r="BU96" i="42"/>
  <c r="BU95" i="42"/>
  <c r="BU94" i="42"/>
  <c r="BU93" i="42"/>
  <c r="BU92" i="42"/>
  <c r="BU91" i="42"/>
  <c r="BU90" i="42"/>
  <c r="BU89" i="42"/>
  <c r="BU88" i="42"/>
  <c r="BU87" i="42"/>
  <c r="BU86" i="42"/>
  <c r="BU85" i="42"/>
  <c r="BU84" i="42"/>
  <c r="BU83" i="42"/>
  <c r="BU82" i="42"/>
  <c r="BU81" i="42"/>
  <c r="BU80" i="42"/>
  <c r="BU79" i="42"/>
  <c r="BU78" i="42"/>
  <c r="BU77" i="42"/>
  <c r="BU76" i="42"/>
  <c r="BU75" i="42"/>
  <c r="BU74" i="42"/>
  <c r="BU73" i="42"/>
  <c r="BU72" i="42"/>
  <c r="BU71" i="42"/>
  <c r="BU70" i="42"/>
  <c r="BU69" i="42"/>
  <c r="BU68" i="42"/>
  <c r="BU67" i="42"/>
  <c r="BU66" i="42"/>
  <c r="BU65" i="42"/>
  <c r="BU64" i="42"/>
  <c r="BU63" i="42"/>
  <c r="BU62" i="42"/>
  <c r="BU61" i="42"/>
  <c r="BU60" i="42"/>
  <c r="BU59" i="42"/>
  <c r="BU58" i="42"/>
  <c r="BU57" i="42"/>
  <c r="BU56" i="42"/>
  <c r="BU55" i="42"/>
  <c r="BU54" i="42"/>
  <c r="BU53" i="42"/>
  <c r="BU52" i="42"/>
  <c r="BU51" i="42"/>
  <c r="BU50" i="42"/>
  <c r="BU49" i="42"/>
  <c r="BU48" i="42"/>
  <c r="BU47" i="42"/>
  <c r="BU46" i="42"/>
  <c r="BU45" i="42"/>
  <c r="BU44" i="42"/>
  <c r="BU43" i="42"/>
  <c r="BU42" i="42"/>
  <c r="BU41" i="42"/>
  <c r="BU40" i="42"/>
  <c r="BU39" i="42"/>
  <c r="BU38" i="42"/>
  <c r="BU37" i="42"/>
  <c r="BU36" i="42"/>
  <c r="BU35" i="42"/>
  <c r="BU34" i="42"/>
  <c r="BU33" i="42"/>
  <c r="BU32" i="42"/>
  <c r="BU31" i="42"/>
  <c r="BU30" i="42"/>
  <c r="BU29" i="42"/>
  <c r="BU28" i="42"/>
  <c r="BU27" i="42"/>
  <c r="BU26" i="42"/>
  <c r="BU25" i="42"/>
  <c r="BW25" i="42" s="1"/>
  <c r="BU24" i="42"/>
  <c r="BU23" i="42"/>
  <c r="BU22" i="42"/>
  <c r="BU21" i="42"/>
  <c r="BU20" i="42"/>
  <c r="BU19" i="42"/>
  <c r="BU18" i="42"/>
  <c r="BU17" i="42"/>
  <c r="BU16" i="42"/>
  <c r="BU15" i="42"/>
  <c r="BU14" i="42"/>
  <c r="BU13" i="42"/>
  <c r="BU12" i="42"/>
  <c r="BU11" i="42"/>
  <c r="BU10" i="42"/>
  <c r="BU9" i="42"/>
  <c r="BU8" i="42"/>
  <c r="BU7" i="42"/>
  <c r="BU6" i="42"/>
  <c r="BU5" i="42"/>
  <c r="BW5" i="42" s="1"/>
  <c r="BI285" i="42"/>
  <c r="BI284" i="42"/>
  <c r="BI283" i="42"/>
  <c r="BW283" i="42"/>
  <c r="BI282" i="42"/>
  <c r="BW282" i="42" s="1"/>
  <c r="BI281" i="42"/>
  <c r="BI280" i="42"/>
  <c r="BI279" i="42"/>
  <c r="BW279" i="42" s="1"/>
  <c r="BI278" i="42"/>
  <c r="BW278" i="42" s="1"/>
  <c r="BI277" i="42"/>
  <c r="BW277" i="42" s="1"/>
  <c r="BI276" i="42"/>
  <c r="BI275" i="42"/>
  <c r="BW275" i="42" s="1"/>
  <c r="BI274" i="42"/>
  <c r="BW274" i="42"/>
  <c r="BI273" i="42"/>
  <c r="BW273" i="42" s="1"/>
  <c r="BI272" i="42"/>
  <c r="BI271" i="42"/>
  <c r="BW271" i="42" s="1"/>
  <c r="BI270" i="42"/>
  <c r="BW270" i="42" s="1"/>
  <c r="BI269" i="42"/>
  <c r="BW269" i="42" s="1"/>
  <c r="BI268" i="42"/>
  <c r="BW268" i="42" s="1"/>
  <c r="BI267" i="42"/>
  <c r="BW267" i="42" s="1"/>
  <c r="BI266" i="42"/>
  <c r="BW266" i="42" s="1"/>
  <c r="BI265" i="42"/>
  <c r="BW265" i="42" s="1"/>
  <c r="BI264" i="42"/>
  <c r="BI263" i="42"/>
  <c r="BW263" i="42"/>
  <c r="BI262" i="42"/>
  <c r="BW262" i="42" s="1"/>
  <c r="BI261" i="42"/>
  <c r="BI260" i="42"/>
  <c r="BW260" i="42"/>
  <c r="BI259" i="42"/>
  <c r="BW259" i="42" s="1"/>
  <c r="BI258" i="42"/>
  <c r="BW258" i="42"/>
  <c r="BI257" i="42"/>
  <c r="BI256" i="42"/>
  <c r="BI255" i="42"/>
  <c r="BI254" i="42"/>
  <c r="BW254" i="42" s="1"/>
  <c r="BI253" i="42"/>
  <c r="BI252" i="42"/>
  <c r="BI251" i="42"/>
  <c r="BW251" i="42" s="1"/>
  <c r="BI250" i="42"/>
  <c r="BW250" i="42" s="1"/>
  <c r="BI249" i="42"/>
  <c r="BI248" i="42"/>
  <c r="BI247" i="42"/>
  <c r="BI246" i="42"/>
  <c r="BW246" i="42" s="1"/>
  <c r="BI245" i="42"/>
  <c r="BW245" i="42" s="1"/>
  <c r="BI244" i="42"/>
  <c r="BI243" i="42"/>
  <c r="BW243" i="42" s="1"/>
  <c r="BI242" i="42"/>
  <c r="BW242" i="42"/>
  <c r="BI241" i="42"/>
  <c r="BI240" i="42"/>
  <c r="BI239" i="42"/>
  <c r="BW239" i="42" s="1"/>
  <c r="BI238" i="42"/>
  <c r="BW238" i="42" s="1"/>
  <c r="BI237" i="42"/>
  <c r="BI236" i="42"/>
  <c r="BW236" i="42" s="1"/>
  <c r="BI235" i="42"/>
  <c r="BW235" i="42" s="1"/>
  <c r="BI234" i="42"/>
  <c r="BW234" i="42" s="1"/>
  <c r="BI233" i="42"/>
  <c r="BI232" i="42"/>
  <c r="BI231" i="42"/>
  <c r="BW231" i="42" s="1"/>
  <c r="BI230" i="42"/>
  <c r="BW230" i="42" s="1"/>
  <c r="BI229" i="42"/>
  <c r="BW229" i="42" s="1"/>
  <c r="BI228" i="42"/>
  <c r="BI227" i="42"/>
  <c r="BW227" i="42" s="1"/>
  <c r="BI226" i="42"/>
  <c r="BW226" i="42" s="1"/>
  <c r="BI225" i="42"/>
  <c r="BW225" i="42" s="1"/>
  <c r="BI224" i="42"/>
  <c r="BI223" i="42"/>
  <c r="BW223" i="42" s="1"/>
  <c r="BI222" i="42"/>
  <c r="BW222" i="42" s="1"/>
  <c r="BI221" i="42"/>
  <c r="BI220" i="42"/>
  <c r="BI219" i="42"/>
  <c r="BW219" i="42" s="1"/>
  <c r="BI218" i="42"/>
  <c r="BW218" i="42" s="1"/>
  <c r="BI217" i="42"/>
  <c r="BW217" i="42" s="1"/>
  <c r="BI216" i="42"/>
  <c r="BW216" i="42" s="1"/>
  <c r="BI215" i="42"/>
  <c r="BW215" i="42" s="1"/>
  <c r="BI214" i="42"/>
  <c r="BW214" i="42"/>
  <c r="BI213" i="42"/>
  <c r="BI212" i="42"/>
  <c r="BI211" i="42"/>
  <c r="BW211" i="42"/>
  <c r="BI210" i="42"/>
  <c r="BW210" i="42" s="1"/>
  <c r="BI209" i="42"/>
  <c r="BI208" i="42"/>
  <c r="BI207" i="42"/>
  <c r="BW207" i="42" s="1"/>
  <c r="BI206" i="42"/>
  <c r="BW206" i="42" s="1"/>
  <c r="CE206" i="42" s="1"/>
  <c r="BI205" i="42"/>
  <c r="BI204" i="42"/>
  <c r="BI203" i="42"/>
  <c r="BW203" i="42" s="1"/>
  <c r="BI202" i="42"/>
  <c r="BW202" i="42" s="1"/>
  <c r="BI201" i="42"/>
  <c r="BW201" i="42" s="1"/>
  <c r="BI200" i="42"/>
  <c r="BW200" i="42" s="1"/>
  <c r="BI199" i="42"/>
  <c r="BW199" i="42" s="1"/>
  <c r="BI198" i="42"/>
  <c r="BW198" i="42" s="1"/>
  <c r="BI197" i="42"/>
  <c r="BI196" i="42"/>
  <c r="BW196" i="42" s="1"/>
  <c r="BI195" i="42"/>
  <c r="BW195" i="42"/>
  <c r="BI194" i="42"/>
  <c r="BW194" i="42" s="1"/>
  <c r="BI193" i="42"/>
  <c r="BI192" i="42"/>
  <c r="BI191" i="42"/>
  <c r="BW191" i="42" s="1"/>
  <c r="BI190" i="42"/>
  <c r="BW190" i="42" s="1"/>
  <c r="BI189" i="42"/>
  <c r="BI188" i="42"/>
  <c r="BW188" i="42" s="1"/>
  <c r="BI187" i="42"/>
  <c r="BW187" i="42" s="1"/>
  <c r="BI186" i="42"/>
  <c r="BW186" i="42" s="1"/>
  <c r="BI185" i="42"/>
  <c r="BW185" i="42" s="1"/>
  <c r="BI184" i="42"/>
  <c r="BW184" i="42" s="1"/>
  <c r="BI183" i="42"/>
  <c r="BW183" i="42" s="1"/>
  <c r="BI182" i="42"/>
  <c r="BW182" i="42" s="1"/>
  <c r="BI181" i="42"/>
  <c r="BI180" i="42"/>
  <c r="BI179" i="42"/>
  <c r="BW179" i="42" s="1"/>
  <c r="BI178" i="42"/>
  <c r="BW178" i="42" s="1"/>
  <c r="BI177" i="42"/>
  <c r="BI176" i="42"/>
  <c r="BW176" i="42" s="1"/>
  <c r="BI175" i="42"/>
  <c r="BW175" i="42" s="1"/>
  <c r="BI174" i="42"/>
  <c r="BW174" i="42" s="1"/>
  <c r="BI173" i="42"/>
  <c r="BW173" i="42" s="1"/>
  <c r="BI172" i="42"/>
  <c r="BI171" i="42"/>
  <c r="BW171" i="42" s="1"/>
  <c r="BI170" i="42"/>
  <c r="BW170" i="42"/>
  <c r="BI169" i="42"/>
  <c r="BI168" i="42"/>
  <c r="BW168" i="42" s="1"/>
  <c r="BI167" i="42"/>
  <c r="BW167" i="42" s="1"/>
  <c r="BI166" i="42"/>
  <c r="BW166" i="42" s="1"/>
  <c r="BI165" i="42"/>
  <c r="BI164" i="42"/>
  <c r="BI163" i="42"/>
  <c r="BW163" i="42" s="1"/>
  <c r="BI162" i="42"/>
  <c r="BW162" i="42" s="1"/>
  <c r="BI161" i="42"/>
  <c r="BW161" i="42" s="1"/>
  <c r="BI160" i="42"/>
  <c r="BI159" i="42"/>
  <c r="BW159" i="42" s="1"/>
  <c r="BI158" i="42"/>
  <c r="BW158" i="42" s="1"/>
  <c r="BI157" i="42"/>
  <c r="BI156" i="42"/>
  <c r="BI155" i="42"/>
  <c r="BW155" i="42"/>
  <c r="BI154" i="42"/>
  <c r="BW154" i="42" s="1"/>
  <c r="BI153" i="42"/>
  <c r="BI152" i="42"/>
  <c r="BW152" i="42"/>
  <c r="BI151" i="42"/>
  <c r="BW151" i="42" s="1"/>
  <c r="BI150" i="42"/>
  <c r="BW150" i="42" s="1"/>
  <c r="BI149" i="42"/>
  <c r="BW149" i="42" s="1"/>
  <c r="BI148" i="42"/>
  <c r="BI147" i="42"/>
  <c r="BW147" i="42" s="1"/>
  <c r="BI146" i="42"/>
  <c r="BW146" i="42" s="1"/>
  <c r="BI145" i="42"/>
  <c r="BI144" i="42"/>
  <c r="BW144" i="42" s="1"/>
  <c r="BI143" i="42"/>
  <c r="BW143" i="42" s="1"/>
  <c r="BI142" i="42"/>
  <c r="BW142" i="42" s="1"/>
  <c r="BI141" i="42"/>
  <c r="BI140" i="42"/>
  <c r="BI139" i="42"/>
  <c r="BW139" i="42" s="1"/>
  <c r="BI138" i="42"/>
  <c r="BW138" i="42"/>
  <c r="BI137" i="42"/>
  <c r="BW137" i="42" s="1"/>
  <c r="BI136" i="42"/>
  <c r="BI135" i="42"/>
  <c r="BW135" i="42" s="1"/>
  <c r="BI134" i="42"/>
  <c r="BW134" i="42" s="1"/>
  <c r="BI133" i="42"/>
  <c r="BW133" i="42" s="1"/>
  <c r="BI132" i="42"/>
  <c r="BI131" i="42"/>
  <c r="BW131" i="42" s="1"/>
  <c r="BI130" i="42"/>
  <c r="BW130" i="42"/>
  <c r="BI129" i="42"/>
  <c r="BI128" i="42"/>
  <c r="BW128" i="42" s="1"/>
  <c r="BI127" i="42"/>
  <c r="BW127" i="42" s="1"/>
  <c r="CE127" i="42" s="1"/>
  <c r="BI126" i="42"/>
  <c r="BW126" i="42" s="1"/>
  <c r="BI125" i="42"/>
  <c r="BI124" i="42"/>
  <c r="BW124" i="42" s="1"/>
  <c r="BI123" i="42"/>
  <c r="BW123" i="42" s="1"/>
  <c r="CE123" i="42" s="1"/>
  <c r="BI122" i="42"/>
  <c r="BW122" i="42" s="1"/>
  <c r="BI121" i="42"/>
  <c r="BW121" i="42" s="1"/>
  <c r="BI120" i="42"/>
  <c r="BI119" i="42"/>
  <c r="BW119" i="42" s="1"/>
  <c r="BI118" i="42"/>
  <c r="BW118" i="42"/>
  <c r="BI117" i="42"/>
  <c r="BI116" i="42"/>
  <c r="BI115" i="42"/>
  <c r="BW115" i="42" s="1"/>
  <c r="BI114" i="42"/>
  <c r="BW114" i="42" s="1"/>
  <c r="BI113" i="42"/>
  <c r="BW113" i="42" s="1"/>
  <c r="BI112" i="42"/>
  <c r="BI111" i="42"/>
  <c r="BW111" i="42" s="1"/>
  <c r="BI110" i="42"/>
  <c r="BW110" i="42" s="1"/>
  <c r="BI109" i="42"/>
  <c r="BI108" i="42"/>
  <c r="BI107" i="42"/>
  <c r="BW107" i="42" s="1"/>
  <c r="BI106" i="42"/>
  <c r="BW106" i="42"/>
  <c r="BI105" i="42"/>
  <c r="BW105" i="42" s="1"/>
  <c r="BI104" i="42"/>
  <c r="BI103" i="42"/>
  <c r="BW103" i="42" s="1"/>
  <c r="BI102" i="42"/>
  <c r="BW102" i="42" s="1"/>
  <c r="BI101" i="42"/>
  <c r="BI100" i="42"/>
  <c r="BI99" i="42"/>
  <c r="BI98" i="42"/>
  <c r="BI97" i="42"/>
  <c r="BW97" i="42" s="1"/>
  <c r="BI96" i="42"/>
  <c r="BI95" i="42"/>
  <c r="BW95" i="42" s="1"/>
  <c r="BI94" i="42"/>
  <c r="BW94" i="42"/>
  <c r="BI93" i="42"/>
  <c r="BI92" i="42"/>
  <c r="BW92" i="42" s="1"/>
  <c r="BI91" i="42"/>
  <c r="BW91" i="42" s="1"/>
  <c r="BI90" i="42"/>
  <c r="BW90" i="42" s="1"/>
  <c r="BI89" i="42"/>
  <c r="BW89" i="42" s="1"/>
  <c r="BI88" i="42"/>
  <c r="BI87" i="42"/>
  <c r="BW87" i="42" s="1"/>
  <c r="BI86" i="42"/>
  <c r="BW86" i="42" s="1"/>
  <c r="BI85" i="42"/>
  <c r="BI84" i="42"/>
  <c r="BI83" i="42"/>
  <c r="BW83" i="42" s="1"/>
  <c r="BI82" i="42"/>
  <c r="BW82" i="42" s="1"/>
  <c r="BI81" i="42"/>
  <c r="BW81" i="42" s="1"/>
  <c r="BI80" i="42"/>
  <c r="BI79" i="42"/>
  <c r="BW79" i="42" s="1"/>
  <c r="BI78" i="42"/>
  <c r="BW78" i="42"/>
  <c r="BI77" i="42"/>
  <c r="BI76" i="42"/>
  <c r="BI75" i="42"/>
  <c r="BW75" i="42"/>
  <c r="BI74" i="42"/>
  <c r="BW74" i="42" s="1"/>
  <c r="BI73" i="42"/>
  <c r="BW73" i="42"/>
  <c r="BI72" i="42"/>
  <c r="BI71" i="42"/>
  <c r="BW71" i="42" s="1"/>
  <c r="BI70" i="42"/>
  <c r="BW70" i="42" s="1"/>
  <c r="BI69" i="42"/>
  <c r="BI68" i="42"/>
  <c r="BW68" i="42" s="1"/>
  <c r="BI67" i="42"/>
  <c r="BW67" i="42" s="1"/>
  <c r="BI66" i="42"/>
  <c r="BW66" i="42" s="1"/>
  <c r="BI65" i="42"/>
  <c r="BW65" i="42"/>
  <c r="BI64" i="42"/>
  <c r="BI63" i="42"/>
  <c r="BW63" i="42" s="1"/>
  <c r="BI62" i="42"/>
  <c r="BW62" i="42" s="1"/>
  <c r="BI61" i="42"/>
  <c r="BI60" i="42"/>
  <c r="BW60" i="42" s="1"/>
  <c r="BI59" i="42"/>
  <c r="BW59" i="42" s="1"/>
  <c r="BI58" i="42"/>
  <c r="BW58" i="42" s="1"/>
  <c r="BI57" i="42"/>
  <c r="BW57" i="42" s="1"/>
  <c r="BI56" i="42"/>
  <c r="BW56" i="42" s="1"/>
  <c r="BI55" i="42"/>
  <c r="BW55" i="42" s="1"/>
  <c r="BI54" i="42"/>
  <c r="BW54" i="42" s="1"/>
  <c r="BI53" i="42"/>
  <c r="BI52" i="42"/>
  <c r="BI51" i="42"/>
  <c r="BW51" i="42" s="1"/>
  <c r="BI50" i="42"/>
  <c r="BW50" i="42"/>
  <c r="BI49" i="42"/>
  <c r="BW49" i="42" s="1"/>
  <c r="BI48" i="42"/>
  <c r="BI47" i="42"/>
  <c r="BW47" i="42" s="1"/>
  <c r="BI46" i="42"/>
  <c r="BW46" i="42" s="1"/>
  <c r="BI45" i="42"/>
  <c r="BI44" i="42"/>
  <c r="BI43" i="42"/>
  <c r="BW43" i="42" s="1"/>
  <c r="BI42" i="42"/>
  <c r="BW42" i="42" s="1"/>
  <c r="BI41" i="42"/>
  <c r="BW41" i="42" s="1"/>
  <c r="BI40" i="42"/>
  <c r="BW40" i="42" s="1"/>
  <c r="BI39" i="42"/>
  <c r="BW39" i="42"/>
  <c r="BI38" i="42"/>
  <c r="BW38" i="42" s="1"/>
  <c r="BI37" i="42"/>
  <c r="BI36" i="42"/>
  <c r="BW36" i="42" s="1"/>
  <c r="BI35" i="42"/>
  <c r="BW35" i="42" s="1"/>
  <c r="BI34" i="42"/>
  <c r="BW34" i="42" s="1"/>
  <c r="BI33" i="42"/>
  <c r="BI32" i="42"/>
  <c r="BW32" i="42" s="1"/>
  <c r="BI31" i="42"/>
  <c r="BW31" i="42" s="1"/>
  <c r="BI30" i="42"/>
  <c r="BW30" i="42"/>
  <c r="BI29" i="42"/>
  <c r="BI28" i="42"/>
  <c r="BI27" i="42"/>
  <c r="BW27" i="42"/>
  <c r="BI26" i="42"/>
  <c r="BW26" i="42" s="1"/>
  <c r="BI25" i="42"/>
  <c r="BI24" i="42"/>
  <c r="BW24" i="42" s="1"/>
  <c r="BI23" i="42"/>
  <c r="BW23" i="42" s="1"/>
  <c r="BI22" i="42"/>
  <c r="BW22" i="42" s="1"/>
  <c r="BI21" i="42"/>
  <c r="BI20" i="42"/>
  <c r="BI19" i="42"/>
  <c r="BW19" i="42" s="1"/>
  <c r="BI18" i="42"/>
  <c r="BW18" i="42"/>
  <c r="BI17" i="42"/>
  <c r="BW17" i="42" s="1"/>
  <c r="BI16" i="42"/>
  <c r="BI15" i="42"/>
  <c r="BW15" i="42"/>
  <c r="BI14" i="42"/>
  <c r="BW14" i="42" s="1"/>
  <c r="BI13" i="42"/>
  <c r="BI12" i="42"/>
  <c r="BW12" i="42" s="1"/>
  <c r="BI11" i="42"/>
  <c r="BW11" i="42" s="1"/>
  <c r="BI10" i="42"/>
  <c r="BW10" i="42" s="1"/>
  <c r="BI9" i="42"/>
  <c r="BW9" i="42"/>
  <c r="BI8" i="42"/>
  <c r="BI7" i="42"/>
  <c r="BW7" i="42"/>
  <c r="BI6" i="42"/>
  <c r="BW6" i="42" s="1"/>
  <c r="BI5" i="42"/>
  <c r="CE22" i="42"/>
  <c r="CE275" i="42"/>
  <c r="BW257" i="42"/>
  <c r="BW281" i="42"/>
  <c r="BW37" i="42"/>
  <c r="BW45" i="42"/>
  <c r="BW61" i="42"/>
  <c r="BW69" i="42"/>
  <c r="BW77" i="42"/>
  <c r="BW93" i="42"/>
  <c r="BW117" i="42"/>
  <c r="BW157" i="42"/>
  <c r="BW181" i="42"/>
  <c r="BW189" i="42"/>
  <c r="BW205" i="42"/>
  <c r="BW237" i="42"/>
  <c r="BW253" i="42"/>
  <c r="BW261" i="42"/>
  <c r="BW255" i="42"/>
  <c r="BW247" i="42"/>
  <c r="CE181" i="42"/>
  <c r="BW109" i="42"/>
  <c r="BW101" i="42"/>
  <c r="BW99" i="42"/>
  <c r="BW98" i="42"/>
  <c r="CE91" i="42"/>
  <c r="CE59" i="42"/>
  <c r="CE107" i="42"/>
  <c r="CE148" i="42"/>
  <c r="CE273" i="42"/>
  <c r="CE280" i="42"/>
  <c r="CE184" i="42"/>
  <c r="BW33" i="42"/>
  <c r="CE246" i="42"/>
  <c r="CE102" i="42"/>
  <c r="CE284" i="42"/>
  <c r="CE61" i="42"/>
  <c r="CE214" i="42"/>
  <c r="AL5" i="42"/>
  <c r="AS5" i="42"/>
  <c r="AL6" i="42"/>
  <c r="AS6" i="42"/>
  <c r="AL7" i="42"/>
  <c r="AS7" i="42"/>
  <c r="AL8" i="42"/>
  <c r="AS8" i="42"/>
  <c r="AL9" i="42"/>
  <c r="AS9" i="42"/>
  <c r="AL10" i="42"/>
  <c r="AS10" i="42"/>
  <c r="AL11" i="42"/>
  <c r="AS11" i="42"/>
  <c r="AL12" i="42"/>
  <c r="AS12" i="42"/>
  <c r="AL13" i="42"/>
  <c r="AS13" i="42"/>
  <c r="AL14" i="42"/>
  <c r="AS14" i="42"/>
  <c r="AL15" i="42"/>
  <c r="AS15" i="42"/>
  <c r="AL16" i="42"/>
  <c r="AS16" i="42"/>
  <c r="AL17" i="42"/>
  <c r="AS17" i="42"/>
  <c r="AL18" i="42"/>
  <c r="AS18" i="42"/>
  <c r="AL19" i="42"/>
  <c r="AS19" i="42"/>
  <c r="AL20" i="42"/>
  <c r="AS20" i="42"/>
  <c r="AL21" i="42"/>
  <c r="AS21" i="42"/>
  <c r="AL22" i="42"/>
  <c r="AS22" i="42"/>
  <c r="AL23" i="42"/>
  <c r="AS23" i="42"/>
  <c r="AL24" i="42"/>
  <c r="AS24" i="42"/>
  <c r="AL25" i="42"/>
  <c r="AS25" i="42"/>
  <c r="AU25" i="42"/>
  <c r="AL26" i="42"/>
  <c r="AS26" i="42"/>
  <c r="AL27" i="42"/>
  <c r="AS27" i="42"/>
  <c r="AL28" i="42"/>
  <c r="AS28" i="42"/>
  <c r="AU28" i="42"/>
  <c r="AV28" i="42"/>
  <c r="AW28" i="42"/>
  <c r="AL29" i="42"/>
  <c r="AS29" i="42"/>
  <c r="AL30" i="42"/>
  <c r="AS30" i="42"/>
  <c r="AL31" i="42"/>
  <c r="AS31" i="42"/>
  <c r="AL32" i="42"/>
  <c r="AS32" i="42"/>
  <c r="AL33" i="42"/>
  <c r="AS33" i="42"/>
  <c r="AL34" i="42"/>
  <c r="AS34" i="42"/>
  <c r="AL35" i="42"/>
  <c r="AS35" i="42"/>
  <c r="AL36" i="42"/>
  <c r="AS36" i="42"/>
  <c r="AU36" i="42"/>
  <c r="AV36" i="42"/>
  <c r="AW36" i="42"/>
  <c r="AL37" i="42"/>
  <c r="AS37" i="42"/>
  <c r="AL38" i="42"/>
  <c r="AS38" i="42"/>
  <c r="AL39" i="42"/>
  <c r="AS39" i="42"/>
  <c r="AL40" i="42"/>
  <c r="AS40" i="42"/>
  <c r="AL41" i="42"/>
  <c r="AS41" i="42"/>
  <c r="AL42" i="42"/>
  <c r="AS42" i="42"/>
  <c r="AL43" i="42"/>
  <c r="AS43" i="42"/>
  <c r="AL44" i="42"/>
  <c r="AS44" i="42"/>
  <c r="AL45" i="42"/>
  <c r="AS45" i="42"/>
  <c r="AL46" i="42"/>
  <c r="AS46" i="42"/>
  <c r="AL47" i="42"/>
  <c r="AS47" i="42"/>
  <c r="AL48" i="42"/>
  <c r="AS48" i="42"/>
  <c r="AL49" i="42"/>
  <c r="AS49" i="42"/>
  <c r="AL50" i="42"/>
  <c r="AS50" i="42"/>
  <c r="AL51" i="42"/>
  <c r="AS51" i="42"/>
  <c r="AL52" i="42"/>
  <c r="AS52" i="42"/>
  <c r="AL53" i="42"/>
  <c r="AS53" i="42"/>
  <c r="AL54" i="42"/>
  <c r="AS54" i="42"/>
  <c r="AL55" i="42"/>
  <c r="AS55" i="42"/>
  <c r="AL56" i="42"/>
  <c r="AS56" i="42"/>
  <c r="AL57" i="42"/>
  <c r="AS57" i="42"/>
  <c r="AL58" i="42"/>
  <c r="AS58" i="42"/>
  <c r="AL59" i="42"/>
  <c r="AS59" i="42"/>
  <c r="AL60" i="42"/>
  <c r="AS60" i="42"/>
  <c r="AL61" i="42"/>
  <c r="AS61" i="42"/>
  <c r="AL62" i="42"/>
  <c r="AS62" i="42"/>
  <c r="AL63" i="42"/>
  <c r="AS63" i="42"/>
  <c r="AL64" i="42"/>
  <c r="AS64" i="42"/>
  <c r="AU64" i="42"/>
  <c r="AL65" i="42"/>
  <c r="AS65" i="42"/>
  <c r="AL66" i="42"/>
  <c r="AS66" i="42"/>
  <c r="AL67" i="42"/>
  <c r="AS67" i="42"/>
  <c r="AL68" i="42"/>
  <c r="AS68" i="42"/>
  <c r="AL69" i="42"/>
  <c r="AS69" i="42"/>
  <c r="AL70" i="42"/>
  <c r="AS70" i="42"/>
  <c r="AL71" i="42"/>
  <c r="AS71" i="42"/>
  <c r="AL72" i="42"/>
  <c r="AS72" i="42"/>
  <c r="AL73" i="42"/>
  <c r="AS73" i="42"/>
  <c r="AL74" i="42"/>
  <c r="AS74" i="42"/>
  <c r="AL75" i="42"/>
  <c r="AS75" i="42"/>
  <c r="AL76" i="42"/>
  <c r="AS76" i="42"/>
  <c r="AL77" i="42"/>
  <c r="AS77" i="42"/>
  <c r="AL78" i="42"/>
  <c r="AS78" i="42"/>
  <c r="AL79" i="42"/>
  <c r="AS79" i="42"/>
  <c r="AL80" i="42"/>
  <c r="AS80" i="42"/>
  <c r="AL81" i="42"/>
  <c r="AS81" i="42"/>
  <c r="AL82" i="42"/>
  <c r="AS82" i="42"/>
  <c r="AL83" i="42"/>
  <c r="AS83" i="42"/>
  <c r="AL84" i="42"/>
  <c r="AS84" i="42"/>
  <c r="AL85" i="42"/>
  <c r="AS85" i="42"/>
  <c r="AL86" i="42"/>
  <c r="AS86" i="42"/>
  <c r="AL87" i="42"/>
  <c r="AS87" i="42"/>
  <c r="AL88" i="42"/>
  <c r="AS88" i="42"/>
  <c r="AL89" i="42"/>
  <c r="AS89" i="42"/>
  <c r="AL90" i="42"/>
  <c r="AS90" i="42"/>
  <c r="AL91" i="42"/>
  <c r="AS91" i="42"/>
  <c r="AL92" i="42"/>
  <c r="AS92" i="42"/>
  <c r="AL93" i="42"/>
  <c r="AS93" i="42"/>
  <c r="AL94" i="42"/>
  <c r="AS94" i="42"/>
  <c r="AL95" i="42"/>
  <c r="AS95" i="42"/>
  <c r="AL96" i="42"/>
  <c r="AS96" i="42"/>
  <c r="AL97" i="42"/>
  <c r="AS97" i="42"/>
  <c r="AL98" i="42"/>
  <c r="AS98" i="42"/>
  <c r="AL99" i="42"/>
  <c r="AS99" i="42"/>
  <c r="AL100" i="42"/>
  <c r="AS100" i="42"/>
  <c r="AL101" i="42"/>
  <c r="AS101" i="42"/>
  <c r="AL102" i="42"/>
  <c r="AS102" i="42"/>
  <c r="AL103" i="42"/>
  <c r="AS103" i="42"/>
  <c r="AL104" i="42"/>
  <c r="AS104" i="42"/>
  <c r="AL105" i="42"/>
  <c r="AS105" i="42"/>
  <c r="AL106" i="42"/>
  <c r="AS106" i="42"/>
  <c r="AL107" i="42"/>
  <c r="AS107" i="42"/>
  <c r="AL108" i="42"/>
  <c r="AS108" i="42"/>
  <c r="AL109" i="42"/>
  <c r="AS109" i="42"/>
  <c r="AL110" i="42"/>
  <c r="AS110" i="42"/>
  <c r="AL111" i="42"/>
  <c r="AS111" i="42"/>
  <c r="AL112" i="42"/>
  <c r="AS112" i="42"/>
  <c r="AL113" i="42"/>
  <c r="AS113" i="42"/>
  <c r="AL114" i="42"/>
  <c r="AS114" i="42"/>
  <c r="AL115" i="42"/>
  <c r="AS115" i="42"/>
  <c r="AL116" i="42"/>
  <c r="AS116" i="42"/>
  <c r="AL117" i="42"/>
  <c r="AS117" i="42"/>
  <c r="AL118" i="42"/>
  <c r="AS118" i="42"/>
  <c r="AL119" i="42"/>
  <c r="AS119" i="42"/>
  <c r="AL120" i="42"/>
  <c r="AS120" i="42"/>
  <c r="AL121" i="42"/>
  <c r="AS121" i="42"/>
  <c r="AL122" i="42"/>
  <c r="AS122" i="42"/>
  <c r="AL123" i="42"/>
  <c r="AS123" i="42"/>
  <c r="AL124" i="42"/>
  <c r="AS124" i="42"/>
  <c r="AL125" i="42"/>
  <c r="AS125" i="42"/>
  <c r="AL126" i="42"/>
  <c r="AS126" i="42"/>
  <c r="AL127" i="42"/>
  <c r="AS127" i="42"/>
  <c r="AL128" i="42"/>
  <c r="AS128" i="42"/>
  <c r="AL129" i="42"/>
  <c r="AS129" i="42"/>
  <c r="AL130" i="42"/>
  <c r="AS130" i="42"/>
  <c r="AL131" i="42"/>
  <c r="AS131" i="42"/>
  <c r="AL132" i="42"/>
  <c r="AS132" i="42"/>
  <c r="AL133" i="42"/>
  <c r="AS133" i="42"/>
  <c r="AU133" i="42"/>
  <c r="AL134" i="42"/>
  <c r="AS134" i="42"/>
  <c r="AL135" i="42"/>
  <c r="AS135" i="42"/>
  <c r="AL136" i="42"/>
  <c r="AS136" i="42"/>
  <c r="AL137" i="42"/>
  <c r="AS137" i="42"/>
  <c r="AL138" i="42"/>
  <c r="AS138" i="42"/>
  <c r="AL139" i="42"/>
  <c r="AS139" i="42"/>
  <c r="AL140" i="42"/>
  <c r="AS140" i="42"/>
  <c r="AL141" i="42"/>
  <c r="AS141" i="42"/>
  <c r="AL142" i="42"/>
  <c r="AS142" i="42"/>
  <c r="AL143" i="42"/>
  <c r="AS143" i="42"/>
  <c r="AL144" i="42"/>
  <c r="AS144" i="42"/>
  <c r="AL145" i="42"/>
  <c r="AS145" i="42"/>
  <c r="AL146" i="42"/>
  <c r="AS146" i="42"/>
  <c r="AL147" i="42"/>
  <c r="AS147" i="42"/>
  <c r="AL148" i="42"/>
  <c r="AS148" i="42"/>
  <c r="AL149" i="42"/>
  <c r="AS149" i="42"/>
  <c r="AL150" i="42"/>
  <c r="AS150" i="42"/>
  <c r="AL151" i="42"/>
  <c r="AS151" i="42"/>
  <c r="AL152" i="42"/>
  <c r="AS152" i="42"/>
  <c r="AL153" i="42"/>
  <c r="AS153" i="42"/>
  <c r="AL154" i="42"/>
  <c r="AS154" i="42"/>
  <c r="AL155" i="42"/>
  <c r="AS155" i="42"/>
  <c r="AL156" i="42"/>
  <c r="AS156" i="42"/>
  <c r="AL157" i="42"/>
  <c r="AS157" i="42"/>
  <c r="AL158" i="42"/>
  <c r="AS158" i="42"/>
  <c r="AL159" i="42"/>
  <c r="AS159" i="42"/>
  <c r="AL160" i="42"/>
  <c r="AS160" i="42"/>
  <c r="AL161" i="42"/>
  <c r="AS161" i="42"/>
  <c r="AL162" i="42"/>
  <c r="AS162" i="42"/>
  <c r="AL163" i="42"/>
  <c r="AS163" i="42"/>
  <c r="AL164" i="42"/>
  <c r="AS164" i="42"/>
  <c r="AL165" i="42"/>
  <c r="AS165" i="42"/>
  <c r="AL166" i="42"/>
  <c r="AS166" i="42"/>
  <c r="AL167" i="42"/>
  <c r="AS167" i="42"/>
  <c r="AL168" i="42"/>
  <c r="AS168" i="42"/>
  <c r="AL169" i="42"/>
  <c r="AS169" i="42"/>
  <c r="AL170" i="42"/>
  <c r="AS170" i="42"/>
  <c r="AL171" i="42"/>
  <c r="AS171" i="42"/>
  <c r="AL172" i="42"/>
  <c r="AS172" i="42"/>
  <c r="AL173" i="42"/>
  <c r="AS173" i="42"/>
  <c r="AL174" i="42"/>
  <c r="AS174" i="42"/>
  <c r="AL175" i="42"/>
  <c r="AS175" i="42"/>
  <c r="AL176" i="42"/>
  <c r="AS176" i="42"/>
  <c r="AL177" i="42"/>
  <c r="AS177" i="42"/>
  <c r="AL178" i="42"/>
  <c r="AS178" i="42"/>
  <c r="AL179" i="42"/>
  <c r="AS179" i="42"/>
  <c r="AL180" i="42"/>
  <c r="AS180" i="42"/>
  <c r="AL181" i="42"/>
  <c r="AS181" i="42"/>
  <c r="AL182" i="42"/>
  <c r="AS182" i="42"/>
  <c r="AL183" i="42"/>
  <c r="AS183" i="42"/>
  <c r="AL184" i="42"/>
  <c r="AS184" i="42"/>
  <c r="AL185" i="42"/>
  <c r="AS185" i="42"/>
  <c r="AL186" i="42"/>
  <c r="AS186" i="42"/>
  <c r="AL187" i="42"/>
  <c r="AS187" i="42"/>
  <c r="AL188" i="42"/>
  <c r="AS188" i="42"/>
  <c r="AL189" i="42"/>
  <c r="AS189" i="42"/>
  <c r="AL190" i="42"/>
  <c r="AS190" i="42"/>
  <c r="AL191" i="42"/>
  <c r="AS191" i="42"/>
  <c r="AL192" i="42"/>
  <c r="AS192" i="42"/>
  <c r="AL193" i="42"/>
  <c r="AS193" i="42"/>
  <c r="AL194" i="42"/>
  <c r="AS194" i="42"/>
  <c r="AL195" i="42"/>
  <c r="AS195" i="42"/>
  <c r="AL196" i="42"/>
  <c r="AS196" i="42"/>
  <c r="AL197" i="42"/>
  <c r="AS197" i="42"/>
  <c r="AL198" i="42"/>
  <c r="AS198" i="42"/>
  <c r="AL199" i="42"/>
  <c r="AS199" i="42"/>
  <c r="AL200" i="42"/>
  <c r="AS200" i="42"/>
  <c r="AL201" i="42"/>
  <c r="AS201" i="42"/>
  <c r="AL202" i="42"/>
  <c r="AS202" i="42"/>
  <c r="AL203" i="42"/>
  <c r="AS203" i="42"/>
  <c r="AL204" i="42"/>
  <c r="AS204" i="42"/>
  <c r="AL205" i="42"/>
  <c r="AS205" i="42"/>
  <c r="AL206" i="42"/>
  <c r="AS206" i="42"/>
  <c r="AL207" i="42"/>
  <c r="AS207" i="42"/>
  <c r="AL208" i="42"/>
  <c r="AS208" i="42"/>
  <c r="AL209" i="42"/>
  <c r="AS209" i="42"/>
  <c r="AL210" i="42"/>
  <c r="AS210" i="42"/>
  <c r="AL211" i="42"/>
  <c r="AS211" i="42"/>
  <c r="AL212" i="42"/>
  <c r="AS212" i="42"/>
  <c r="AL213" i="42"/>
  <c r="AS213" i="42"/>
  <c r="AL214" i="42"/>
  <c r="AS214" i="42"/>
  <c r="AL215" i="42"/>
  <c r="AS215" i="42"/>
  <c r="AL216" i="42"/>
  <c r="AS216" i="42"/>
  <c r="AL217" i="42"/>
  <c r="AS217" i="42"/>
  <c r="AL218" i="42"/>
  <c r="AS218" i="42"/>
  <c r="AU218" i="42"/>
  <c r="AL219" i="42"/>
  <c r="AS219" i="42"/>
  <c r="AL220" i="42"/>
  <c r="AS220" i="42"/>
  <c r="AL221" i="42"/>
  <c r="AS221" i="42"/>
  <c r="AL222" i="42"/>
  <c r="AS222" i="42"/>
  <c r="AL223" i="42"/>
  <c r="AS223" i="42"/>
  <c r="AL224" i="42"/>
  <c r="AS224" i="42"/>
  <c r="AL225" i="42"/>
  <c r="AS225" i="42"/>
  <c r="AL226" i="42"/>
  <c r="AS226" i="42"/>
  <c r="AL227" i="42"/>
  <c r="AS227" i="42"/>
  <c r="AL228" i="42"/>
  <c r="AS228" i="42"/>
  <c r="AL229" i="42"/>
  <c r="AS229" i="42"/>
  <c r="AL230" i="42"/>
  <c r="AS230" i="42"/>
  <c r="AL231" i="42"/>
  <c r="AS231" i="42"/>
  <c r="AL232" i="42"/>
  <c r="AS232" i="42"/>
  <c r="AL233" i="42"/>
  <c r="AS233" i="42"/>
  <c r="AL234" i="42"/>
  <c r="AS234" i="42"/>
  <c r="AL235" i="42"/>
  <c r="AS235" i="42"/>
  <c r="AL236" i="42"/>
  <c r="AS236" i="42"/>
  <c r="AL237" i="42"/>
  <c r="AS237" i="42"/>
  <c r="AL238" i="42"/>
  <c r="AS238" i="42"/>
  <c r="AL239" i="42"/>
  <c r="AS239" i="42"/>
  <c r="AL240" i="42"/>
  <c r="AS240" i="42"/>
  <c r="AL241" i="42"/>
  <c r="AS241" i="42"/>
  <c r="AL242" i="42"/>
  <c r="AS242" i="42"/>
  <c r="AL243" i="42"/>
  <c r="AS243" i="42"/>
  <c r="AL244" i="42"/>
  <c r="AS244" i="42"/>
  <c r="AL245" i="42"/>
  <c r="AS245" i="42"/>
  <c r="AL246" i="42"/>
  <c r="AS246" i="42"/>
  <c r="AL247" i="42"/>
  <c r="AS247" i="42"/>
  <c r="AL248" i="42"/>
  <c r="AS248" i="42"/>
  <c r="AL249" i="42"/>
  <c r="AS249" i="42"/>
  <c r="AL250" i="42"/>
  <c r="AS250" i="42"/>
  <c r="AL251" i="42"/>
  <c r="AS251" i="42"/>
  <c r="AL252" i="42"/>
  <c r="AS252" i="42"/>
  <c r="AL253" i="42"/>
  <c r="AS253" i="42"/>
  <c r="AL254" i="42"/>
  <c r="AS254" i="42"/>
  <c r="AL255" i="42"/>
  <c r="AS255" i="42"/>
  <c r="AL256" i="42"/>
  <c r="AS256" i="42"/>
  <c r="AL257" i="42"/>
  <c r="AS257" i="42"/>
  <c r="AL258" i="42"/>
  <c r="AS258" i="42"/>
  <c r="AU258" i="42"/>
  <c r="AL259" i="42"/>
  <c r="AS259" i="42"/>
  <c r="AL260" i="42"/>
  <c r="AS260" i="42"/>
  <c r="AL261" i="42"/>
  <c r="AS261" i="42"/>
  <c r="AL262" i="42"/>
  <c r="AS262" i="42"/>
  <c r="AL263" i="42"/>
  <c r="AS263" i="42"/>
  <c r="AL264" i="42"/>
  <c r="AS264" i="42"/>
  <c r="AL265" i="42"/>
  <c r="AS265" i="42"/>
  <c r="AL266" i="42"/>
  <c r="AS266" i="42"/>
  <c r="AL267" i="42"/>
  <c r="AS267" i="42"/>
  <c r="AL268" i="42"/>
  <c r="AS268" i="42"/>
  <c r="AL269" i="42"/>
  <c r="AS269" i="42"/>
  <c r="AL270" i="42"/>
  <c r="AS270" i="42"/>
  <c r="AL271" i="42"/>
  <c r="AS271" i="42"/>
  <c r="AL272" i="42"/>
  <c r="AS272" i="42"/>
  <c r="AL273" i="42"/>
  <c r="AS273" i="42"/>
  <c r="AL274" i="42"/>
  <c r="AS274" i="42"/>
  <c r="AL275" i="42"/>
  <c r="AS275" i="42"/>
  <c r="AL276" i="42"/>
  <c r="AS276" i="42"/>
  <c r="AU276" i="42"/>
  <c r="AV276" i="42"/>
  <c r="AW276" i="42"/>
  <c r="AL277" i="42"/>
  <c r="AS277" i="42"/>
  <c r="AL278" i="42"/>
  <c r="AS278" i="42"/>
  <c r="AL279" i="42"/>
  <c r="AS279" i="42"/>
  <c r="AL280" i="42"/>
  <c r="AS280" i="42"/>
  <c r="AL281" i="42"/>
  <c r="AS281" i="42"/>
  <c r="AL282" i="42"/>
  <c r="AS282" i="42"/>
  <c r="AL283" i="42"/>
  <c r="AS283" i="42"/>
  <c r="AL284" i="42"/>
  <c r="AS284" i="42"/>
  <c r="AL285" i="42"/>
  <c r="AS285" i="42"/>
  <c r="W284" i="42"/>
  <c r="W281" i="42"/>
  <c r="W280" i="42"/>
  <c r="AB279" i="42"/>
  <c r="W277" i="42"/>
  <c r="W276" i="42"/>
  <c r="W275" i="42"/>
  <c r="W274" i="42"/>
  <c r="W273" i="42"/>
  <c r="W258" i="42"/>
  <c r="W257" i="42"/>
  <c r="W255" i="42"/>
  <c r="W247" i="42"/>
  <c r="W246" i="42"/>
  <c r="W237" i="42"/>
  <c r="W218" i="42"/>
  <c r="W214" i="42"/>
  <c r="W198" i="42"/>
  <c r="W184" i="42"/>
  <c r="W181" i="42"/>
  <c r="W180" i="42"/>
  <c r="W176" i="42"/>
  <c r="AB154" i="42"/>
  <c r="W148" i="42"/>
  <c r="W130" i="42"/>
  <c r="W109" i="42"/>
  <c r="W107" i="42"/>
  <c r="W104" i="42"/>
  <c r="W102" i="42"/>
  <c r="W101" i="42"/>
  <c r="W99" i="42"/>
  <c r="W98" i="42"/>
  <c r="W96" i="42"/>
  <c r="W94" i="42"/>
  <c r="W93" i="42"/>
  <c r="W91" i="42"/>
  <c r="W61" i="42"/>
  <c r="W59" i="42"/>
  <c r="W56" i="42"/>
  <c r="W55" i="42"/>
  <c r="W40" i="42"/>
  <c r="W33" i="42"/>
  <c r="W28" i="42"/>
  <c r="W27" i="42"/>
  <c r="W25" i="42"/>
  <c r="W22" i="42"/>
  <c r="S285" i="42"/>
  <c r="U285" i="42"/>
  <c r="S284" i="42"/>
  <c r="U284" i="42"/>
  <c r="AA284" i="42" s="1"/>
  <c r="S283" i="42"/>
  <c r="U283" i="42" s="1"/>
  <c r="Y283" i="42" s="1"/>
  <c r="S282" i="42"/>
  <c r="U282" i="42"/>
  <c r="S281" i="42"/>
  <c r="U281" i="42" s="1"/>
  <c r="Y281" i="42" s="1"/>
  <c r="S280" i="42"/>
  <c r="U280" i="42" s="1"/>
  <c r="S279" i="42"/>
  <c r="U279" i="42" s="1"/>
  <c r="S278" i="42"/>
  <c r="U278" i="42"/>
  <c r="S277" i="42"/>
  <c r="U277" i="42" s="1"/>
  <c r="AA277" i="42" s="1"/>
  <c r="S276" i="42"/>
  <c r="U276" i="42" s="1"/>
  <c r="AA276" i="42" s="1"/>
  <c r="S275" i="42"/>
  <c r="U275" i="42" s="1"/>
  <c r="S274" i="42"/>
  <c r="U274" i="42" s="1"/>
  <c r="S273" i="42"/>
  <c r="U273" i="42"/>
  <c r="S272" i="42"/>
  <c r="U272" i="42" s="1"/>
  <c r="S271" i="42"/>
  <c r="U271" i="42" s="1"/>
  <c r="S270" i="42"/>
  <c r="U270" i="42" s="1"/>
  <c r="Y270" i="42" s="1"/>
  <c r="S269" i="42"/>
  <c r="U269" i="42"/>
  <c r="S268" i="42"/>
  <c r="U268" i="42" s="1"/>
  <c r="S267" i="42"/>
  <c r="U267" i="42" s="1"/>
  <c r="S266" i="42"/>
  <c r="U266" i="42" s="1"/>
  <c r="S265" i="42"/>
  <c r="U265" i="42"/>
  <c r="Y265" i="42" s="1"/>
  <c r="S264" i="42"/>
  <c r="U264" i="42" s="1"/>
  <c r="S263" i="42"/>
  <c r="U263" i="42" s="1"/>
  <c r="S262" i="42"/>
  <c r="U262" i="42" s="1"/>
  <c r="AA262" i="42" s="1"/>
  <c r="S261" i="42"/>
  <c r="U261" i="42"/>
  <c r="S260" i="42"/>
  <c r="U260" i="42" s="1"/>
  <c r="Y260" i="42" s="1"/>
  <c r="S259" i="42"/>
  <c r="U259" i="42" s="1"/>
  <c r="S258" i="42"/>
  <c r="U258" i="42" s="1"/>
  <c r="Y258" i="42" s="1"/>
  <c r="S257" i="42"/>
  <c r="U257" i="42"/>
  <c r="AA257" i="42" s="1"/>
  <c r="S256" i="42"/>
  <c r="U256" i="42" s="1"/>
  <c r="AA256" i="42" s="1"/>
  <c r="S255" i="42"/>
  <c r="U255" i="42" s="1"/>
  <c r="AA255" i="42" s="1"/>
  <c r="S254" i="42"/>
  <c r="U254" i="42" s="1"/>
  <c r="S253" i="42"/>
  <c r="U253" i="42" s="1"/>
  <c r="Y253" i="42" s="1"/>
  <c r="S252" i="42"/>
  <c r="U252" i="42" s="1"/>
  <c r="AA252" i="42" s="1"/>
  <c r="S251" i="42"/>
  <c r="U251" i="42" s="1"/>
  <c r="S250" i="42"/>
  <c r="U250" i="42"/>
  <c r="AA250" i="42" s="1"/>
  <c r="S249" i="42"/>
  <c r="U249" i="42"/>
  <c r="Y249" i="42" s="1"/>
  <c r="S248" i="42"/>
  <c r="U248" i="42" s="1"/>
  <c r="Y248" i="42" s="1"/>
  <c r="S247" i="42"/>
  <c r="U247" i="42" s="1"/>
  <c r="S246" i="42"/>
  <c r="U246" i="42" s="1"/>
  <c r="S245" i="42"/>
  <c r="U245" i="42"/>
  <c r="AA245" i="42" s="1"/>
  <c r="S244" i="42"/>
  <c r="U244" i="42" s="1"/>
  <c r="AA244" i="42" s="1"/>
  <c r="S243" i="42"/>
  <c r="U243" i="42" s="1"/>
  <c r="S242" i="42"/>
  <c r="U242" i="42"/>
  <c r="S241" i="42"/>
  <c r="U241" i="42"/>
  <c r="S240" i="42"/>
  <c r="U240" i="42"/>
  <c r="S239" i="42"/>
  <c r="U239" i="42"/>
  <c r="S238" i="42"/>
  <c r="U238" i="42"/>
  <c r="S237" i="42"/>
  <c r="U237" i="42" s="1"/>
  <c r="Y237" i="42" s="1"/>
  <c r="S236" i="42"/>
  <c r="U236" i="42" s="1"/>
  <c r="S235" i="42"/>
  <c r="U235" i="42" s="1"/>
  <c r="AA235" i="42" s="1"/>
  <c r="S234" i="42"/>
  <c r="U234" i="42"/>
  <c r="AA234" i="42" s="1"/>
  <c r="S233" i="42"/>
  <c r="U233" i="42" s="1"/>
  <c r="Y233" i="42" s="1"/>
  <c r="S232" i="42"/>
  <c r="U232" i="42" s="1"/>
  <c r="S231" i="42"/>
  <c r="U231" i="42" s="1"/>
  <c r="AA231" i="42" s="1"/>
  <c r="S230" i="42"/>
  <c r="U230" i="42"/>
  <c r="S229" i="42"/>
  <c r="U229" i="42" s="1"/>
  <c r="S228" i="42"/>
  <c r="U228" i="42" s="1"/>
  <c r="AA228" i="42" s="1"/>
  <c r="S227" i="42"/>
  <c r="U227" i="42" s="1"/>
  <c r="AA227" i="42" s="1"/>
  <c r="S226" i="42"/>
  <c r="U226" i="42"/>
  <c r="Y226" i="42" s="1"/>
  <c r="S225" i="42"/>
  <c r="U225" i="42" s="1"/>
  <c r="AA225" i="42" s="1"/>
  <c r="S224" i="42"/>
  <c r="U224" i="42" s="1"/>
  <c r="S223" i="42"/>
  <c r="U223" i="42" s="1"/>
  <c r="AA223" i="42" s="1"/>
  <c r="S222" i="42"/>
  <c r="U222" i="42"/>
  <c r="S221" i="42"/>
  <c r="U221" i="42" s="1"/>
  <c r="S220" i="42"/>
  <c r="U220" i="42" s="1"/>
  <c r="S219" i="42"/>
  <c r="U219" i="42" s="1"/>
  <c r="S218" i="42"/>
  <c r="U218" i="42"/>
  <c r="S217" i="42"/>
  <c r="U217" i="42" s="1"/>
  <c r="S216" i="42"/>
  <c r="U216" i="42" s="1"/>
  <c r="S215" i="42"/>
  <c r="U215" i="42" s="1"/>
  <c r="AA215" i="42" s="1"/>
  <c r="S214" i="42"/>
  <c r="U214" i="42" s="1"/>
  <c r="S213" i="42"/>
  <c r="U213" i="42" s="1"/>
  <c r="S212" i="42"/>
  <c r="U212" i="42" s="1"/>
  <c r="S211" i="42"/>
  <c r="U211" i="42"/>
  <c r="S210" i="42"/>
  <c r="U210" i="42" s="1"/>
  <c r="S209" i="42"/>
  <c r="U209" i="42" s="1"/>
  <c r="S208" i="42"/>
  <c r="U208" i="42" s="1"/>
  <c r="S207" i="42"/>
  <c r="U207" i="42"/>
  <c r="S206" i="42"/>
  <c r="U206" i="42" s="1"/>
  <c r="S205" i="42"/>
  <c r="U205" i="42" s="1"/>
  <c r="S204" i="42"/>
  <c r="U204" i="42" s="1"/>
  <c r="S203" i="42"/>
  <c r="U203" i="42"/>
  <c r="S202" i="42"/>
  <c r="U202" i="42" s="1"/>
  <c r="S201" i="42"/>
  <c r="U201" i="42" s="1"/>
  <c r="S200" i="42"/>
  <c r="U200" i="42" s="1"/>
  <c r="S199" i="42"/>
  <c r="U199" i="42"/>
  <c r="S198" i="42"/>
  <c r="U198" i="42" s="1"/>
  <c r="S197" i="42"/>
  <c r="U197" i="42" s="1"/>
  <c r="S196" i="42"/>
  <c r="U196" i="42"/>
  <c r="S195" i="42"/>
  <c r="U195" i="42"/>
  <c r="Y195" i="42" s="1"/>
  <c r="S194" i="42"/>
  <c r="U194" i="42"/>
  <c r="Y194" i="42" s="1"/>
  <c r="S193" i="42"/>
  <c r="U193" i="42" s="1"/>
  <c r="S192" i="42"/>
  <c r="U192" i="42" s="1"/>
  <c r="S191" i="42"/>
  <c r="U191" i="42" s="1"/>
  <c r="S190" i="42"/>
  <c r="U190" i="42" s="1"/>
  <c r="Y190" i="42" s="1"/>
  <c r="S189" i="42"/>
  <c r="U189" i="42" s="1"/>
  <c r="S188" i="42"/>
  <c r="U188" i="42" s="1"/>
  <c r="Y188" i="42" s="1"/>
  <c r="S187" i="42"/>
  <c r="U187" i="42" s="1"/>
  <c r="S186" i="42"/>
  <c r="U186" i="42" s="1"/>
  <c r="S185" i="42"/>
  <c r="U185" i="42" s="1"/>
  <c r="S184" i="42"/>
  <c r="U184" i="42" s="1"/>
  <c r="S183" i="42"/>
  <c r="U183" i="42" s="1"/>
  <c r="S182" i="42"/>
  <c r="U182" i="42" s="1"/>
  <c r="Y182" i="42" s="1"/>
  <c r="S181" i="42"/>
  <c r="U181" i="42" s="1"/>
  <c r="S180" i="42"/>
  <c r="U180" i="42" s="1"/>
  <c r="AA180" i="42" s="1"/>
  <c r="S179" i="42"/>
  <c r="U179" i="42" s="1"/>
  <c r="S178" i="42"/>
  <c r="U178" i="42" s="1"/>
  <c r="S177" i="42"/>
  <c r="U177" i="42" s="1"/>
  <c r="S176" i="42"/>
  <c r="U176" i="42" s="1"/>
  <c r="AA176" i="42" s="1"/>
  <c r="S175" i="42"/>
  <c r="U175" i="42" s="1"/>
  <c r="S174" i="42"/>
  <c r="U174" i="42"/>
  <c r="Y174" i="42" s="1"/>
  <c r="S173" i="42"/>
  <c r="U173" i="42"/>
  <c r="AA173" i="42" s="1"/>
  <c r="S172" i="42"/>
  <c r="U172" i="42"/>
  <c r="Y172" i="42" s="1"/>
  <c r="S171" i="42"/>
  <c r="U171" i="42"/>
  <c r="Y171" i="42" s="1"/>
  <c r="S170" i="42"/>
  <c r="U170" i="42"/>
  <c r="AA170" i="42" s="1"/>
  <c r="S169" i="42"/>
  <c r="U169" i="42"/>
  <c r="Y169" i="42" s="1"/>
  <c r="S168" i="42"/>
  <c r="U168" i="42" s="1"/>
  <c r="S167" i="42"/>
  <c r="U167" i="42" s="1"/>
  <c r="S166" i="42"/>
  <c r="U166" i="42" s="1"/>
  <c r="S165" i="42"/>
  <c r="U165" i="42"/>
  <c r="AA165" i="42" s="1"/>
  <c r="S164" i="42"/>
  <c r="U164" i="42" s="1"/>
  <c r="S163" i="42"/>
  <c r="U163" i="42" s="1"/>
  <c r="S162" i="42"/>
  <c r="U162" i="42" s="1"/>
  <c r="S161" i="42"/>
  <c r="U161" i="42"/>
  <c r="AA161" i="42" s="1"/>
  <c r="S160" i="42"/>
  <c r="U160" i="42" s="1"/>
  <c r="S159" i="42"/>
  <c r="U159" i="42" s="1"/>
  <c r="S158" i="42"/>
  <c r="U158" i="42" s="1"/>
  <c r="S157" i="42"/>
  <c r="U157" i="42"/>
  <c r="Y157" i="42" s="1"/>
  <c r="S156" i="42"/>
  <c r="U156" i="42" s="1"/>
  <c r="S155" i="42"/>
  <c r="U155" i="42" s="1"/>
  <c r="Y155" i="42" s="1"/>
  <c r="S154" i="42"/>
  <c r="U154" i="42" s="1"/>
  <c r="AA154" i="42" s="1"/>
  <c r="S153" i="42"/>
  <c r="U153" i="42"/>
  <c r="AA153" i="42" s="1"/>
  <c r="S152" i="42"/>
  <c r="U152" i="42" s="1"/>
  <c r="S151" i="42"/>
  <c r="U151" i="42" s="1"/>
  <c r="S150" i="42"/>
  <c r="U150" i="42" s="1"/>
  <c r="S149" i="42"/>
  <c r="U149" i="42" s="1"/>
  <c r="Y149" i="42" s="1"/>
  <c r="S148" i="42"/>
  <c r="U148" i="42" s="1"/>
  <c r="S147" i="42"/>
  <c r="U147" i="42" s="1"/>
  <c r="Y147" i="42" s="1"/>
  <c r="S146" i="42"/>
  <c r="U146" i="42" s="1"/>
  <c r="S145" i="42"/>
  <c r="U145" i="42" s="1"/>
  <c r="AA145" i="42" s="1"/>
  <c r="S144" i="42"/>
  <c r="U144" i="42"/>
  <c r="AA144" i="42" s="1"/>
  <c r="S143" i="42"/>
  <c r="U143" i="42" s="1"/>
  <c r="Y143" i="42" s="1"/>
  <c r="S142" i="42"/>
  <c r="U142" i="42" s="1"/>
  <c r="S141" i="42"/>
  <c r="U141" i="42"/>
  <c r="AA141" i="42" s="1"/>
  <c r="S140" i="42"/>
  <c r="U140" i="42" s="1"/>
  <c r="Y140" i="42" s="1"/>
  <c r="S139" i="42"/>
  <c r="U139" i="42"/>
  <c r="S138" i="42"/>
  <c r="U138" i="42" s="1"/>
  <c r="AA138" i="42" s="1"/>
  <c r="S137" i="42"/>
  <c r="U137" i="42" s="1"/>
  <c r="S136" i="42"/>
  <c r="U136" i="42" s="1"/>
  <c r="S135" i="42"/>
  <c r="U135" i="42"/>
  <c r="Y135" i="42" s="1"/>
  <c r="S134" i="42"/>
  <c r="U134" i="42"/>
  <c r="AA134" i="42" s="1"/>
  <c r="S133" i="42"/>
  <c r="U133" i="42"/>
  <c r="AA133" i="42" s="1"/>
  <c r="S132" i="42"/>
  <c r="U132" i="42"/>
  <c r="S131" i="42"/>
  <c r="U131" i="42"/>
  <c r="AA131" i="42" s="1"/>
  <c r="S130" i="42"/>
  <c r="U130" i="42"/>
  <c r="Y130" i="42" s="1"/>
  <c r="S129" i="42"/>
  <c r="U129" i="42" s="1"/>
  <c r="S128" i="42"/>
  <c r="U128" i="42" s="1"/>
  <c r="Y128" i="42" s="1"/>
  <c r="S127" i="42"/>
  <c r="U127" i="42" s="1"/>
  <c r="S126" i="42"/>
  <c r="U126" i="42"/>
  <c r="S125" i="42"/>
  <c r="U125" i="42" s="1"/>
  <c r="S124" i="42"/>
  <c r="U124" i="42" s="1"/>
  <c r="S123" i="42"/>
  <c r="U123" i="42" s="1"/>
  <c r="S122" i="42"/>
  <c r="U122" i="42"/>
  <c r="S121" i="42"/>
  <c r="U121" i="42" s="1"/>
  <c r="S120" i="42"/>
  <c r="U120" i="42" s="1"/>
  <c r="S119" i="42"/>
  <c r="U119" i="42" s="1"/>
  <c r="S118" i="42"/>
  <c r="U118" i="42"/>
  <c r="S117" i="42"/>
  <c r="U117" i="42" s="1"/>
  <c r="S116" i="42"/>
  <c r="U116" i="42" s="1"/>
  <c r="S115" i="42"/>
  <c r="U115" i="42" s="1"/>
  <c r="AA115" i="42" s="1"/>
  <c r="S114" i="42"/>
  <c r="U114" i="42"/>
  <c r="Y114" i="42" s="1"/>
  <c r="S113" i="42"/>
  <c r="U113" i="42" s="1"/>
  <c r="S112" i="42"/>
  <c r="U112" i="42" s="1"/>
  <c r="S111" i="42"/>
  <c r="U111" i="42" s="1"/>
  <c r="S110" i="42"/>
  <c r="U110" i="42"/>
  <c r="AA110" i="42" s="1"/>
  <c r="S109" i="42"/>
  <c r="U109" i="42"/>
  <c r="Y109" i="42" s="1"/>
  <c r="S108" i="42"/>
  <c r="U108" i="42" s="1"/>
  <c r="AA108" i="42" s="1"/>
  <c r="S107" i="42"/>
  <c r="U107" i="42"/>
  <c r="AA107" i="42" s="1"/>
  <c r="S106" i="42"/>
  <c r="U106" i="42"/>
  <c r="AA106" i="42" s="1"/>
  <c r="S105" i="42"/>
  <c r="U105" i="42"/>
  <c r="Y105" i="42" s="1"/>
  <c r="S104" i="42"/>
  <c r="U104" i="42"/>
  <c r="Y104" i="42" s="1"/>
  <c r="S103" i="42"/>
  <c r="U103" i="42" s="1"/>
  <c r="S102" i="42"/>
  <c r="U102" i="42" s="1"/>
  <c r="S101" i="42"/>
  <c r="U101" i="42" s="1"/>
  <c r="S100" i="42"/>
  <c r="U100" i="42"/>
  <c r="Y100" i="42" s="1"/>
  <c r="S99" i="42"/>
  <c r="U99" i="42" s="1"/>
  <c r="Y99" i="42" s="1"/>
  <c r="S98" i="42"/>
  <c r="U98" i="42" s="1"/>
  <c r="S97" i="42"/>
  <c r="U97" i="42" s="1"/>
  <c r="S96" i="42"/>
  <c r="U96" i="42"/>
  <c r="Y96" i="42" s="1"/>
  <c r="S95" i="42"/>
  <c r="U95" i="42" s="1"/>
  <c r="AA95" i="42" s="1"/>
  <c r="S94" i="42"/>
  <c r="U94" i="42" s="1"/>
  <c r="AA94" i="42" s="1"/>
  <c r="S93" i="42"/>
  <c r="U93" i="42" s="1"/>
  <c r="S92" i="42"/>
  <c r="U92" i="42" s="1"/>
  <c r="AA92" i="42" s="1"/>
  <c r="S91" i="42"/>
  <c r="U91" i="42"/>
  <c r="Y91" i="42" s="1"/>
  <c r="S90" i="42"/>
  <c r="U90" i="42" s="1"/>
  <c r="AA90" i="42" s="1"/>
  <c r="S89" i="42"/>
  <c r="U89" i="42" s="1"/>
  <c r="Y89" i="42" s="1"/>
  <c r="S88" i="42"/>
  <c r="U88" i="42" s="1"/>
  <c r="S87" i="42"/>
  <c r="U87" i="42"/>
  <c r="Y87" i="42" s="1"/>
  <c r="S86" i="42"/>
  <c r="U86" i="42" s="1"/>
  <c r="AA86" i="42" s="1"/>
  <c r="S85" i="42"/>
  <c r="U85" i="42" s="1"/>
  <c r="S84" i="42"/>
  <c r="U84" i="42" s="1"/>
  <c r="Y84" i="42" s="1"/>
  <c r="S83" i="42"/>
  <c r="U83" i="42"/>
  <c r="AA83" i="42" s="1"/>
  <c r="S82" i="42"/>
  <c r="U82" i="42" s="1"/>
  <c r="Y82" i="42" s="1"/>
  <c r="S81" i="42"/>
  <c r="U81" i="42" s="1"/>
  <c r="Y81" i="42" s="1"/>
  <c r="S80" i="42"/>
  <c r="U80" i="42" s="1"/>
  <c r="S79" i="42"/>
  <c r="U79" i="42"/>
  <c r="AA79" i="42" s="1"/>
  <c r="S78" i="42"/>
  <c r="U78" i="42" s="1"/>
  <c r="AA78" i="42" s="1"/>
  <c r="S77" i="42"/>
  <c r="U77" i="42" s="1"/>
  <c r="S76" i="42"/>
  <c r="U76" i="42" s="1"/>
  <c r="Y76" i="42" s="1"/>
  <c r="S75" i="42"/>
  <c r="U75" i="42"/>
  <c r="S74" i="42"/>
  <c r="U74" i="42" s="1"/>
  <c r="S73" i="42"/>
  <c r="U73" i="42" s="1"/>
  <c r="S72" i="42"/>
  <c r="U72" i="42" s="1"/>
  <c r="S71" i="42"/>
  <c r="U71" i="42"/>
  <c r="AA71" i="42" s="1"/>
  <c r="S70" i="42"/>
  <c r="U70" i="42" s="1"/>
  <c r="AA70" i="42" s="1"/>
  <c r="S69" i="42"/>
  <c r="U69" i="42" s="1"/>
  <c r="S68" i="42"/>
  <c r="U68" i="42" s="1"/>
  <c r="Y68" i="42" s="1"/>
  <c r="S67" i="42"/>
  <c r="U67" i="42"/>
  <c r="S66" i="42"/>
  <c r="U66" i="42" s="1"/>
  <c r="S65" i="42"/>
  <c r="U65" i="42" s="1"/>
  <c r="Y65" i="42" s="1"/>
  <c r="S64" i="42"/>
  <c r="U64" i="42" s="1"/>
  <c r="AA64" i="42" s="1"/>
  <c r="S63" i="42"/>
  <c r="U63" i="42"/>
  <c r="S62" i="42"/>
  <c r="U62" i="42" s="1"/>
  <c r="AA62" i="42" s="1"/>
  <c r="S61" i="42"/>
  <c r="U61" i="42" s="1"/>
  <c r="S60" i="42"/>
  <c r="U60" i="42" s="1"/>
  <c r="S59" i="42"/>
  <c r="U59" i="42" s="1"/>
  <c r="AA59" i="42" s="1"/>
  <c r="S58" i="42"/>
  <c r="U58" i="42" s="1"/>
  <c r="S57" i="42"/>
  <c r="U57" i="42" s="1"/>
  <c r="S56" i="42"/>
  <c r="U56" i="42" s="1"/>
  <c r="S55" i="42"/>
  <c r="U55" i="42" s="1"/>
  <c r="Y55" i="42" s="1"/>
  <c r="S54" i="42"/>
  <c r="U54" i="42"/>
  <c r="S53" i="42"/>
  <c r="U53" i="42" s="1"/>
  <c r="Y53" i="42" s="1"/>
  <c r="S52" i="42"/>
  <c r="U52" i="42" s="1"/>
  <c r="S51" i="42"/>
  <c r="U51" i="42" s="1"/>
  <c r="Y51" i="42" s="1"/>
  <c r="S50" i="42"/>
  <c r="U50" i="42"/>
  <c r="S49" i="42"/>
  <c r="U49" i="42" s="1"/>
  <c r="AA49" i="42" s="1"/>
  <c r="S48" i="42"/>
  <c r="U48" i="42" s="1"/>
  <c r="S47" i="42"/>
  <c r="U47" i="42" s="1"/>
  <c r="S46" i="42"/>
  <c r="U46" i="42" s="1"/>
  <c r="S45" i="42"/>
  <c r="U45" i="42"/>
  <c r="S44" i="42"/>
  <c r="U44" i="42" s="1"/>
  <c r="AA44" i="42" s="1"/>
  <c r="S43" i="42"/>
  <c r="U43" i="42" s="1"/>
  <c r="S42" i="42"/>
  <c r="U42" i="42" s="1"/>
  <c r="AA42" i="42" s="1"/>
  <c r="S41" i="42"/>
  <c r="U41" i="42" s="1"/>
  <c r="S40" i="42"/>
  <c r="U40" i="42" s="1"/>
  <c r="S39" i="42"/>
  <c r="U39" i="42" s="1"/>
  <c r="S38" i="42"/>
  <c r="U38" i="42"/>
  <c r="S37" i="42"/>
  <c r="U37" i="42" s="1"/>
  <c r="S36" i="42"/>
  <c r="U36" i="42" s="1"/>
  <c r="S35" i="42"/>
  <c r="U35" i="42" s="1"/>
  <c r="Y35" i="42" s="1"/>
  <c r="S34" i="42"/>
  <c r="U34" i="42"/>
  <c r="AA34" i="42" s="1"/>
  <c r="S33" i="42"/>
  <c r="U33" i="42"/>
  <c r="Y33" i="42" s="1"/>
  <c r="S32" i="42"/>
  <c r="U32" i="42" s="1"/>
  <c r="AA32" i="42" s="1"/>
  <c r="S31" i="42"/>
  <c r="U31" i="42" s="1"/>
  <c r="S30" i="42"/>
  <c r="U30" i="42" s="1"/>
  <c r="S29" i="42"/>
  <c r="U29" i="42" s="1"/>
  <c r="S28" i="42"/>
  <c r="U28" i="42" s="1"/>
  <c r="S27" i="42"/>
  <c r="U27" i="42" s="1"/>
  <c r="Y27" i="42" s="1"/>
  <c r="S26" i="42"/>
  <c r="U26" i="42" s="1"/>
  <c r="S25" i="42"/>
  <c r="U25" i="42"/>
  <c r="Y25" i="42" s="1"/>
  <c r="S24" i="42"/>
  <c r="U24" i="42" s="1"/>
  <c r="Y24" i="42" s="1"/>
  <c r="S23" i="42"/>
  <c r="U23" i="42" s="1"/>
  <c r="AA23" i="42" s="1"/>
  <c r="S22" i="42"/>
  <c r="U22" i="42" s="1"/>
  <c r="AA22" i="42" s="1"/>
  <c r="S21" i="42"/>
  <c r="U21" i="42"/>
  <c r="Y21" i="42" s="1"/>
  <c r="S20" i="42"/>
  <c r="U20" i="42" s="1"/>
  <c r="AA20" i="42" s="1"/>
  <c r="S19" i="42"/>
  <c r="U19" i="42" s="1"/>
  <c r="AA19" i="42" s="1"/>
  <c r="S18" i="42"/>
  <c r="U18" i="42" s="1"/>
  <c r="S17" i="42"/>
  <c r="U17" i="42"/>
  <c r="Y17" i="42" s="1"/>
  <c r="S16" i="42"/>
  <c r="U16" i="42" s="1"/>
  <c r="AA16" i="42" s="1"/>
  <c r="S15" i="42"/>
  <c r="U15" i="42" s="1"/>
  <c r="AA15" i="42" s="1"/>
  <c r="S14" i="42"/>
  <c r="U14" i="42" s="1"/>
  <c r="AA14" i="42" s="1"/>
  <c r="S13" i="42"/>
  <c r="U13" i="42" s="1"/>
  <c r="S12" i="42"/>
  <c r="U12" i="42" s="1"/>
  <c r="S11" i="42"/>
  <c r="U11" i="42" s="1"/>
  <c r="AA11" i="42" s="1"/>
  <c r="S10" i="42"/>
  <c r="U10" i="42"/>
  <c r="S9" i="42"/>
  <c r="U9" i="42" s="1"/>
  <c r="AA9" i="42" s="1"/>
  <c r="S8" i="42"/>
  <c r="U8" i="42" s="1"/>
  <c r="S7" i="42"/>
  <c r="U7" i="42" s="1"/>
  <c r="S6" i="42"/>
  <c r="U6" i="42"/>
  <c r="AA6" i="42" s="1"/>
  <c r="S5" i="42"/>
  <c r="U5" i="42"/>
  <c r="Y5" i="42" s="1"/>
  <c r="W13" i="42"/>
  <c r="H285" i="42"/>
  <c r="H284" i="42"/>
  <c r="H283" i="42"/>
  <c r="H282" i="42"/>
  <c r="H281" i="42"/>
  <c r="H280" i="42"/>
  <c r="H279" i="42"/>
  <c r="H278" i="42"/>
  <c r="H277" i="42"/>
  <c r="H276" i="42"/>
  <c r="H275" i="42"/>
  <c r="H274" i="42"/>
  <c r="H273" i="42"/>
  <c r="H272" i="42"/>
  <c r="H271" i="42"/>
  <c r="H270" i="42"/>
  <c r="H269" i="42"/>
  <c r="H268" i="42"/>
  <c r="H267" i="42"/>
  <c r="H266" i="42"/>
  <c r="H265" i="42"/>
  <c r="H264" i="42"/>
  <c r="H263" i="42"/>
  <c r="H262" i="42"/>
  <c r="H261" i="42"/>
  <c r="H260" i="42"/>
  <c r="H259" i="42"/>
  <c r="H258" i="42"/>
  <c r="H257" i="42"/>
  <c r="H256" i="42"/>
  <c r="H255" i="42"/>
  <c r="H254" i="42"/>
  <c r="H253" i="42"/>
  <c r="H252" i="42"/>
  <c r="H251" i="42"/>
  <c r="H250" i="42"/>
  <c r="H249" i="42"/>
  <c r="H248" i="42"/>
  <c r="H247" i="42"/>
  <c r="H246" i="42"/>
  <c r="H245" i="42"/>
  <c r="H244" i="42"/>
  <c r="H243" i="42"/>
  <c r="H242" i="42"/>
  <c r="H241" i="42"/>
  <c r="H240" i="42"/>
  <c r="H239" i="42"/>
  <c r="H238" i="42"/>
  <c r="H237" i="42"/>
  <c r="H236" i="42"/>
  <c r="H235" i="42"/>
  <c r="H234" i="42"/>
  <c r="H233" i="42"/>
  <c r="H232" i="42"/>
  <c r="H231" i="42"/>
  <c r="H230" i="42"/>
  <c r="H229" i="42"/>
  <c r="H228" i="42"/>
  <c r="H227" i="42"/>
  <c r="H226" i="42"/>
  <c r="H225" i="42"/>
  <c r="H224" i="42"/>
  <c r="H223" i="42"/>
  <c r="H222" i="42"/>
  <c r="H221" i="42"/>
  <c r="H220" i="42"/>
  <c r="H219" i="42"/>
  <c r="H218" i="42"/>
  <c r="H217" i="42"/>
  <c r="H216" i="42"/>
  <c r="H215" i="42"/>
  <c r="H214" i="42"/>
  <c r="H213" i="42"/>
  <c r="H212" i="42"/>
  <c r="H211" i="42"/>
  <c r="H210" i="42"/>
  <c r="H209" i="42"/>
  <c r="H208" i="42"/>
  <c r="H207" i="42"/>
  <c r="H206" i="42"/>
  <c r="H205" i="42"/>
  <c r="H204" i="42"/>
  <c r="H203" i="42"/>
  <c r="H202" i="42"/>
  <c r="H201" i="42"/>
  <c r="H200" i="42"/>
  <c r="H199" i="42"/>
  <c r="H198" i="42"/>
  <c r="H197" i="42"/>
  <c r="H196" i="42"/>
  <c r="H195" i="42"/>
  <c r="H194" i="42"/>
  <c r="H193" i="42"/>
  <c r="H192" i="42"/>
  <c r="H191" i="42"/>
  <c r="H190" i="42"/>
  <c r="H189" i="42"/>
  <c r="H188" i="42"/>
  <c r="H187" i="42"/>
  <c r="H186" i="42"/>
  <c r="H185" i="42"/>
  <c r="H184" i="42"/>
  <c r="H183" i="42"/>
  <c r="H182" i="42"/>
  <c r="H181" i="42"/>
  <c r="H180" i="42"/>
  <c r="H179" i="42"/>
  <c r="H178" i="42"/>
  <c r="H177" i="42"/>
  <c r="H176" i="42"/>
  <c r="H175" i="42"/>
  <c r="H174" i="42"/>
  <c r="H173" i="42"/>
  <c r="H172" i="42"/>
  <c r="H171" i="42"/>
  <c r="H170" i="42"/>
  <c r="H169" i="42"/>
  <c r="H168" i="42"/>
  <c r="H167" i="42"/>
  <c r="H166" i="42"/>
  <c r="H165" i="42"/>
  <c r="H164" i="42"/>
  <c r="H163" i="42"/>
  <c r="H162" i="42"/>
  <c r="H161" i="42"/>
  <c r="H160" i="42"/>
  <c r="H159" i="42"/>
  <c r="H158" i="42"/>
  <c r="H157" i="42"/>
  <c r="H156" i="42"/>
  <c r="H155" i="42"/>
  <c r="H154" i="42"/>
  <c r="H153" i="42"/>
  <c r="H152" i="42"/>
  <c r="H151" i="42"/>
  <c r="H150" i="42"/>
  <c r="H149" i="42"/>
  <c r="H148" i="42"/>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H123" i="42"/>
  <c r="H122" i="42"/>
  <c r="H121" i="42"/>
  <c r="H120" i="42"/>
  <c r="H119" i="42"/>
  <c r="H118" i="42"/>
  <c r="H117" i="42"/>
  <c r="H116" i="42"/>
  <c r="H115" i="42"/>
  <c r="H114" i="42"/>
  <c r="H113" i="42"/>
  <c r="H112" i="42"/>
  <c r="H111" i="42"/>
  <c r="H110" i="42"/>
  <c r="H109" i="42"/>
  <c r="H108" i="42"/>
  <c r="H107" i="42"/>
  <c r="H106" i="42"/>
  <c r="H105"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H6" i="42"/>
  <c r="H5" i="42"/>
  <c r="Y64" i="42"/>
  <c r="Y284" i="42"/>
  <c r="AA283" i="42"/>
  <c r="AA281" i="42"/>
  <c r="AA279" i="42"/>
  <c r="Y279" i="42"/>
  <c r="Y277" i="42"/>
  <c r="AA274" i="42"/>
  <c r="Y274" i="42"/>
  <c r="AA260" i="42"/>
  <c r="AA268" i="42"/>
  <c r="Y268" i="42"/>
  <c r="AA265" i="42"/>
  <c r="Y262" i="42"/>
  <c r="AA270" i="42"/>
  <c r="AA258" i="42"/>
  <c r="Y257" i="42"/>
  <c r="AA248" i="42"/>
  <c r="AA249" i="42"/>
  <c r="Y246" i="42"/>
  <c r="AA246" i="42"/>
  <c r="AA240" i="42"/>
  <c r="Y240" i="42"/>
  <c r="AA233" i="42"/>
  <c r="Y245" i="42"/>
  <c r="AA226" i="42"/>
  <c r="Y234" i="42"/>
  <c r="AA242" i="42"/>
  <c r="Y242" i="42"/>
  <c r="Y223" i="42"/>
  <c r="Y227" i="42"/>
  <c r="Y235" i="42"/>
  <c r="Y221" i="42"/>
  <c r="AA221" i="42"/>
  <c r="AA237" i="42"/>
  <c r="Y218" i="42"/>
  <c r="AA218" i="42"/>
  <c r="Y211" i="42"/>
  <c r="AA211" i="42"/>
  <c r="AA207" i="42"/>
  <c r="Y207" i="42"/>
  <c r="Y203" i="42"/>
  <c r="AA203" i="42"/>
  <c r="Y199" i="42"/>
  <c r="AA199" i="42"/>
  <c r="AA196" i="42"/>
  <c r="Y196" i="42"/>
  <c r="AA195" i="42"/>
  <c r="AA174" i="42"/>
  <c r="Y173" i="42"/>
  <c r="AA172" i="42"/>
  <c r="AA171" i="42"/>
  <c r="Y170" i="42"/>
  <c r="AA169" i="42"/>
  <c r="Y165" i="42"/>
  <c r="Y161" i="42"/>
  <c r="AA157" i="42"/>
  <c r="Y153" i="42"/>
  <c r="AA147" i="42"/>
  <c r="Y145" i="42"/>
  <c r="Y144" i="42"/>
  <c r="AA143" i="42"/>
  <c r="Y141" i="42"/>
  <c r="Y139" i="42"/>
  <c r="AA139" i="42"/>
  <c r="Y138" i="42"/>
  <c r="AA135" i="42"/>
  <c r="Y134" i="42"/>
  <c r="AA132" i="42"/>
  <c r="Y132" i="42"/>
  <c r="Y131" i="42"/>
  <c r="AA126" i="42"/>
  <c r="Y126" i="42"/>
  <c r="AA122" i="42"/>
  <c r="Y122" i="42"/>
  <c r="Y118" i="42"/>
  <c r="AA118" i="42"/>
  <c r="Y115" i="42"/>
  <c r="AA114" i="42"/>
  <c r="AA113" i="42"/>
  <c r="Y113" i="42"/>
  <c r="Y111" i="42"/>
  <c r="AA111" i="42"/>
  <c r="Y108" i="42"/>
  <c r="Y106" i="42"/>
  <c r="AA105" i="42"/>
  <c r="AA104" i="42"/>
  <c r="Y103" i="42"/>
  <c r="AA103" i="42"/>
  <c r="AA101" i="42"/>
  <c r="Y101" i="42"/>
  <c r="AA100" i="42"/>
  <c r="AA99" i="42"/>
  <c r="Y97" i="42"/>
  <c r="AA97" i="42"/>
  <c r="AA96" i="42"/>
  <c r="Y95" i="42"/>
  <c r="AA91" i="42"/>
  <c r="Y67" i="42"/>
  <c r="AA67" i="42"/>
  <c r="Y75" i="42"/>
  <c r="AA75" i="42"/>
  <c r="AA87" i="42"/>
  <c r="AA68" i="42"/>
  <c r="AA72" i="42"/>
  <c r="Y72" i="42"/>
  <c r="AA76" i="42"/>
  <c r="AA80" i="42"/>
  <c r="Y80" i="42"/>
  <c r="AA88" i="42"/>
  <c r="Y88" i="42"/>
  <c r="Y66" i="42"/>
  <c r="AA66" i="42"/>
  <c r="Y74" i="42"/>
  <c r="AA74" i="42"/>
  <c r="Y78" i="42"/>
  <c r="AA82" i="42"/>
  <c r="Y90" i="42"/>
  <c r="Y83" i="42"/>
  <c r="AA63" i="42"/>
  <c r="Y63" i="42"/>
  <c r="AA55" i="42"/>
  <c r="AA54" i="42"/>
  <c r="Y54" i="42"/>
  <c r="AA51" i="42"/>
  <c r="AA50" i="42"/>
  <c r="Y50" i="42"/>
  <c r="Y49" i="42"/>
  <c r="AA45" i="42"/>
  <c r="Y45" i="42"/>
  <c r="Y42" i="42"/>
  <c r="Y38" i="42"/>
  <c r="AA38" i="42"/>
  <c r="Y34" i="42"/>
  <c r="Y32" i="42"/>
  <c r="AA27" i="42"/>
  <c r="AA24" i="42"/>
  <c r="Y22" i="42"/>
  <c r="AA21" i="42"/>
  <c r="Y20" i="42"/>
  <c r="AA18" i="42"/>
  <c r="Y18" i="42"/>
  <c r="Y16" i="42"/>
  <c r="Y10" i="42"/>
  <c r="AA10" i="42"/>
  <c r="Y9" i="42"/>
  <c r="B7" i="9"/>
  <c r="B28" i="38"/>
  <c r="B46" i="24" s="1"/>
  <c r="O46" i="24" s="1"/>
  <c r="B21" i="38"/>
  <c r="B19" i="38"/>
  <c r="B14" i="38"/>
  <c r="B12" i="38"/>
  <c r="B9" i="38"/>
  <c r="B10" i="38" s="1"/>
  <c r="B5" i="19"/>
  <c r="B35" i="24"/>
  <c r="O35" i="24" s="1"/>
  <c r="C45" i="33"/>
  <c r="E18" i="24"/>
  <c r="C37" i="33"/>
  <c r="C16" i="33"/>
  <c r="B22" i="31"/>
  <c r="D12" i="31"/>
  <c r="F21" i="24"/>
  <c r="E21" i="24"/>
  <c r="D21" i="24"/>
  <c r="B21" i="24"/>
  <c r="O21" i="24" s="1"/>
  <c r="E8" i="8"/>
  <c r="F23" i="24" s="1"/>
  <c r="D8" i="8"/>
  <c r="E23" i="24" s="1"/>
  <c r="C8" i="8"/>
  <c r="C23" i="24" s="1"/>
  <c r="B8" i="8"/>
  <c r="B23" i="24" s="1"/>
  <c r="O23" i="24" s="1"/>
  <c r="B7" i="7"/>
  <c r="B22" i="24" s="1"/>
  <c r="O22" i="24" s="1"/>
  <c r="B41" i="24"/>
  <c r="O41" i="24" s="1"/>
  <c r="B5" i="21"/>
  <c r="B40" i="24" s="1"/>
  <c r="O40" i="24" s="1"/>
  <c r="B6" i="20"/>
  <c r="B39" i="24" s="1"/>
  <c r="O39" i="24" s="1"/>
  <c r="G11" i="24"/>
  <c r="G9" i="24" s="1"/>
  <c r="G6" i="18"/>
  <c r="F34" i="24" s="1"/>
  <c r="F32" i="24" s="1"/>
  <c r="F6" i="18"/>
  <c r="G34" i="24" s="1"/>
  <c r="G32" i="24" s="1"/>
  <c r="G51" i="24" s="1"/>
  <c r="E6" i="18"/>
  <c r="D6" i="18"/>
  <c r="C6" i="18"/>
  <c r="E34" i="24" s="1"/>
  <c r="B6" i="18"/>
  <c r="B34" i="24" s="1"/>
  <c r="O34" i="24" s="1"/>
  <c r="C9" i="17"/>
  <c r="C11" i="17" s="1"/>
  <c r="E30" i="24" s="1"/>
  <c r="C9" i="16"/>
  <c r="C11" i="16" s="1"/>
  <c r="E29" i="24" s="1"/>
  <c r="C9" i="15"/>
  <c r="C11" i="15" s="1"/>
  <c r="E28" i="24" s="1"/>
  <c r="C9" i="14"/>
  <c r="C11" i="14" s="1"/>
  <c r="E27" i="24" s="1"/>
  <c r="C9" i="13"/>
  <c r="C11" i="13"/>
  <c r="E26" i="24" s="1"/>
  <c r="C9" i="12"/>
  <c r="C11" i="12" s="1"/>
  <c r="E25" i="24" s="1"/>
  <c r="C9" i="11"/>
  <c r="C11" i="11" s="1"/>
  <c r="E33" i="24" s="1"/>
  <c r="C9" i="10"/>
  <c r="C11" i="10" s="1"/>
  <c r="E24" i="24" s="1"/>
  <c r="D6" i="5"/>
  <c r="F20" i="24" s="1"/>
  <c r="C6" i="5"/>
  <c r="E20" i="24" s="1"/>
  <c r="B6" i="5"/>
  <c r="B20" i="24" s="1"/>
  <c r="O20" i="24" s="1"/>
  <c r="G5" i="2"/>
  <c r="G14" i="24" s="1"/>
  <c r="G13" i="24" s="1"/>
  <c r="G50" i="24" s="1"/>
  <c r="F5" i="2"/>
  <c r="E5" i="2"/>
  <c r="C14" i="24"/>
  <c r="D5" i="2"/>
  <c r="C5" i="2"/>
  <c r="E14" i="24" s="1"/>
  <c r="B5" i="2"/>
  <c r="B14" i="24" s="1"/>
  <c r="O14" i="24" s="1"/>
  <c r="B16" i="1"/>
  <c r="C10" i="24"/>
  <c r="C9" i="24" s="1"/>
  <c r="C49" i="24" s="1"/>
  <c r="B9" i="1"/>
  <c r="B10" i="24" s="1"/>
  <c r="O10" i="24" s="1"/>
  <c r="C7" i="3"/>
  <c r="C14" i="3" s="1"/>
  <c r="E9" i="24"/>
  <c r="E49" i="24" s="1"/>
  <c r="D9" i="24"/>
  <c r="D49" i="24" s="1"/>
  <c r="F9" i="24"/>
  <c r="F49" i="24" s="1"/>
  <c r="E7" i="24"/>
  <c r="D7" i="24"/>
  <c r="D20" i="24" s="1"/>
  <c r="D13" i="24" s="1"/>
  <c r="D50" i="24" s="1"/>
  <c r="C7" i="24"/>
  <c r="F7" i="24"/>
  <c r="G7" i="24"/>
  <c r="B7" i="24"/>
  <c r="D51" i="24"/>
  <c r="C51" i="24"/>
  <c r="C16" i="31"/>
  <c r="D16" i="31" s="1"/>
  <c r="AA43" i="42" l="1"/>
  <c r="Y43" i="42"/>
  <c r="Y56" i="42"/>
  <c r="AA56" i="42"/>
  <c r="Y73" i="42"/>
  <c r="AA73" i="42"/>
  <c r="AA112" i="42"/>
  <c r="Y112" i="42"/>
  <c r="AA167" i="42"/>
  <c r="Y167" i="42"/>
  <c r="AA177" i="42"/>
  <c r="Y177" i="42"/>
  <c r="AA185" i="42"/>
  <c r="Y185" i="42"/>
  <c r="Y193" i="42"/>
  <c r="AA193" i="42"/>
  <c r="Y224" i="42"/>
  <c r="AA224" i="42"/>
  <c r="Y263" i="42"/>
  <c r="AA263" i="42"/>
  <c r="Y31" i="42"/>
  <c r="AA31" i="42"/>
  <c r="AA40" i="42"/>
  <c r="Y40" i="42"/>
  <c r="AA47" i="42"/>
  <c r="Y47" i="42"/>
  <c r="Y61" i="42"/>
  <c r="AA61" i="42"/>
  <c r="AA77" i="42"/>
  <c r="Y77" i="42"/>
  <c r="Y93" i="42"/>
  <c r="AA93" i="42"/>
  <c r="AA116" i="42"/>
  <c r="Y116" i="42"/>
  <c r="Y129" i="42"/>
  <c r="AA129" i="42"/>
  <c r="Y148" i="42"/>
  <c r="AA148" i="42"/>
  <c r="AA152" i="42"/>
  <c r="Y152" i="42"/>
  <c r="AA178" i="42"/>
  <c r="Y178" i="42"/>
  <c r="Y186" i="42"/>
  <c r="AA186" i="42"/>
  <c r="AA205" i="42"/>
  <c r="Y205" i="42"/>
  <c r="Y254" i="42"/>
  <c r="AA254" i="42"/>
  <c r="Y8" i="42"/>
  <c r="AA8" i="42"/>
  <c r="Y120" i="42"/>
  <c r="AA120" i="42"/>
  <c r="Y142" i="42"/>
  <c r="AA142" i="42"/>
  <c r="AA159" i="42"/>
  <c r="Y159" i="42"/>
  <c r="AA175" i="42"/>
  <c r="Y175" i="42"/>
  <c r="AA179" i="42"/>
  <c r="Y179" i="42"/>
  <c r="Y183" i="42"/>
  <c r="AA183" i="42"/>
  <c r="Y187" i="42"/>
  <c r="AA187" i="42"/>
  <c r="Y191" i="42"/>
  <c r="AA191" i="42"/>
  <c r="AA209" i="42"/>
  <c r="Y209" i="42"/>
  <c r="Y271" i="42"/>
  <c r="AA271" i="42"/>
  <c r="AA30" i="42"/>
  <c r="Y30" i="42"/>
  <c r="Y36" i="42"/>
  <c r="AA36" i="42"/>
  <c r="AA60" i="42"/>
  <c r="Y60" i="42"/>
  <c r="Y102" i="42"/>
  <c r="AA102" i="42"/>
  <c r="AA151" i="42"/>
  <c r="Y151" i="42"/>
  <c r="AA181" i="42"/>
  <c r="Y181" i="42"/>
  <c r="Y189" i="42"/>
  <c r="AA189" i="42"/>
  <c r="AA201" i="42"/>
  <c r="Y201" i="42"/>
  <c r="Y28" i="42"/>
  <c r="AA28" i="42"/>
  <c r="Y48" i="42"/>
  <c r="AA48" i="42"/>
  <c r="Y58" i="42"/>
  <c r="AA58" i="42"/>
  <c r="AA12" i="42"/>
  <c r="Y12" i="42"/>
  <c r="AA29" i="42"/>
  <c r="Y29" i="42"/>
  <c r="Y52" i="42"/>
  <c r="AA52" i="42"/>
  <c r="Y69" i="42"/>
  <c r="AA69" i="42"/>
  <c r="Y85" i="42"/>
  <c r="AA85" i="42"/>
  <c r="AA98" i="42"/>
  <c r="Y98" i="42"/>
  <c r="Y124" i="42"/>
  <c r="AA124" i="42"/>
  <c r="AA137" i="42"/>
  <c r="Y137" i="42"/>
  <c r="Y146" i="42"/>
  <c r="AA146" i="42"/>
  <c r="Y150" i="42"/>
  <c r="AA150" i="42"/>
  <c r="AA163" i="42"/>
  <c r="Y163" i="42"/>
  <c r="Y184" i="42"/>
  <c r="AA184" i="42"/>
  <c r="Y192" i="42"/>
  <c r="AA192" i="42"/>
  <c r="Y197" i="42"/>
  <c r="AA197" i="42"/>
  <c r="AA213" i="42"/>
  <c r="Y213" i="42"/>
  <c r="AA220" i="42"/>
  <c r="Y220" i="42"/>
  <c r="Y236" i="42"/>
  <c r="AA236" i="42"/>
  <c r="AA243" i="42"/>
  <c r="Y243" i="42"/>
  <c r="B9" i="24"/>
  <c r="O9" i="24" s="1"/>
  <c r="AA109" i="42"/>
  <c r="E32" i="24"/>
  <c r="E51" i="24" s="1"/>
  <c r="Y6" i="42"/>
  <c r="AA130" i="42"/>
  <c r="AA194" i="42"/>
  <c r="AI96" i="48"/>
  <c r="O96" i="48"/>
  <c r="AI108" i="48"/>
  <c r="O108" i="48"/>
  <c r="AI121" i="48"/>
  <c r="O121" i="48"/>
  <c r="AI52" i="48"/>
  <c r="AI196" i="48"/>
  <c r="BW21" i="42"/>
  <c r="BW53" i="42"/>
  <c r="BW85" i="42"/>
  <c r="BW125" i="42"/>
  <c r="BW141" i="42"/>
  <c r="BW165" i="42"/>
  <c r="BW177" i="42"/>
  <c r="BW209" i="42"/>
  <c r="BW233" i="42"/>
  <c r="CE104" i="42"/>
  <c r="AI16" i="48"/>
  <c r="O16" i="48"/>
  <c r="AI32" i="48"/>
  <c r="O32" i="48"/>
  <c r="O153" i="48"/>
  <c r="AI33" i="48"/>
  <c r="AI145" i="48"/>
  <c r="AI209" i="48"/>
  <c r="AI241" i="48"/>
  <c r="AI273" i="48"/>
  <c r="AI281" i="48"/>
  <c r="BW13" i="42"/>
  <c r="BW145" i="42"/>
  <c r="BW153" i="42"/>
  <c r="BW193" i="42"/>
  <c r="BW221" i="42"/>
  <c r="CE70" i="42"/>
  <c r="AI8" i="48"/>
  <c r="AI56" i="48"/>
  <c r="AI89" i="48"/>
  <c r="O89" i="48"/>
  <c r="AI104" i="48"/>
  <c r="O104" i="48"/>
  <c r="O113" i="48"/>
  <c r="AI113" i="48"/>
  <c r="AI204" i="48"/>
  <c r="O204" i="48"/>
  <c r="O256" i="48"/>
  <c r="O265" i="48"/>
  <c r="BW29" i="42"/>
  <c r="BW129" i="42"/>
  <c r="BW169" i="42"/>
  <c r="BW197" i="42"/>
  <c r="BW213" i="42"/>
  <c r="BW241" i="42"/>
  <c r="BW285" i="42"/>
  <c r="BW16" i="42"/>
  <c r="BW20" i="42"/>
  <c r="BW28" i="42"/>
  <c r="BW48" i="42"/>
  <c r="BW52" i="42"/>
  <c r="BW72" i="42"/>
  <c r="BW76" i="42"/>
  <c r="BW80" i="42"/>
  <c r="BW88" i="42"/>
  <c r="BW96" i="42"/>
  <c r="BW100" i="42"/>
  <c r="BW104" i="42"/>
  <c r="BW108" i="42"/>
  <c r="BW120" i="42"/>
  <c r="BW136" i="42"/>
  <c r="BW140" i="42"/>
  <c r="BW148" i="42"/>
  <c r="BW172" i="42"/>
  <c r="BW180" i="42"/>
  <c r="BW204" i="42"/>
  <c r="BW212" i="42"/>
  <c r="BW232" i="42"/>
  <c r="BW244" i="42"/>
  <c r="BW256" i="42"/>
  <c r="CE256" i="42" s="1"/>
  <c r="BW272" i="42"/>
  <c r="BW276" i="42"/>
  <c r="BW280" i="42"/>
  <c r="CE33" i="42"/>
  <c r="CE96" i="42"/>
  <c r="CE99" i="42"/>
  <c r="O12" i="48"/>
  <c r="AI24" i="48"/>
  <c r="O24" i="48"/>
  <c r="AI60" i="48"/>
  <c r="O60" i="48"/>
  <c r="AI128" i="48"/>
  <c r="O161" i="48"/>
  <c r="O177" i="48"/>
  <c r="AI192" i="48"/>
  <c r="O224" i="48"/>
  <c r="O236" i="48"/>
  <c r="O289" i="48"/>
  <c r="AI289" i="48"/>
  <c r="AI3" i="48"/>
  <c r="AI19" i="48"/>
  <c r="AI27" i="48"/>
  <c r="AI35" i="48"/>
  <c r="AI39" i="48"/>
  <c r="AI43" i="48"/>
  <c r="AI47" i="48"/>
  <c r="AI63" i="48"/>
  <c r="AI71" i="48"/>
  <c r="AI75" i="48"/>
  <c r="AI79" i="48"/>
  <c r="AI83" i="48"/>
  <c r="AI87" i="48"/>
  <c r="AI91" i="48"/>
  <c r="AI99" i="48"/>
  <c r="AI103" i="48"/>
  <c r="AI107" i="48"/>
  <c r="AI111" i="48"/>
  <c r="AI115" i="48"/>
  <c r="AI119" i="48"/>
  <c r="AI123" i="48"/>
  <c r="AI135" i="48"/>
  <c r="AI139" i="48"/>
  <c r="AI143" i="48"/>
  <c r="AI147" i="48"/>
  <c r="AI151" i="48"/>
  <c r="AI155" i="48"/>
  <c r="AI159" i="48"/>
  <c r="AI163" i="48"/>
  <c r="AI167" i="48"/>
  <c r="AI171" i="48"/>
  <c r="AI175" i="48"/>
  <c r="AI179" i="48"/>
  <c r="AI183" i="48"/>
  <c r="AI187" i="48"/>
  <c r="AI199" i="48"/>
  <c r="AI207" i="48"/>
  <c r="AI211" i="48"/>
  <c r="AI215" i="48"/>
  <c r="AI219" i="48"/>
  <c r="AI239" i="48"/>
  <c r="AI243" i="48"/>
  <c r="AI247" i="48"/>
  <c r="AI251" i="48"/>
  <c r="AI263" i="48"/>
  <c r="AI267" i="48"/>
  <c r="AI271" i="48"/>
  <c r="AI275" i="48"/>
  <c r="AI279" i="48"/>
  <c r="AI283" i="48"/>
  <c r="AI291" i="48"/>
  <c r="CE180" i="42"/>
  <c r="CE274" i="42"/>
  <c r="CE277" i="42"/>
  <c r="AI28" i="48"/>
  <c r="AI64" i="48"/>
  <c r="AI76" i="48"/>
  <c r="AI88" i="48"/>
  <c r="AI92" i="48"/>
  <c r="AI120" i="48"/>
  <c r="AI124" i="48"/>
  <c r="O193" i="48"/>
  <c r="AI200" i="48"/>
  <c r="O225" i="48"/>
  <c r="O249" i="48"/>
  <c r="O257" i="48"/>
  <c r="AI9" i="48"/>
  <c r="AI41" i="48"/>
  <c r="AI57" i="48"/>
  <c r="AI269" i="48"/>
  <c r="AI277" i="48"/>
  <c r="AI36" i="48"/>
  <c r="AI40" i="48"/>
  <c r="AI72" i="48"/>
  <c r="AI208" i="48"/>
  <c r="AI232" i="48"/>
  <c r="AI240" i="48"/>
  <c r="AI264" i="48"/>
  <c r="AI268" i="48"/>
  <c r="AI272" i="48"/>
  <c r="AI276" i="48"/>
  <c r="AI280" i="48"/>
  <c r="AA37" i="42"/>
  <c r="Y37" i="42"/>
  <c r="Y121" i="42"/>
  <c r="AA121" i="42"/>
  <c r="AA156" i="42"/>
  <c r="Y156" i="42"/>
  <c r="Y164" i="42"/>
  <c r="AA164" i="42"/>
  <c r="AA198" i="42"/>
  <c r="Y198" i="42"/>
  <c r="Y206" i="42"/>
  <c r="AA206" i="42"/>
  <c r="Y214" i="42"/>
  <c r="AA214" i="42"/>
  <c r="AA123" i="42"/>
  <c r="Y123" i="42"/>
  <c r="AA158" i="42"/>
  <c r="Y158" i="42"/>
  <c r="AA166" i="42"/>
  <c r="Y166" i="42"/>
  <c r="Y200" i="42"/>
  <c r="AA200" i="42"/>
  <c r="AA26" i="42"/>
  <c r="Y26" i="42"/>
  <c r="AA46" i="42"/>
  <c r="Y46" i="42"/>
  <c r="AA119" i="42"/>
  <c r="Y119" i="42"/>
  <c r="Y127" i="42"/>
  <c r="AA127" i="42"/>
  <c r="AA162" i="42"/>
  <c r="Y162" i="42"/>
  <c r="Y204" i="42"/>
  <c r="AA204" i="42"/>
  <c r="Y212" i="42"/>
  <c r="AA212" i="42"/>
  <c r="AA39" i="42"/>
  <c r="Y39" i="42"/>
  <c r="AA208" i="42"/>
  <c r="Y208" i="42"/>
  <c r="E13" i="24"/>
  <c r="E50" i="24" s="1"/>
  <c r="AA13" i="42"/>
  <c r="Y13" i="42"/>
  <c r="Y41" i="42"/>
  <c r="AA41" i="42"/>
  <c r="AA117" i="42"/>
  <c r="Y117" i="42"/>
  <c r="AA125" i="42"/>
  <c r="Y125" i="42"/>
  <c r="AA160" i="42"/>
  <c r="Y160" i="42"/>
  <c r="AA168" i="42"/>
  <c r="Y168" i="42"/>
  <c r="Y202" i="42"/>
  <c r="AA202" i="42"/>
  <c r="Y210" i="42"/>
  <c r="AA210" i="42"/>
  <c r="AA275" i="42"/>
  <c r="Y275" i="42"/>
  <c r="C16" i="24"/>
  <c r="C13" i="24" s="1"/>
  <c r="C50" i="24" s="1"/>
  <c r="Y154" i="42"/>
  <c r="AA273" i="42"/>
  <c r="Y273" i="42"/>
  <c r="O97" i="48"/>
  <c r="AI97" i="48"/>
  <c r="AI156" i="48"/>
  <c r="O156" i="48"/>
  <c r="O164" i="48"/>
  <c r="AI164" i="48"/>
  <c r="AI172" i="48"/>
  <c r="O172" i="48"/>
  <c r="AI248" i="48"/>
  <c r="O248" i="48"/>
  <c r="AI180" i="48"/>
  <c r="C20" i="31"/>
  <c r="D20" i="31" s="1"/>
  <c r="C19" i="31"/>
  <c r="D19" i="31" s="1"/>
  <c r="C18" i="31"/>
  <c r="D18" i="31" s="1"/>
  <c r="C15" i="31"/>
  <c r="D15" i="31" s="1"/>
  <c r="AA217" i="42"/>
  <c r="Y217" i="42"/>
  <c r="Y247" i="42"/>
  <c r="AA247" i="42"/>
  <c r="AA264" i="42"/>
  <c r="Y264" i="42"/>
  <c r="AA272" i="42"/>
  <c r="Y272" i="42"/>
  <c r="AA280" i="42"/>
  <c r="Y280" i="42"/>
  <c r="AA35" i="42"/>
  <c r="Y86" i="42"/>
  <c r="Y225" i="42"/>
  <c r="Y252" i="42"/>
  <c r="Y241" i="42"/>
  <c r="AA241" i="42"/>
  <c r="AA278" i="42"/>
  <c r="Y278" i="42"/>
  <c r="AA285" i="42"/>
  <c r="Y285" i="42"/>
  <c r="C17" i="31"/>
  <c r="D17" i="31" s="1"/>
  <c r="Y14" i="42"/>
  <c r="AA25" i="42"/>
  <c r="AA89" i="42"/>
  <c r="Y71" i="42"/>
  <c r="Y107" i="42"/>
  <c r="AA182" i="42"/>
  <c r="Y228" i="42"/>
  <c r="Y256" i="42"/>
  <c r="Y133" i="42"/>
  <c r="AA7" i="42"/>
  <c r="Y7" i="42"/>
  <c r="AA136" i="42"/>
  <c r="Y136" i="42"/>
  <c r="AA216" i="42"/>
  <c r="Y216" i="42"/>
  <c r="BW8" i="42"/>
  <c r="BW116" i="42"/>
  <c r="BW156" i="42"/>
  <c r="BW160" i="42"/>
  <c r="BW208" i="42"/>
  <c r="BW240" i="42"/>
  <c r="BW252" i="42"/>
  <c r="AI48" i="48"/>
  <c r="O48" i="48"/>
  <c r="AI112" i="48"/>
  <c r="O112" i="48"/>
  <c r="O129" i="48"/>
  <c r="AI129" i="48"/>
  <c r="AI140" i="48"/>
  <c r="O140" i="48"/>
  <c r="AI220" i="48"/>
  <c r="O220" i="48"/>
  <c r="O288" i="48"/>
  <c r="AI288" i="48"/>
  <c r="O76" i="48"/>
  <c r="AI17" i="48"/>
  <c r="AI148" i="48"/>
  <c r="AA259" i="42"/>
  <c r="Y259" i="42"/>
  <c r="AA267" i="42"/>
  <c r="Y267" i="42"/>
  <c r="AI136" i="48"/>
  <c r="O136" i="48"/>
  <c r="Y19" i="42"/>
  <c r="AA81" i="42"/>
  <c r="Y94" i="42"/>
  <c r="AA239" i="42"/>
  <c r="Y239" i="42"/>
  <c r="AA17" i="42"/>
  <c r="AA84" i="42"/>
  <c r="Y92" i="42"/>
  <c r="AA128" i="42"/>
  <c r="AA149" i="42"/>
  <c r="AA155" i="42"/>
  <c r="AA190" i="42"/>
  <c r="Y231" i="42"/>
  <c r="Y250" i="42"/>
  <c r="AA57" i="42"/>
  <c r="Y57" i="42"/>
  <c r="AA229" i="42"/>
  <c r="Y229" i="42"/>
  <c r="Y232" i="42"/>
  <c r="AA232" i="42"/>
  <c r="C21" i="31"/>
  <c r="D21" i="31" s="1"/>
  <c r="C38" i="33"/>
  <c r="C39" i="33" s="1"/>
  <c r="B18" i="24" s="1"/>
  <c r="O18" i="24" s="1"/>
  <c r="Y11" i="42"/>
  <c r="Y15" i="42"/>
  <c r="Y23" i="42"/>
  <c r="AA33" i="42"/>
  <c r="Y44" i="42"/>
  <c r="AA53" i="42"/>
  <c r="Y59" i="42"/>
  <c r="Y62" i="42"/>
  <c r="Y70" i="42"/>
  <c r="AA65" i="42"/>
  <c r="Y79" i="42"/>
  <c r="AA140" i="42"/>
  <c r="Y176" i="42"/>
  <c r="Y180" i="42"/>
  <c r="AA188" i="42"/>
  <c r="Y215" i="42"/>
  <c r="Y244" i="42"/>
  <c r="AA253" i="42"/>
  <c r="Y255" i="42"/>
  <c r="Y276" i="42"/>
  <c r="AA5" i="42"/>
  <c r="Y110" i="42"/>
  <c r="AA219" i="42"/>
  <c r="Y219" i="42"/>
  <c r="AA222" i="42"/>
  <c r="Y222" i="42"/>
  <c r="AA230" i="42"/>
  <c r="Y230" i="42"/>
  <c r="Y238" i="42"/>
  <c r="AA238" i="42"/>
  <c r="Y251" i="42"/>
  <c r="AA251" i="42"/>
  <c r="AA261" i="42"/>
  <c r="Y261" i="42"/>
  <c r="Y266" i="42"/>
  <c r="AA266" i="42"/>
  <c r="AA269" i="42"/>
  <c r="Y269" i="42"/>
  <c r="AA282" i="42"/>
  <c r="Y282" i="42"/>
  <c r="BW44" i="42"/>
  <c r="BW64" i="42"/>
  <c r="BW132" i="42"/>
  <c r="BW220" i="42"/>
  <c r="BW224" i="42"/>
  <c r="AI25" i="48"/>
  <c r="BW192" i="42"/>
  <c r="AI144" i="48"/>
  <c r="O144" i="48"/>
  <c r="AI152" i="48"/>
  <c r="O152" i="48"/>
  <c r="AI160" i="48"/>
  <c r="O160" i="48"/>
  <c r="AI168" i="48"/>
  <c r="O168" i="48"/>
  <c r="AI176" i="48"/>
  <c r="O176" i="48"/>
  <c r="AI184" i="48"/>
  <c r="O184" i="48"/>
  <c r="O201" i="48"/>
  <c r="AI201" i="48"/>
  <c r="AI252" i="48"/>
  <c r="O252" i="48"/>
  <c r="AI7" i="48"/>
  <c r="AI11" i="48"/>
  <c r="AI15" i="48"/>
  <c r="AI23" i="48"/>
  <c r="AI31" i="48"/>
  <c r="AI51" i="48"/>
  <c r="AI55" i="48"/>
  <c r="AI59" i="48"/>
  <c r="AI67" i="48"/>
  <c r="AI95" i="48"/>
  <c r="AI127" i="48"/>
  <c r="AI131" i="48"/>
  <c r="AI191" i="48"/>
  <c r="AI195" i="48"/>
  <c r="AI203" i="48"/>
  <c r="AI223" i="48"/>
  <c r="AI227" i="48"/>
  <c r="AI231" i="48"/>
  <c r="AI235" i="48"/>
  <c r="AI255" i="48"/>
  <c r="AI259" i="48"/>
  <c r="AI287" i="48"/>
  <c r="AI65" i="48"/>
  <c r="BW84" i="42"/>
  <c r="BW112" i="42"/>
  <c r="BW164" i="42"/>
  <c r="BW228" i="42"/>
  <c r="BW248" i="42"/>
  <c r="BW264" i="42"/>
  <c r="BW284" i="42"/>
  <c r="CE55" i="42"/>
  <c r="CE101" i="42"/>
  <c r="AI44" i="48"/>
  <c r="O44" i="48"/>
  <c r="AI80" i="48"/>
  <c r="O80" i="48"/>
  <c r="AI216" i="48"/>
  <c r="O216" i="48"/>
  <c r="O233" i="48"/>
  <c r="AI233" i="48"/>
  <c r="AI4" i="48"/>
  <c r="AI68" i="48"/>
  <c r="AI5" i="48"/>
  <c r="AI13" i="48"/>
  <c r="AI21" i="48"/>
  <c r="AI29" i="48"/>
  <c r="AI37" i="48"/>
  <c r="AI45" i="48"/>
  <c r="AI53" i="48"/>
  <c r="AI61" i="48"/>
  <c r="AI69" i="48"/>
  <c r="AI77" i="48"/>
  <c r="AI85" i="48"/>
  <c r="AI93" i="48"/>
  <c r="AI101" i="48"/>
  <c r="AI109" i="48"/>
  <c r="AI117" i="48"/>
  <c r="AI125" i="48"/>
  <c r="AI133" i="48"/>
  <c r="AI141" i="48"/>
  <c r="AI149" i="48"/>
  <c r="AI157" i="48"/>
  <c r="AI165" i="48"/>
  <c r="AI173" i="48"/>
  <c r="AI181" i="48"/>
  <c r="AI189" i="48"/>
  <c r="AI197" i="48"/>
  <c r="AI205" i="48"/>
  <c r="AI213" i="48"/>
  <c r="AI221" i="48"/>
  <c r="AI229" i="48"/>
  <c r="AI237" i="48"/>
  <c r="AI245" i="48"/>
  <c r="AI253" i="48"/>
  <c r="AI261" i="48"/>
  <c r="AI285" i="48"/>
  <c r="AI6" i="48"/>
  <c r="AI10" i="48"/>
  <c r="AI14" i="48"/>
  <c r="AI18" i="48"/>
  <c r="AI22" i="48"/>
  <c r="AI26" i="48"/>
  <c r="AI30" i="48"/>
  <c r="AI34" i="48"/>
  <c r="AI38" i="48"/>
  <c r="AI42" i="48"/>
  <c r="AI46" i="48"/>
  <c r="AI50" i="48"/>
  <c r="AI54" i="48"/>
  <c r="AI58" i="48"/>
  <c r="AI62" i="48"/>
  <c r="AI66" i="48"/>
  <c r="AI70" i="48"/>
  <c r="AI74" i="48"/>
  <c r="AI78" i="48"/>
  <c r="AI82" i="48"/>
  <c r="AI86" i="48"/>
  <c r="AI90" i="48"/>
  <c r="AI94" i="48"/>
  <c r="AI188" i="48"/>
  <c r="AI284" i="48"/>
  <c r="AI98" i="48"/>
  <c r="AI102" i="48"/>
  <c r="AI106" i="48"/>
  <c r="AI110" i="48"/>
  <c r="AI114" i="48"/>
  <c r="AI118" i="48"/>
  <c r="AI122" i="48"/>
  <c r="AI126" i="48"/>
  <c r="AI130" i="48"/>
  <c r="AI134" i="48"/>
  <c r="AI138" i="48"/>
  <c r="AI142" i="48"/>
  <c r="AI146" i="48"/>
  <c r="AI150" i="48"/>
  <c r="AI154" i="48"/>
  <c r="AI158" i="48"/>
  <c r="AI162" i="48"/>
  <c r="AI166" i="48"/>
  <c r="AI170" i="48"/>
  <c r="AI174" i="48"/>
  <c r="AI178" i="48"/>
  <c r="AI182" i="48"/>
  <c r="AI186" i="48"/>
  <c r="AI190" i="48"/>
  <c r="AI194" i="48"/>
  <c r="AI198" i="48"/>
  <c r="AI202" i="48"/>
  <c r="AI206" i="48"/>
  <c r="AI210" i="48"/>
  <c r="AI214" i="48"/>
  <c r="AI218" i="48"/>
  <c r="AI222" i="48"/>
  <c r="AI226" i="48"/>
  <c r="AI230" i="48"/>
  <c r="AI234" i="48"/>
  <c r="AI238" i="48"/>
  <c r="AI242" i="48"/>
  <c r="AI246" i="48"/>
  <c r="AI250" i="48"/>
  <c r="AI254" i="48"/>
  <c r="AI258" i="48"/>
  <c r="AI262" i="48"/>
  <c r="AI266" i="48"/>
  <c r="AI270" i="48"/>
  <c r="AI274" i="48"/>
  <c r="AI278" i="48"/>
  <c r="AI282" i="48"/>
  <c r="AI286" i="48"/>
  <c r="AI290" i="48"/>
  <c r="F51" i="24"/>
  <c r="F16" i="24"/>
  <c r="F13" i="24" s="1"/>
  <c r="G49" i="24"/>
  <c r="G52" i="24" s="1"/>
  <c r="G42" i="24"/>
  <c r="G38" i="24" s="1"/>
  <c r="G45" i="24"/>
  <c r="E53" i="24"/>
  <c r="E54" i="24" s="1"/>
  <c r="E52" i="24"/>
  <c r="D52" i="24"/>
  <c r="C52" i="24"/>
  <c r="B49" i="24"/>
  <c r="O49" i="24" s="1"/>
  <c r="B32" i="24"/>
  <c r="B51" i="24" s="1"/>
  <c r="D53" i="24"/>
  <c r="N51" i="24"/>
  <c r="N54" i="24" s="1"/>
  <c r="E42" i="24"/>
  <c r="E38" i="24" s="1"/>
  <c r="E45" i="24"/>
  <c r="D45" i="24"/>
  <c r="F1" i="4"/>
  <c r="F1" i="31"/>
  <c r="C11" i="4" l="1"/>
  <c r="C12" i="4"/>
  <c r="C140" i="4"/>
  <c r="C139" i="4"/>
  <c r="C132" i="4"/>
  <c r="C116" i="4"/>
  <c r="C93" i="4"/>
  <c r="C77" i="4"/>
  <c r="C126" i="4"/>
  <c r="B111" i="4"/>
  <c r="C111" i="4" s="1"/>
  <c r="C92" i="4"/>
  <c r="C74" i="4"/>
  <c r="C107" i="4"/>
  <c r="C72" i="4"/>
  <c r="C117" i="4"/>
  <c r="C82" i="4"/>
  <c r="B121" i="4"/>
  <c r="C121" i="4" s="1"/>
  <c r="C83" i="4"/>
  <c r="C106" i="4"/>
  <c r="C67" i="4"/>
  <c r="C45" i="4"/>
  <c r="B24" i="4"/>
  <c r="C33" i="4"/>
  <c r="C64" i="4"/>
  <c r="C44" i="4"/>
  <c r="C62" i="4"/>
  <c r="C34" i="4"/>
  <c r="B49" i="4"/>
  <c r="C49" i="4" s="1"/>
  <c r="C53" i="24"/>
  <c r="C54" i="24" s="1"/>
  <c r="D54" i="24"/>
  <c r="O51" i="24"/>
  <c r="D22" i="31"/>
  <c r="C45" i="24"/>
  <c r="G53" i="24"/>
  <c r="G54" i="24" s="1"/>
  <c r="O32" i="24"/>
  <c r="F45" i="24"/>
  <c r="F50" i="24"/>
  <c r="C20" i="4"/>
  <c r="C19" i="4"/>
  <c r="C152" i="4"/>
  <c r="C181" i="4" s="1"/>
  <c r="B5" i="4"/>
  <c r="B134" i="4" s="1"/>
  <c r="C134" i="4" s="1"/>
  <c r="B6" i="4"/>
  <c r="B97" i="4" s="1"/>
  <c r="C97" i="4" s="1"/>
  <c r="B7" i="4"/>
  <c r="B4" i="31"/>
  <c r="A4" i="31"/>
  <c r="D25" i="31"/>
  <c r="D26" i="31" s="1"/>
  <c r="B32" i="31"/>
  <c r="B33" i="31"/>
  <c r="A33" i="31" s="1"/>
  <c r="D27" i="31" l="1"/>
  <c r="C13" i="4"/>
  <c r="C16" i="4" s="1"/>
  <c r="C155" i="4" s="1"/>
  <c r="A32" i="31"/>
  <c r="F53" i="24"/>
  <c r="F52" i="24"/>
  <c r="C94" i="4"/>
  <c r="C98" i="4" s="1"/>
  <c r="B87" i="4"/>
  <c r="C87" i="4" s="1"/>
  <c r="C147" i="4"/>
  <c r="C65" i="4"/>
  <c r="C160" i="4" s="1"/>
  <c r="C75" i="4"/>
  <c r="C161" i="4" s="1"/>
  <c r="C135" i="4"/>
  <c r="C179" i="4" s="1"/>
  <c r="B25" i="4"/>
  <c r="B26" i="4" s="1"/>
  <c r="C28" i="4" s="1"/>
  <c r="B142" i="4"/>
  <c r="C142" i="4" s="1"/>
  <c r="B128" i="4"/>
  <c r="C128" i="4" s="1"/>
  <c r="C129" i="4" s="1"/>
  <c r="C178" i="4" s="1"/>
  <c r="C118" i="4"/>
  <c r="C122" i="4" s="1"/>
  <c r="C165" i="4" s="1"/>
  <c r="B38" i="4"/>
  <c r="C39" i="4" s="1"/>
  <c r="C35" i="4"/>
  <c r="C108" i="4"/>
  <c r="C112" i="4" s="1"/>
  <c r="C46" i="4"/>
  <c r="C50" i="4" s="1"/>
  <c r="C158" i="4" s="1"/>
  <c r="C21" i="4"/>
  <c r="C84" i="4"/>
  <c r="B38" i="31"/>
  <c r="D29" i="31"/>
  <c r="B36" i="31" s="1"/>
  <c r="A36" i="31" s="1"/>
  <c r="B35" i="31"/>
  <c r="A35" i="31" s="1"/>
  <c r="B34" i="31"/>
  <c r="A34" i="31" s="1"/>
  <c r="F54" i="24" l="1"/>
  <c r="A37" i="31"/>
  <c r="C144" i="4"/>
  <c r="C99" i="4"/>
  <c r="C163" i="4"/>
  <c r="C76" i="4"/>
  <c r="C78" i="4" s="1"/>
  <c r="C174" i="4" s="1"/>
  <c r="C88" i="4"/>
  <c r="C162" i="4" s="1"/>
  <c r="C66" i="4"/>
  <c r="C68" i="4" s="1"/>
  <c r="C69" i="4" s="1"/>
  <c r="C29" i="4"/>
  <c r="C156" i="4" s="1"/>
  <c r="C40" i="4"/>
  <c r="C157" i="4" s="1"/>
  <c r="C164" i="4"/>
  <c r="C113" i="4"/>
  <c r="C176" i="4" s="1"/>
  <c r="C51" i="4"/>
  <c r="C172" i="4" s="1"/>
  <c r="C123" i="4"/>
  <c r="C177" i="4" s="1"/>
  <c r="B37" i="31"/>
  <c r="C166" i="4" l="1"/>
  <c r="C145" i="4"/>
  <c r="C146" i="4" s="1"/>
  <c r="C79" i="4"/>
  <c r="C101" i="4"/>
  <c r="C89" i="4"/>
  <c r="C102" i="4" s="1"/>
  <c r="C175" i="4" s="1"/>
  <c r="C173" i="4"/>
  <c r="C41" i="4"/>
  <c r="C171" i="4" s="1"/>
  <c r="C30" i="4"/>
  <c r="C170" i="4" s="1"/>
  <c r="C182" i="4" s="1"/>
  <c r="C37" i="31"/>
  <c r="A39" i="31"/>
  <c r="A40" i="31"/>
  <c r="B39" i="31"/>
  <c r="C40" i="31"/>
  <c r="B19" i="24"/>
  <c r="C184" i="4" l="1"/>
  <c r="B17" i="24" s="1"/>
  <c r="O17" i="24" s="1"/>
  <c r="C180" i="4"/>
  <c r="C186" i="4" s="1"/>
  <c r="O19" i="24"/>
  <c r="B13" i="24" l="1"/>
  <c r="O13" i="24" s="1"/>
  <c r="B38" i="24" l="1"/>
  <c r="B45" i="24" s="1"/>
  <c r="B44" i="24" s="1"/>
  <c r="O44" i="24" s="1"/>
  <c r="B50" i="24"/>
  <c r="O50" i="24" s="1"/>
  <c r="O45" i="24" l="1"/>
  <c r="O38" i="24"/>
  <c r="B52" i="24"/>
  <c r="O52" i="24" s="1"/>
  <c r="B53" i="24" l="1"/>
  <c r="O53" i="24" s="1"/>
  <c r="B54" i="24" l="1"/>
  <c r="O54" i="24" s="1"/>
</calcChain>
</file>

<file path=xl/comments1.xml><?xml version="1.0" encoding="utf-8"?>
<comments xmlns="http://schemas.openxmlformats.org/spreadsheetml/2006/main">
  <authors>
    <author>Paul Stone</author>
    <author>Daniel Lunghofer</author>
  </authors>
  <commentList>
    <comment ref="B5" authorId="0" shapeId="0">
      <text>
        <r>
          <rPr>
            <b/>
            <sz val="9"/>
            <color indexed="81"/>
            <rFont val="Tahoma"/>
            <family val="2"/>
          </rPr>
          <t>Paul Stone:</t>
        </r>
        <r>
          <rPr>
            <sz val="9"/>
            <color indexed="81"/>
            <rFont val="Tahoma"/>
            <family val="2"/>
          </rPr>
          <t xml:space="preserve">
Manually enter values in the yellow cells. See Instructions.</t>
        </r>
      </text>
    </comment>
    <comment ref="B38" authorId="1" shapeId="0">
      <text>
        <r>
          <rPr>
            <b/>
            <sz val="9"/>
            <color indexed="81"/>
            <rFont val="Tahoma"/>
            <family val="2"/>
          </rPr>
          <t>OSPI/SAFS:</t>
        </r>
        <r>
          <rPr>
            <sz val="9"/>
            <color indexed="81"/>
            <rFont val="Tahoma"/>
            <family val="2"/>
          </rPr>
          <t xml:space="preserve">
Amounts that are Assigned cannot reduce Unassigned Fund Balance to below zero. If amounts are Assigned but there is insufficient Fund Balance to cover them, the amount of the Assignment will be reduced accordingly.</t>
        </r>
      </text>
    </comment>
  </commentList>
</comments>
</file>

<file path=xl/comments2.xml><?xml version="1.0" encoding="utf-8"?>
<comments xmlns="http://schemas.openxmlformats.org/spreadsheetml/2006/main">
  <authors>
    <author>Ralph Fortunato</author>
  </authors>
  <commentList>
    <comment ref="E144" authorId="0" shapeId="0">
      <text>
        <r>
          <rPr>
            <b/>
            <sz val="9"/>
            <color indexed="81"/>
            <rFont val="Tahoma"/>
            <family val="2"/>
          </rPr>
          <t>Ralph Fortunato:</t>
        </r>
        <r>
          <rPr>
            <sz val="9"/>
            <color indexed="81"/>
            <rFont val="Tahoma"/>
            <family val="2"/>
          </rPr>
          <t xml:space="preserve">
calculated rate =-1.02% changed to 0%</t>
        </r>
      </text>
    </comment>
    <comment ref="F144" authorId="0" shapeId="0">
      <text>
        <r>
          <rPr>
            <b/>
            <sz val="9"/>
            <color indexed="81"/>
            <rFont val="Tahoma"/>
            <family val="2"/>
          </rPr>
          <t>Ralph Fortunato:</t>
        </r>
        <r>
          <rPr>
            <sz val="9"/>
            <color indexed="81"/>
            <rFont val="Tahoma"/>
            <family val="2"/>
          </rPr>
          <t xml:space="preserve">
calculated rate=-9.56% chnaged to 0%</t>
        </r>
      </text>
    </comment>
    <comment ref="F153" authorId="0" shapeId="0">
      <text>
        <r>
          <rPr>
            <b/>
            <sz val="9"/>
            <color indexed="81"/>
            <rFont val="Tahoma"/>
            <family val="2"/>
          </rPr>
          <t>Ralph Fortunato:</t>
        </r>
        <r>
          <rPr>
            <sz val="9"/>
            <color indexed="81"/>
            <rFont val="Tahoma"/>
            <family val="2"/>
          </rPr>
          <t xml:space="preserve">
calculated rate --10.45% changed to 0%</t>
        </r>
      </text>
    </comment>
    <comment ref="E158" authorId="0" shapeId="0">
      <text>
        <r>
          <rPr>
            <b/>
            <sz val="9"/>
            <color indexed="81"/>
            <rFont val="Tahoma"/>
            <family val="2"/>
          </rPr>
          <t>Ralph Fortunato:</t>
        </r>
        <r>
          <rPr>
            <sz val="9"/>
            <color indexed="81"/>
            <rFont val="Tahoma"/>
            <family val="2"/>
          </rPr>
          <t xml:space="preserve">
calculated rate=-0.20% changed to 0%</t>
        </r>
      </text>
    </comment>
    <comment ref="E202" authorId="0" shapeId="0">
      <text>
        <r>
          <rPr>
            <b/>
            <sz val="9"/>
            <color indexed="81"/>
            <rFont val="Tahoma"/>
            <family val="2"/>
          </rPr>
          <t>Ralph Fortunato:</t>
        </r>
        <r>
          <rPr>
            <sz val="9"/>
            <color indexed="81"/>
            <rFont val="Tahoma"/>
            <family val="2"/>
          </rPr>
          <t xml:space="preserve">
calculated rate =-1.56% changed to 0%</t>
        </r>
      </text>
    </comment>
    <comment ref="D272" authorId="0" shapeId="0">
      <text>
        <r>
          <rPr>
            <b/>
            <sz val="9"/>
            <color indexed="81"/>
            <rFont val="Tahoma"/>
            <family val="2"/>
          </rPr>
          <t>Ralph Fortunato:</t>
        </r>
        <r>
          <rPr>
            <sz val="9"/>
            <color indexed="81"/>
            <rFont val="Tahoma"/>
            <family val="2"/>
          </rPr>
          <t xml:space="preserve">
calculated rate 0%</t>
        </r>
      </text>
    </comment>
    <comment ref="E272" authorId="0" shapeId="0">
      <text>
        <r>
          <rPr>
            <b/>
            <sz val="9"/>
            <color indexed="81"/>
            <rFont val="Tahoma"/>
            <family val="2"/>
          </rPr>
          <t>Ralph Fortunato:</t>
        </r>
        <r>
          <rPr>
            <sz val="9"/>
            <color indexed="81"/>
            <rFont val="Tahoma"/>
            <family val="2"/>
          </rPr>
          <t xml:space="preserve">
calculated rate = -3.97 changed to 0%</t>
        </r>
      </text>
    </comment>
    <comment ref="F272" authorId="0" shapeId="0">
      <text>
        <r>
          <rPr>
            <b/>
            <sz val="9"/>
            <color indexed="81"/>
            <rFont val="Tahoma"/>
            <family val="2"/>
          </rPr>
          <t>Ralph Fortunato:</t>
        </r>
        <r>
          <rPr>
            <sz val="9"/>
            <color indexed="81"/>
            <rFont val="Tahoma"/>
            <family val="2"/>
          </rPr>
          <t xml:space="preserve">
calculated rate =-7.10% chnaged to 0%</t>
        </r>
      </text>
    </comment>
  </commentList>
</comments>
</file>

<file path=xl/comments3.xml><?xml version="1.0" encoding="utf-8"?>
<comments xmlns="http://schemas.openxmlformats.org/spreadsheetml/2006/main">
  <authors>
    <author>Paul Stone</author>
  </authors>
  <commentList>
    <comment ref="F1" authorId="0" shapeId="0">
      <text>
        <r>
          <rPr>
            <b/>
            <sz val="9"/>
            <color indexed="81"/>
            <rFont val="Tahoma"/>
            <charset val="1"/>
          </rPr>
          <t>Paul Stone: To Do - Once the 1800 sum report is completed for 18-19, move the 18-19 figures here.</t>
        </r>
        <r>
          <rPr>
            <sz val="9"/>
            <color indexed="81"/>
            <rFont val="Tahoma"/>
            <charset val="1"/>
          </rPr>
          <t xml:space="preserve">
</t>
        </r>
      </text>
    </comment>
    <comment ref="W213" authorId="0" shapeId="0">
      <text>
        <r>
          <rPr>
            <b/>
            <sz val="9"/>
            <color indexed="81"/>
            <rFont val="Tahoma"/>
            <family val="2"/>
          </rPr>
          <t>Paul Stone:</t>
        </r>
        <r>
          <rPr>
            <sz val="9"/>
            <color indexed="81"/>
            <rFont val="Tahoma"/>
            <family val="2"/>
          </rPr>
          <t xml:space="preserve">
Snoh 14-15 deficit clears all revenue thru 17-18</t>
        </r>
      </text>
    </comment>
  </commentList>
</comments>
</file>

<file path=xl/sharedStrings.xml><?xml version="1.0" encoding="utf-8"?>
<sst xmlns="http://schemas.openxmlformats.org/spreadsheetml/2006/main" count="10506" uniqueCount="2098">
  <si>
    <t>GL 840 - Nonspendable Fund Balance--Inventory and Prepaid Items</t>
  </si>
  <si>
    <t>Total Fund Balance</t>
  </si>
  <si>
    <t>Nonspendable</t>
  </si>
  <si>
    <t>GF</t>
  </si>
  <si>
    <t>CPF</t>
  </si>
  <si>
    <t>DSF</t>
  </si>
  <si>
    <t>ASB</t>
  </si>
  <si>
    <t>TVF</t>
  </si>
  <si>
    <t>PF</t>
  </si>
  <si>
    <t>GL 840 Inventory &amp; Prepaid Items</t>
  </si>
  <si>
    <t>GL 855 Trust Principal</t>
  </si>
  <si>
    <t>Restricted</t>
  </si>
  <si>
    <t>GL 810 Other Items</t>
  </si>
  <si>
    <t>GL 815 Unequalized Deductible Revenues</t>
  </si>
  <si>
    <t>GL 821 Carryover of Restricted Revenues</t>
  </si>
  <si>
    <t>GL 830 Debt Service</t>
  </si>
  <si>
    <t>GL 845 Self-Insurance</t>
  </si>
  <si>
    <t>GL 850 Uninsured Risks</t>
  </si>
  <si>
    <t>GL 861 Bond Proceeds</t>
  </si>
  <si>
    <t>GL 862 Levy Proceeds</t>
  </si>
  <si>
    <t>GL 863 State Proceeds</t>
  </si>
  <si>
    <t>GL 864 Federal Proceeds</t>
  </si>
  <si>
    <t>GL 865 Other Proceeds</t>
  </si>
  <si>
    <t>GL 866 Impact Fee Proceeds</t>
  </si>
  <si>
    <t>GL 867 Mitigation Fee Proceeds</t>
  </si>
  <si>
    <t>GL 869 Undistributed Proceeds</t>
  </si>
  <si>
    <t>Committed</t>
  </si>
  <si>
    <t>GL 870 Other Purposes</t>
  </si>
  <si>
    <t>Assigned</t>
  </si>
  <si>
    <t>GL 875 Contingencies</t>
  </si>
  <si>
    <t>GL 884 Other Capital Projects</t>
  </si>
  <si>
    <t>GL 888 Other Purposes</t>
  </si>
  <si>
    <t>GL 889 Fund Purposes</t>
  </si>
  <si>
    <t>Unassigned</t>
  </si>
  <si>
    <t>GL 890 Unassigned Fund Balance</t>
  </si>
  <si>
    <t>Reported Final Fund Balance</t>
  </si>
  <si>
    <t>GL 810 Restricted for Other Items (GF, CPF, DSF, ASB, TVF, PF)</t>
  </si>
  <si>
    <t>(Return to sheet)</t>
  </si>
  <si>
    <t>GL 815 Restricted for Unequalized Deductible Revenues</t>
  </si>
  <si>
    <t>General Fund Only, Cash Basis Districts Only</t>
  </si>
  <si>
    <t>(Return to summary sheet)</t>
  </si>
  <si>
    <t>Beginning Balance (from prior year financial data)</t>
  </si>
  <si>
    <t>Deductible revenues reduced in fiscal year</t>
  </si>
  <si>
    <t>Net balance</t>
  </si>
  <si>
    <t>Deductible revenues received but not equalized</t>
  </si>
  <si>
    <t>Revenue 1400 Local in Lieu of Taxes</t>
  </si>
  <si>
    <t>Revenue 1600 County-Administered Forests</t>
  </si>
  <si>
    <t>Revenue 3600 State Forests</t>
  </si>
  <si>
    <t>Revenue 5400 Federal in lieu of Taxes</t>
  </si>
  <si>
    <t>Revenue 5500 Federal Forests</t>
  </si>
  <si>
    <t>Total Deductible revenues received but not equalized</t>
  </si>
  <si>
    <t>GL 821 Restricted for Carryover of Restricted Revenues</t>
  </si>
  <si>
    <t>General Fund</t>
  </si>
  <si>
    <t>Special Education Program 21</t>
  </si>
  <si>
    <t>Direct Expenditures</t>
  </si>
  <si>
    <t>State Recovery Rate</t>
  </si>
  <si>
    <t>Add Current Year Allocation (from 1197)</t>
  </si>
  <si>
    <t>Total Available</t>
  </si>
  <si>
    <t>Expenditures</t>
  </si>
  <si>
    <t>Beginning Balance (PY Carryover)</t>
  </si>
  <si>
    <t>Revenue 3121 Allotment</t>
  </si>
  <si>
    <t>Indirect Expenditures</t>
  </si>
  <si>
    <t>Subtotal</t>
  </si>
  <si>
    <t>Revenue 7121</t>
  </si>
  <si>
    <t>Net</t>
  </si>
  <si>
    <t>Carryover</t>
  </si>
  <si>
    <t>LAP Program 55</t>
  </si>
  <si>
    <t>Federal Restricted Indirect Rate</t>
  </si>
  <si>
    <t>Federal Unrestricted Indirect Rate</t>
  </si>
  <si>
    <t>Vocational Education Program 31</t>
  </si>
  <si>
    <t>Minimum Direct Expenditures (from 1191)</t>
  </si>
  <si>
    <t>State Institutions Program 26</t>
  </si>
  <si>
    <t>State Institutions Program 56</t>
  </si>
  <si>
    <t>Total</t>
  </si>
  <si>
    <t>Program 21 Carryover</t>
  </si>
  <si>
    <t>Program 55 Carryover</t>
  </si>
  <si>
    <t>Program 31 Carryover</t>
  </si>
  <si>
    <t>Program 26 Carryover</t>
  </si>
  <si>
    <t>Program 56 Carryover</t>
  </si>
  <si>
    <t>Total Restricted Revenue Carryover</t>
  </si>
  <si>
    <t>CCDDD</t>
  </si>
  <si>
    <t>Due to the number of different options, we present some of the more common choices for fund balance policies.</t>
  </si>
  <si>
    <t>Policy based on percentage range of expenditures</t>
  </si>
  <si>
    <t>Total Fund Expenditures</t>
  </si>
  <si>
    <t>Minimum Fund Balance Policy Percent</t>
  </si>
  <si>
    <t>Maximum Fund Balance Policy Percent</t>
  </si>
  <si>
    <t>Minimum Fund Balance Policy Amount</t>
  </si>
  <si>
    <t>Maximum Fund Balance Policy Amount</t>
  </si>
  <si>
    <t>Policy based on single percentage of expenditures</t>
  </si>
  <si>
    <t>Fund Balance Policy Percent</t>
  </si>
  <si>
    <t>Fund Balance Policy Amount</t>
  </si>
  <si>
    <t>General Fund, ASB Fund</t>
  </si>
  <si>
    <t>Amount in GL 410 Inventory--Supplies and Materials</t>
  </si>
  <si>
    <t>Amount in GL 420 Inventory--Lunchrooms</t>
  </si>
  <si>
    <t>Amount in GL 430 Prepaid Items</t>
  </si>
  <si>
    <t>Total to Report in GL 840</t>
  </si>
  <si>
    <t>ASB Fund</t>
  </si>
  <si>
    <t>Total to Report in GL 840, Fund 4</t>
  </si>
  <si>
    <t>17408</t>
  </si>
  <si>
    <t>Capital Projects Fund</t>
  </si>
  <si>
    <t>Debt Service Fund</t>
  </si>
  <si>
    <t xml:space="preserve">ASB Fund </t>
  </si>
  <si>
    <t>Transportation Vehicle Fund</t>
  </si>
  <si>
    <t>Permanent Fund</t>
  </si>
  <si>
    <t>(Enter description of Restriction)</t>
  </si>
  <si>
    <t>GL 830 Restricted for Debt Service</t>
  </si>
  <si>
    <t>General Fund, Capital Projects Fund, Transportation Vehicle Fund</t>
  </si>
  <si>
    <t>Enter amount or other details as needed</t>
  </si>
  <si>
    <t>GL 835 Arbitrage Rebate</t>
  </si>
  <si>
    <t>GL 835 Restricted for Arbitrage Rebate</t>
  </si>
  <si>
    <t>General Fund, CPF, TVF, DSF</t>
  </si>
  <si>
    <t>GL 861 Restricted from Bond Proceeds</t>
  </si>
  <si>
    <t>Beginning Balance</t>
  </si>
  <si>
    <t>Additions</t>
  </si>
  <si>
    <t>Bonds Sold</t>
  </si>
  <si>
    <t>Interest Earned from Bonds</t>
  </si>
  <si>
    <t>Total Additions</t>
  </si>
  <si>
    <t>Expenditures (Source/Use Code 1)</t>
  </si>
  <si>
    <t>Ending Balance</t>
  </si>
  <si>
    <t>GL 863 Restricted from State Proceeds</t>
  </si>
  <si>
    <t>GL 864 Restricted from Federal Proceeds</t>
  </si>
  <si>
    <t>GL 865 Restricted from Other Proceeds</t>
  </si>
  <si>
    <t>GL 866 Restricted from Impact Fee Proceeds</t>
  </si>
  <si>
    <t>GL 867 Restricted from Mitigation Fee Proceeds</t>
  </si>
  <si>
    <t>GL 869 Restricted from Undistributed Proceeds</t>
  </si>
  <si>
    <t>Levy Revenue Collected</t>
  </si>
  <si>
    <t>Interest Earned from Levy Proceeds</t>
  </si>
  <si>
    <t>Expenditures (Source/Use Code 2)</t>
  </si>
  <si>
    <t>State Proceeds Received</t>
  </si>
  <si>
    <t>Interest Earned from State Proceeds</t>
  </si>
  <si>
    <t>Expenditures (Source/Use Code 3)</t>
  </si>
  <si>
    <t>Federal Proceeds Received</t>
  </si>
  <si>
    <t>Interest Earned from Federal Proceeds</t>
  </si>
  <si>
    <t>Expenditures (Source/Use Code 4)</t>
  </si>
  <si>
    <t>Other Financing Sources</t>
  </si>
  <si>
    <t>Interest Earned from O.F.S.</t>
  </si>
  <si>
    <t>Expenditures (Source/Use Code 5)</t>
  </si>
  <si>
    <t>Impact Fees Collected</t>
  </si>
  <si>
    <t>Interest Earned from Impact Fees</t>
  </si>
  <si>
    <t>Expenditures (Source/Use Code 6)</t>
  </si>
  <si>
    <t>Mitigation Fees Collected</t>
  </si>
  <si>
    <t>Interest Earned from Mitigation Fees</t>
  </si>
  <si>
    <t>Expenditures (Source/Use Code 7)</t>
  </si>
  <si>
    <t>Undistributed/Other Revenues</t>
  </si>
  <si>
    <t>Interest Earned</t>
  </si>
  <si>
    <t>Expenditures (Source/Use Code 9)</t>
  </si>
  <si>
    <t>GL 870 Committed to Other Purposes</t>
  </si>
  <si>
    <t>GF, CPF, DSF, ASB, PF, TVF</t>
  </si>
  <si>
    <t>Capital Projects</t>
  </si>
  <si>
    <t>Transportation Vehicle</t>
  </si>
  <si>
    <t>GL 855 - Nonspendable Fund Balance - Trust Principal</t>
  </si>
  <si>
    <t>(Return to Summary Sheet)</t>
  </si>
  <si>
    <t>Additions to Principal Balance</t>
  </si>
  <si>
    <t>GL 875 Assigned to Contingencies</t>
  </si>
  <si>
    <t>(Brief description of Contingency)</t>
  </si>
  <si>
    <t>GL 884 Assigned to Other Capital Projects</t>
  </si>
  <si>
    <t>(Enter a brief description of project)</t>
  </si>
  <si>
    <t>GL 888 Assigned to Other Purposes</t>
  </si>
  <si>
    <t>(Enter brief description of assignment's purposes)</t>
  </si>
  <si>
    <t>GL 845 Restricted for Self-Insurance</t>
  </si>
  <si>
    <t>(Description of amount)</t>
  </si>
  <si>
    <t>GL 850 Restricted for Uninsured Risks</t>
  </si>
  <si>
    <t>(Description of restriction)</t>
  </si>
  <si>
    <t>Enter the amount of arbitrage rebate calculated.</t>
  </si>
  <si>
    <t>SCHOOL  DISTRICT</t>
  </si>
  <si>
    <t>01109</t>
  </si>
  <si>
    <t>WASHTUCNA</t>
  </si>
  <si>
    <t>01122</t>
  </si>
  <si>
    <t>BENGE</t>
  </si>
  <si>
    <t>01147</t>
  </si>
  <si>
    <t>OTHELLO</t>
  </si>
  <si>
    <t>01158</t>
  </si>
  <si>
    <t>LIND</t>
  </si>
  <si>
    <t>01160</t>
  </si>
  <si>
    <t>RITZVILLE</t>
  </si>
  <si>
    <t>02250</t>
  </si>
  <si>
    <t>CLARKSTON</t>
  </si>
  <si>
    <t>02420</t>
  </si>
  <si>
    <t>ASOTIN</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</si>
  <si>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</si>
  <si>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</si>
  <si>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</si>
  <si>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</si>
  <si>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</si>
  <si>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</si>
  <si>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</si>
  <si>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</si>
  <si>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</si>
  <si>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</si>
  <si>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</si>
  <si>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</si>
  <si>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</si>
  <si>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</si>
  <si>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</si>
  <si>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</si>
  <si>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</si>
  <si>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</si>
  <si>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</si>
  <si>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</si>
  <si>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</si>
  <si>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</si>
  <si>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</si>
  <si>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</si>
  <si>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</si>
  <si>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</si>
  <si>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</si>
  <si>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</si>
  <si>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</si>
  <si>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</si>
  <si>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</si>
  <si>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</si>
  <si>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</si>
  <si>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</si>
  <si>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</si>
  <si>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</si>
  <si>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06037</t>
  </si>
  <si>
    <t>VANCOUVER</t>
  </si>
  <si>
    <t>06098</t>
  </si>
  <si>
    <t>HOCKINSON</t>
  </si>
  <si>
    <t>06101</t>
  </si>
  <si>
    <t>06103</t>
  </si>
  <si>
    <t>GREEN MOUNTAIN</t>
  </si>
  <si>
    <t>06112</t>
  </si>
  <si>
    <t>WASHOUGAL</t>
  </si>
  <si>
    <t>06114</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</si>
  <si>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</si>
  <si>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</si>
  <si>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</si>
  <si>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</si>
  <si>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</si>
  <si>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</si>
  <si>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</si>
  <si>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</si>
  <si>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</si>
  <si>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</si>
  <si>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</si>
  <si>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</si>
  <si>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</si>
  <si>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</si>
  <si>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</si>
  <si>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</si>
  <si>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</si>
  <si>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</si>
  <si>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</si>
  <si>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</si>
  <si>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</si>
  <si>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</si>
  <si>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</si>
  <si>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</si>
  <si>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</si>
  <si>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</si>
  <si>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</si>
  <si>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</si>
  <si>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</si>
  <si>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</si>
  <si>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</si>
  <si>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</si>
  <si>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</si>
  <si>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</si>
  <si>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</si>
  <si>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</si>
  <si>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</si>
  <si>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</si>
  <si>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</si>
  <si>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</si>
  <si>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</si>
  <si>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</si>
  <si>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</si>
  <si>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</si>
  <si>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</si>
  <si>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</si>
  <si>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</si>
  <si>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</si>
  <si>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</si>
  <si>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</si>
  <si>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</si>
  <si>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</si>
  <si>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</si>
  <si>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</si>
  <si>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</si>
  <si>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</si>
  <si>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</si>
  <si>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</si>
  <si>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</si>
  <si>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</si>
  <si>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</si>
  <si>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</si>
  <si>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</si>
  <si>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</si>
  <si>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</si>
  <si>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</si>
  <si>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</si>
  <si>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</si>
  <si>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</si>
  <si>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</si>
  <si>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</si>
  <si>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</si>
  <si>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</si>
  <si>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</si>
  <si>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</si>
  <si>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</si>
  <si>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</si>
  <si>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</si>
  <si>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</si>
  <si>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</si>
  <si>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</si>
  <si>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</si>
  <si>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</si>
  <si>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</si>
  <si>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</si>
  <si>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</si>
  <si>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</si>
  <si>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</si>
  <si>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</si>
  <si>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LAKE QUINAULT</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</si>
  <si>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</si>
  <si>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</si>
  <si>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</si>
  <si>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</si>
  <si>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</si>
  <si>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</si>
  <si>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</si>
  <si>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</si>
  <si>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</si>
  <si>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</si>
  <si>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</si>
  <si>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</si>
  <si>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</si>
  <si>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</si>
  <si>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</si>
  <si>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</si>
  <si>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</si>
  <si>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</si>
  <si>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</si>
  <si>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</si>
  <si>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</si>
  <si>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</si>
  <si>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</si>
  <si>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</si>
  <si>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</si>
  <si>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</si>
  <si>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</si>
  <si>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</si>
  <si>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</si>
  <si>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</si>
  <si>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</si>
  <si>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</si>
  <si>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</si>
  <si>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</si>
  <si>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</si>
  <si>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</si>
  <si>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</si>
  <si>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</si>
  <si>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</si>
  <si>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</si>
  <si>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</si>
  <si>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</si>
  <si>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</si>
  <si>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</si>
  <si>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</si>
  <si>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 xml:space="preserve">TUKWILA </t>
  </si>
  <si>
    <t>17407</t>
  </si>
  <si>
    <t>RIVERVIEW</t>
  </si>
  <si>
    <t>AUBURN</t>
  </si>
  <si>
    <t>17409</t>
  </si>
  <si>
    <t>TAHOMA</t>
  </si>
  <si>
    <t>17410</t>
  </si>
  <si>
    <t>17411</t>
  </si>
  <si>
    <t>ISSAQUAH</t>
  </si>
  <si>
    <t>17412</t>
  </si>
  <si>
    <t>SHORELINE</t>
  </si>
  <si>
    <t>17414</t>
  </si>
  <si>
    <t>LAKE WASHINGTON</t>
  </si>
  <si>
    <t>17415</t>
  </si>
  <si>
    <t>KENT</t>
  </si>
  <si>
    <t>17417</t>
  </si>
  <si>
    <t>NORTHSHORE</t>
  </si>
  <si>
    <t>18100</t>
  </si>
  <si>
    <t>BREMERTON</t>
  </si>
  <si>
    <t>18303</t>
  </si>
  <si>
    <t>BAINBRIDGE</t>
  </si>
  <si>
    <t>18400</t>
  </si>
  <si>
    <t>NORTH KITSAP</t>
  </si>
  <si>
    <t>18401</t>
  </si>
  <si>
    <t>CENTRAL KITSAP</t>
  </si>
  <si>
    <t>18402</t>
  </si>
  <si>
    <t>SOUTH KITSAP</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</si>
  <si>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</si>
  <si>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</si>
  <si>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</si>
  <si>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</si>
  <si>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</si>
  <si>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</si>
  <si>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</si>
  <si>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</si>
  <si>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</si>
  <si>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</si>
  <si>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</si>
  <si>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</si>
  <si>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</si>
  <si>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</si>
  <si>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</si>
  <si>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</si>
  <si>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</si>
  <si>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</si>
  <si>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</si>
  <si>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</si>
  <si>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</si>
  <si>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</si>
  <si>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</si>
  <si>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</si>
  <si>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</si>
  <si>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</si>
  <si>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</si>
  <si>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</si>
  <si>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</si>
  <si>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</si>
  <si>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</si>
  <si>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</si>
  <si>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</si>
  <si>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</si>
  <si>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</si>
  <si>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</si>
  <si>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</si>
  <si>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</si>
  <si>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</si>
  <si>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</si>
  <si>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</si>
  <si>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</si>
  <si>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</si>
  <si>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</si>
  <si>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</si>
  <si>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</si>
  <si>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</si>
  <si>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</si>
  <si>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</si>
  <si>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</si>
  <si>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</si>
  <si>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</si>
  <si>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</si>
  <si>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</si>
  <si>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</si>
  <si>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</si>
  <si>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</si>
  <si>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</si>
  <si>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</si>
  <si>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</si>
  <si>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</si>
  <si>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</si>
  <si>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</si>
  <si>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</si>
  <si>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</si>
  <si>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</si>
  <si>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</si>
  <si>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</si>
  <si>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</si>
  <si>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</si>
  <si>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</si>
  <si>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</si>
  <si>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</si>
  <si>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</si>
  <si>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</si>
  <si>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</si>
  <si>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</si>
  <si>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</si>
  <si>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</si>
  <si>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</si>
  <si>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</si>
  <si>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</si>
  <si>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</si>
  <si>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</si>
  <si>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</si>
  <si>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</si>
  <si>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</si>
  <si>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</si>
  <si>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</si>
  <si>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</si>
  <si>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</si>
  <si>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</si>
  <si>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</si>
  <si>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</si>
  <si>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</si>
  <si>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</si>
  <si>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</si>
  <si>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</si>
  <si>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</si>
  <si>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</si>
  <si>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</si>
  <si>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</si>
  <si>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</si>
  <si>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</si>
  <si>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</si>
  <si>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</si>
  <si>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</si>
  <si>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</si>
  <si>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</si>
  <si>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</si>
  <si>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</si>
  <si>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25160</t>
  </si>
  <si>
    <t>WILLAPA VALLEY</t>
  </si>
  <si>
    <t>25200</t>
  </si>
  <si>
    <t>NORTH RIVER</t>
  </si>
  <si>
    <t>26056</t>
  </si>
  <si>
    <t>NEWPORT</t>
  </si>
  <si>
    <t>26059</t>
  </si>
  <si>
    <t>CUSICK</t>
  </si>
  <si>
    <t>26070</t>
  </si>
  <si>
    <t>SELKIRK</t>
  </si>
  <si>
    <t>27001</t>
  </si>
  <si>
    <t>STEILACOOM HIST.</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</si>
  <si>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</si>
  <si>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</si>
  <si>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</si>
  <si>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</si>
  <si>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</si>
  <si>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</si>
  <si>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</si>
  <si>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</si>
  <si>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</si>
  <si>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</si>
  <si>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</si>
  <si>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</si>
  <si>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</si>
  <si>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</si>
  <si>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</si>
  <si>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</si>
  <si>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</si>
  <si>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</si>
  <si>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</si>
  <si>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</si>
  <si>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</si>
  <si>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</si>
  <si>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</si>
  <si>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</si>
  <si>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</si>
  <si>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</si>
  <si>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</si>
  <si>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</si>
  <si>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28010</t>
  </si>
  <si>
    <t>SHAW</t>
  </si>
  <si>
    <t>28137</t>
  </si>
  <si>
    <t>ORCAS</t>
  </si>
  <si>
    <t>28144</t>
  </si>
  <si>
    <t>LOPEZ</t>
  </si>
  <si>
    <t>28149</t>
  </si>
  <si>
    <t>SAN JUAN</t>
  </si>
  <si>
    <t>29011</t>
  </si>
  <si>
    <t>CONCRETE</t>
  </si>
  <si>
    <t>29100</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</si>
  <si>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</si>
  <si>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</si>
  <si>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</si>
  <si>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</si>
  <si>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</si>
  <si>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</si>
  <si>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</si>
  <si>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</si>
  <si>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</si>
  <si>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</si>
  <si>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</si>
  <si>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</si>
  <si>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</si>
  <si>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</si>
  <si>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</si>
  <si>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</si>
  <si>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</si>
  <si>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</si>
  <si>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</si>
  <si>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</si>
  <si>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</si>
  <si>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</si>
  <si>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</si>
  <si>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</si>
  <si>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</si>
  <si>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</si>
  <si>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</si>
  <si>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</si>
  <si>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</si>
  <si>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</si>
  <si>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</si>
  <si>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</si>
  <si>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</si>
  <si>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</si>
  <si>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</si>
  <si>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</si>
  <si>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</si>
  <si>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</si>
  <si>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</si>
  <si>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</si>
  <si>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</si>
  <si>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</si>
  <si>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</si>
  <si>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</si>
  <si>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</si>
  <si>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</si>
  <si>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</si>
  <si>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</si>
  <si>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</si>
  <si>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</si>
  <si>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</si>
  <si>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</si>
  <si>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</si>
  <si>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</si>
  <si>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</si>
  <si>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</si>
  <si>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</si>
  <si>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</si>
  <si>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</si>
  <si>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</si>
  <si>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</si>
  <si>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</si>
  <si>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</si>
  <si>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</si>
  <si>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</si>
  <si>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32362</t>
  </si>
  <si>
    <t>LIBERTY</t>
  </si>
  <si>
    <t>32363</t>
  </si>
  <si>
    <t>32414</t>
  </si>
  <si>
    <t>DEER PARK</t>
  </si>
  <si>
    <t>32416</t>
  </si>
  <si>
    <t>RIVERSIDE</t>
  </si>
  <si>
    <t>33030</t>
  </si>
  <si>
    <t>ONION CREEK</t>
  </si>
  <si>
    <t>33036</t>
  </si>
  <si>
    <t>CHEWELAH</t>
  </si>
  <si>
    <t>33049</t>
  </si>
  <si>
    <t>WELLPINIT</t>
  </si>
  <si>
    <t>33070</t>
  </si>
  <si>
    <t>VALLEY</t>
  </si>
  <si>
    <t>33115</t>
  </si>
  <si>
    <t>COLVILLE</t>
  </si>
  <si>
    <t>33183</t>
  </si>
  <si>
    <t>LOON LAKE</t>
  </si>
  <si>
    <t>33202</t>
  </si>
  <si>
    <t>SUMMIT VALLEY</t>
  </si>
  <si>
    <t>33205</t>
  </si>
  <si>
    <t>33206</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</si>
  <si>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</si>
  <si>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</si>
  <si>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</si>
  <si>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</si>
  <si>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</si>
  <si>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</si>
  <si>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</si>
  <si>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</si>
  <si>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</si>
  <si>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</si>
  <si>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</si>
  <si>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</si>
  <si>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</si>
  <si>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</si>
  <si>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</si>
  <si>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</si>
  <si>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</si>
  <si>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</si>
  <si>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</si>
  <si>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</si>
  <si>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</si>
  <si>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</si>
  <si>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35200</t>
  </si>
  <si>
    <t>WAHKIAKUM</t>
  </si>
  <si>
    <t>36101</t>
  </si>
  <si>
    <t>DIXIE</t>
  </si>
  <si>
    <t>36140</t>
  </si>
  <si>
    <t>WALLA WALLA</t>
  </si>
  <si>
    <t>36250</t>
  </si>
  <si>
    <t>COLLEGE PLACE</t>
  </si>
  <si>
    <t>36300</t>
  </si>
  <si>
    <t>TOUCHET</t>
  </si>
  <si>
    <t>36400</t>
  </si>
  <si>
    <t>36401</t>
  </si>
  <si>
    <t>WAITSBURG</t>
  </si>
  <si>
    <t>36402</t>
  </si>
  <si>
    <t>PRESCOTT</t>
  </si>
  <si>
    <t>37501</t>
  </si>
  <si>
    <t>BELLINGHAM</t>
  </si>
  <si>
    <t>37502</t>
  </si>
  <si>
    <t>FERNDALE</t>
  </si>
  <si>
    <t>37503</t>
  </si>
  <si>
    <t>BLAINE</t>
  </si>
  <si>
    <t>37504</t>
  </si>
  <si>
    <t>LYNDEN</t>
  </si>
  <si>
    <t>37505</t>
  </si>
  <si>
    <t>MERIDIAN</t>
  </si>
  <si>
    <t>37506</t>
  </si>
  <si>
    <t>NOOKSACK VALLEY</t>
  </si>
  <si>
    <t>37507</t>
  </si>
  <si>
    <t>MOUNT BAKER</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</si>
  <si>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</si>
  <si>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</si>
  <si>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</si>
  <si>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</si>
  <si>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</si>
  <si>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</si>
  <si>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</si>
  <si>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</si>
  <si>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</si>
  <si>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</si>
  <si>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</si>
  <si>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</si>
  <si>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</si>
  <si>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</si>
  <si>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</si>
  <si>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</si>
  <si>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</si>
  <si>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</si>
  <si>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</si>
  <si>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</si>
  <si>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</si>
  <si>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</si>
  <si>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</si>
  <si>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</si>
  <si>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</si>
  <si>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</si>
  <si>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</si>
  <si>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</si>
  <si>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</si>
  <si>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</si>
  <si>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</si>
  <si>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</si>
  <si>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</si>
  <si>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</si>
  <si>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</si>
  <si>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</si>
  <si>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</si>
  <si>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</si>
  <si>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</si>
  <si>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</si>
  <si>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</si>
  <si>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</si>
  <si>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</si>
  <si>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</si>
  <si>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</si>
  <si>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</si>
  <si>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</si>
  <si>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</si>
  <si>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</si>
  <si>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</si>
  <si>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</si>
  <si>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</si>
  <si>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39209</t>
  </si>
  <si>
    <t>MOUNT ADAMS</t>
  </si>
  <si>
    <t>Class</t>
  </si>
  <si>
    <t>Basis</t>
  </si>
  <si>
    <t>Nonhigh</t>
  </si>
  <si>
    <t>609</t>
  </si>
  <si>
    <t>619</t>
  </si>
  <si>
    <t>620</t>
  </si>
  <si>
    <t>Row Labels</t>
  </si>
  <si>
    <t>CARRYOVER</t>
  </si>
  <si>
    <t>ACCT. 4159</t>
  </si>
  <si>
    <t>4121</t>
  </si>
  <si>
    <t>4155</t>
  </si>
  <si>
    <t>4165</t>
  </si>
  <si>
    <t>4174</t>
  </si>
  <si>
    <t>4199</t>
  </si>
  <si>
    <t>INST. 59</t>
  </si>
  <si>
    <t>STATE</t>
  </si>
  <si>
    <t>INST INDIRECT</t>
  </si>
  <si>
    <t>INST. 26</t>
  </si>
  <si>
    <t>FIRE DIST</t>
  </si>
  <si>
    <t>EXPEND</t>
  </si>
  <si>
    <t>PAY</t>
  </si>
  <si>
    <t>FTE</t>
  </si>
  <si>
    <t>ENHANCE</t>
  </si>
  <si>
    <t>ccddd</t>
  </si>
  <si>
    <t>Select District =&gt;</t>
  </si>
  <si>
    <t>04801</t>
  </si>
  <si>
    <t>06801</t>
  </si>
  <si>
    <t>11801</t>
  </si>
  <si>
    <t>17801</t>
  </si>
  <si>
    <t>18801</t>
  </si>
  <si>
    <t>29801</t>
  </si>
  <si>
    <t>32801</t>
  </si>
  <si>
    <t>34801</t>
  </si>
  <si>
    <t>39801</t>
  </si>
  <si>
    <t>Policy based on set amount</t>
  </si>
  <si>
    <t>Cash</t>
  </si>
  <si>
    <t>No</t>
  </si>
  <si>
    <t>Yes</t>
  </si>
  <si>
    <t>Accrual</t>
  </si>
  <si>
    <t>Cash Basis Districts - Recovery of Restricted Revenues</t>
  </si>
  <si>
    <t>Recovery</t>
  </si>
  <si>
    <t>Middle School Vocational Education Program 34</t>
  </si>
  <si>
    <t>State Institutions Program 59</t>
  </si>
  <si>
    <t>Highly Capable Program 74</t>
  </si>
  <si>
    <t>Current Year Allocation</t>
  </si>
  <si>
    <t>Student Transportation Program 99</t>
  </si>
  <si>
    <t>Revenue 7199</t>
  </si>
  <si>
    <t>Program 74 Recovery</t>
  </si>
  <si>
    <t>Bilingual Program 65</t>
  </si>
  <si>
    <t>Program 65 Recovery</t>
  </si>
  <si>
    <t>Program 99 Recovery</t>
  </si>
  <si>
    <t>Program 34 Carryover</t>
  </si>
  <si>
    <t>Program 59 Carryover</t>
  </si>
  <si>
    <t>Total Carryover Amounts</t>
  </si>
  <si>
    <t>Program 21 Recovery</t>
  </si>
  <si>
    <t>Program 26 Recovery</t>
  </si>
  <si>
    <t>Program 31 Recovery</t>
  </si>
  <si>
    <t>Program 34 Recovery</t>
  </si>
  <si>
    <t>Program 55 Recovery</t>
  </si>
  <si>
    <t>Program 56 Recovery</t>
  </si>
  <si>
    <t>Program 59 Recovery</t>
  </si>
  <si>
    <t>Total Recovery of Restricted Revenues (Cash Basis Only)</t>
  </si>
  <si>
    <t>GRAND TOTAL  RESTRICTED CARRYOVER/RECOVERY</t>
  </si>
  <si>
    <t>Districts may not need to utilize every fund balance GL code presented here. If a particular GL code does not apply to your district, you are not required to use it.</t>
  </si>
  <si>
    <t>SHEET: FUND BALANCE SUMMARY</t>
  </si>
  <si>
    <t>Line 7 will calculate the total Fund Balance available for each fund.</t>
  </si>
  <si>
    <t>(Briefly describe the Commitment)</t>
  </si>
  <si>
    <t>Debt Service</t>
  </si>
  <si>
    <t>EVERGREEN (CLARK)</t>
  </si>
  <si>
    <t>EAST VALLEY (SPOKANE)</t>
  </si>
  <si>
    <t>WEST VALLEY (SPOKANE)</t>
  </si>
  <si>
    <t>EVERGREEN (STEVENS)</t>
  </si>
  <si>
    <t>COLUMBIA (STEVENS)</t>
  </si>
  <si>
    <t>COLUMBIA (WALLA WALLA)</t>
  </si>
  <si>
    <t>EAST VALLEY (YAKIMA)</t>
  </si>
  <si>
    <t>WEST VALLEY (YAKIMA)</t>
  </si>
  <si>
    <t>ACCRUAL DISTRCTS: AMOUNT TO RECORD IN GL 630 FOR POTENTIALRECOVERY</t>
  </si>
  <si>
    <t>(Click here for sample journal entries relating to recovery.)</t>
  </si>
  <si>
    <t>(Click here to go back to the GL 821 page.)</t>
  </si>
  <si>
    <t>JOURNAL ENTRIES: Recovery</t>
  </si>
  <si>
    <t>If an accrual-basis district has recovery of state revenues, they record a liability to the state.</t>
  </si>
  <si>
    <t>The offset is revenues (received but not "earned").</t>
  </si>
  <si>
    <t>XXX</t>
  </si>
  <si>
    <t>CR GL 630 Due to Other Governmental Units</t>
  </si>
  <si>
    <t>In the following year, the revenues will be reduced from the amount paid through Apportionment.</t>
  </si>
  <si>
    <t>The amount "earned" for that year is still the same, but some of it was paid in the prior year.</t>
  </si>
  <si>
    <t>DR GL 240 Cash on Deposit with County Treasurer</t>
  </si>
  <si>
    <t>XX</t>
  </si>
  <si>
    <t>DR GL 630 Due to Other Governmental Units</t>
  </si>
  <si>
    <t>CR GL 960 Revenues (w/ appropriate sub-coding)</t>
  </si>
  <si>
    <t>XXXXX</t>
  </si>
  <si>
    <t>DR GL 960 Revenues (w/ appropriate sub-coding)</t>
  </si>
  <si>
    <t>(same amount from prior year)</t>
  </si>
  <si>
    <t>GL 828 Restricted for Carryover of Food Service Revenue</t>
  </si>
  <si>
    <t>District</t>
  </si>
  <si>
    <t>2010-11</t>
  </si>
  <si>
    <t>TOTAL</t>
  </si>
  <si>
    <t xml:space="preserve">WASHTUCNA           </t>
  </si>
  <si>
    <t xml:space="preserve">OTHELLO             </t>
  </si>
  <si>
    <t xml:space="preserve">LIND                </t>
  </si>
  <si>
    <t xml:space="preserve">RITZVILLE           </t>
  </si>
  <si>
    <t xml:space="preserve">CLARKSTON           </t>
  </si>
  <si>
    <t xml:space="preserve">ASOTIN              </t>
  </si>
  <si>
    <t xml:space="preserve">KENNEWICK           </t>
  </si>
  <si>
    <t xml:space="preserve">PATERSON            </t>
  </si>
  <si>
    <t xml:space="preserve">KIONA BENTON        </t>
  </si>
  <si>
    <t xml:space="preserve">FINLEY              </t>
  </si>
  <si>
    <t xml:space="preserve">PROSSER             </t>
  </si>
  <si>
    <t xml:space="preserve">RICHLAND            </t>
  </si>
  <si>
    <t xml:space="preserve">MANSON              </t>
  </si>
  <si>
    <t xml:space="preserve">ENTIAT              </t>
  </si>
  <si>
    <t xml:space="preserve">LAKE CHELAN         </t>
  </si>
  <si>
    <t xml:space="preserve">CASHMERE            </t>
  </si>
  <si>
    <t xml:space="preserve">CASCADE             </t>
  </si>
  <si>
    <t xml:space="preserve">WENATCHEE           </t>
  </si>
  <si>
    <t xml:space="preserve">PORT ANGELES        </t>
  </si>
  <si>
    <t xml:space="preserve">CRESCENT            </t>
  </si>
  <si>
    <t xml:space="preserve">SEQUIM              </t>
  </si>
  <si>
    <t xml:space="preserve">CAPE FLATTERY       </t>
  </si>
  <si>
    <t xml:space="preserve">QUILLAYUTE VALLEY   </t>
  </si>
  <si>
    <t xml:space="preserve">VANCOUVER           </t>
  </si>
  <si>
    <t xml:space="preserve">HOCKINSON           </t>
  </si>
  <si>
    <t xml:space="preserve">LACENTER            </t>
  </si>
  <si>
    <t xml:space="preserve">GREEN MOUNTAIN      </t>
  </si>
  <si>
    <t xml:space="preserve">WASHOUGAL           </t>
  </si>
  <si>
    <t xml:space="preserve">EVERGREEN           </t>
  </si>
  <si>
    <t xml:space="preserve">CAMAS               </t>
  </si>
  <si>
    <t xml:space="preserve">BATTLE GROUND       </t>
  </si>
  <si>
    <t xml:space="preserve">RIDGEFIELD          </t>
  </si>
  <si>
    <t xml:space="preserve">DAYTON              </t>
  </si>
  <si>
    <t xml:space="preserve">LONGVIEW            </t>
  </si>
  <si>
    <t xml:space="preserve">TOUTLE LAKE         </t>
  </si>
  <si>
    <t xml:space="preserve">CASTLE ROCK         </t>
  </si>
  <si>
    <t xml:space="preserve">KALAMA              </t>
  </si>
  <si>
    <t xml:space="preserve">WOODLAND            </t>
  </si>
  <si>
    <t xml:space="preserve">KELSO               </t>
  </si>
  <si>
    <t xml:space="preserve">ORONDO              </t>
  </si>
  <si>
    <t xml:space="preserve">BRIDGEPORT          </t>
  </si>
  <si>
    <t xml:space="preserve">PALISADES           </t>
  </si>
  <si>
    <t xml:space="preserve">EASTMONT            </t>
  </si>
  <si>
    <t xml:space="preserve">MANSFIELD           </t>
  </si>
  <si>
    <t xml:space="preserve">WATERVILLE          </t>
  </si>
  <si>
    <t xml:space="preserve">KELLER              </t>
  </si>
  <si>
    <t xml:space="preserve">CURLEW              </t>
  </si>
  <si>
    <t xml:space="preserve">ORIENT              </t>
  </si>
  <si>
    <t xml:space="preserve">INCHELIUM           </t>
  </si>
  <si>
    <t xml:space="preserve">REPUBLIC            </t>
  </si>
  <si>
    <t xml:space="preserve">PASCO               </t>
  </si>
  <si>
    <t xml:space="preserve">NORTH FRANKLIN      </t>
  </si>
  <si>
    <t xml:space="preserve">KAHLOTUS            </t>
  </si>
  <si>
    <t xml:space="preserve">POMEROY             </t>
  </si>
  <si>
    <t xml:space="preserve">WAHLUKE             </t>
  </si>
  <si>
    <t xml:space="preserve">QUINCY              </t>
  </si>
  <si>
    <t xml:space="preserve">WARDEN              </t>
  </si>
  <si>
    <t xml:space="preserve">COULEE HARTLINE     </t>
  </si>
  <si>
    <t xml:space="preserve">SOAP LAKE           </t>
  </si>
  <si>
    <t xml:space="preserve">ROYAL               </t>
  </si>
  <si>
    <t xml:space="preserve">MOSES LAKE          </t>
  </si>
  <si>
    <t xml:space="preserve">EPHRATA             </t>
  </si>
  <si>
    <t xml:space="preserve">WILSON CREEK        </t>
  </si>
  <si>
    <t xml:space="preserve">GRAND COULEE DAM    </t>
  </si>
  <si>
    <t xml:space="preserve">ABERDEEN            </t>
  </si>
  <si>
    <t xml:space="preserve">HOQUIAM             </t>
  </si>
  <si>
    <t xml:space="preserve">NORTH BEACH         </t>
  </si>
  <si>
    <t xml:space="preserve">MC CLEARY           </t>
  </si>
  <si>
    <t xml:space="preserve">MONTESANO           </t>
  </si>
  <si>
    <t xml:space="preserve">ELMA                </t>
  </si>
  <si>
    <t xml:space="preserve">TAHOLAH             </t>
  </si>
  <si>
    <t xml:space="preserve">QUINAULT            </t>
  </si>
  <si>
    <t xml:space="preserve">COSMOPOLIS          </t>
  </si>
  <si>
    <t xml:space="preserve">SATSOP              </t>
  </si>
  <si>
    <t xml:space="preserve">WISHKAH VALLEY      </t>
  </si>
  <si>
    <t xml:space="preserve">OCOSTA              </t>
  </si>
  <si>
    <t xml:space="preserve">OAKVILLE            </t>
  </si>
  <si>
    <t xml:space="preserve">OAK HARBOR          </t>
  </si>
  <si>
    <t xml:space="preserve">COUPEVILLE          </t>
  </si>
  <si>
    <t xml:space="preserve">SOUTH WHIDBEY       </t>
  </si>
  <si>
    <t xml:space="preserve">CLEARWATER          </t>
  </si>
  <si>
    <t xml:space="preserve">BRINNON             </t>
  </si>
  <si>
    <t xml:space="preserve">QUILCENE            </t>
  </si>
  <si>
    <t xml:space="preserve">CHIMACUM            </t>
  </si>
  <si>
    <t xml:space="preserve">PORT TOWNSEND       </t>
  </si>
  <si>
    <t xml:space="preserve">SEATTLE             </t>
  </si>
  <si>
    <t xml:space="preserve">FEDERAL WAY         </t>
  </si>
  <si>
    <t xml:space="preserve">ENUMCLAW            </t>
  </si>
  <si>
    <t xml:space="preserve">MERCER ISLAND       </t>
  </si>
  <si>
    <t xml:space="preserve">HIGHLINE            </t>
  </si>
  <si>
    <t xml:space="preserve">VASHON ISLAND       </t>
  </si>
  <si>
    <t xml:space="preserve">RENTON              </t>
  </si>
  <si>
    <t xml:space="preserve">SKYKOMISH           </t>
  </si>
  <si>
    <t xml:space="preserve">BELLEVUE            </t>
  </si>
  <si>
    <t xml:space="preserve">TUKWILA             </t>
  </si>
  <si>
    <t xml:space="preserve">RIVERVIEW           </t>
  </si>
  <si>
    <t xml:space="preserve">AUBURN              </t>
  </si>
  <si>
    <t xml:space="preserve">TAHOMA              </t>
  </si>
  <si>
    <t xml:space="preserve">SNOQUALMIE VALLEY   </t>
  </si>
  <si>
    <t xml:space="preserve">ISSAQUAH            </t>
  </si>
  <si>
    <t xml:space="preserve">SHORELINE           </t>
  </si>
  <si>
    <t xml:space="preserve">LAKE WASHINGTON     </t>
  </si>
  <si>
    <t xml:space="preserve">KENT                </t>
  </si>
  <si>
    <t xml:space="preserve">NORTHSHORE          </t>
  </si>
  <si>
    <t xml:space="preserve">BREMERTON           </t>
  </si>
  <si>
    <t xml:space="preserve">BAINBRIDGE          </t>
  </si>
  <si>
    <t xml:space="preserve">NORTH KITSAP        </t>
  </si>
  <si>
    <t xml:space="preserve">CENTRAL KITSAP      </t>
  </si>
  <si>
    <t xml:space="preserve">SOUTH KITSAP        </t>
  </si>
  <si>
    <t xml:space="preserve">EASTON              </t>
  </si>
  <si>
    <t xml:space="preserve">THORP               </t>
  </si>
  <si>
    <t xml:space="preserve">ELLENSBURG          </t>
  </si>
  <si>
    <t xml:space="preserve">KITTITAS            </t>
  </si>
  <si>
    <t xml:space="preserve">CLE ELUM ROSLYN     </t>
  </si>
  <si>
    <t xml:space="preserve">WISHRAM             </t>
  </si>
  <si>
    <t xml:space="preserve">CENTERVILLE         </t>
  </si>
  <si>
    <t xml:space="preserve">GLENWOOD            </t>
  </si>
  <si>
    <t xml:space="preserve">GOLDENDALE          </t>
  </si>
  <si>
    <t xml:space="preserve">WHITE SALMON        </t>
  </si>
  <si>
    <t xml:space="preserve">LYLE                </t>
  </si>
  <si>
    <t xml:space="preserve">NAPAVINE            </t>
  </si>
  <si>
    <t xml:space="preserve">MOSSYROCK           </t>
  </si>
  <si>
    <t xml:space="preserve">MORTON              </t>
  </si>
  <si>
    <t xml:space="preserve">ADNA                </t>
  </si>
  <si>
    <t xml:space="preserve">WINLOCK             </t>
  </si>
  <si>
    <t xml:space="preserve">BOISTFORT           </t>
  </si>
  <si>
    <t xml:space="preserve">TOLEDO              </t>
  </si>
  <si>
    <t xml:space="preserve">ONALASKA            </t>
  </si>
  <si>
    <t xml:space="preserve">PE ELL              </t>
  </si>
  <si>
    <t xml:space="preserve">CHEHALIS            </t>
  </si>
  <si>
    <t xml:space="preserve">WHITE PASS          </t>
  </si>
  <si>
    <t xml:space="preserve">CENTRALIA           </t>
  </si>
  <si>
    <t xml:space="preserve">SPRAGUE             </t>
  </si>
  <si>
    <t xml:space="preserve">REARDAN             </t>
  </si>
  <si>
    <t xml:space="preserve">ALMIRA              </t>
  </si>
  <si>
    <t xml:space="preserve">CRESTON             </t>
  </si>
  <si>
    <t xml:space="preserve">ODESSA              </t>
  </si>
  <si>
    <t xml:space="preserve">WILBUR              </t>
  </si>
  <si>
    <t xml:space="preserve">HARRINGTON          </t>
  </si>
  <si>
    <t xml:space="preserve">DAVENPORT           </t>
  </si>
  <si>
    <t xml:space="preserve">SOUTHSIDE           </t>
  </si>
  <si>
    <t xml:space="preserve">GRAPEVIEW           </t>
  </si>
  <si>
    <t xml:space="preserve">SHELTON             </t>
  </si>
  <si>
    <t xml:space="preserve">MARY M KNIGHT       </t>
  </si>
  <si>
    <t xml:space="preserve">PIONEER             </t>
  </si>
  <si>
    <t xml:space="preserve">NORTH MASON         </t>
  </si>
  <si>
    <t xml:space="preserve">HOOD CANAL          </t>
  </si>
  <si>
    <t xml:space="preserve">NESPELEM            </t>
  </si>
  <si>
    <t xml:space="preserve">OMAK                </t>
  </si>
  <si>
    <t xml:space="preserve">OKANOGAN            </t>
  </si>
  <si>
    <t xml:space="preserve">BREWSTER            </t>
  </si>
  <si>
    <t xml:space="preserve">PATEROS             </t>
  </si>
  <si>
    <t xml:space="preserve">METHOW VALLEY       </t>
  </si>
  <si>
    <t xml:space="preserve">TONASKET            </t>
  </si>
  <si>
    <t xml:space="preserve">OROVILLE            </t>
  </si>
  <si>
    <t xml:space="preserve">OCEAN BEACH         </t>
  </si>
  <si>
    <t xml:space="preserve">RAYMOND             </t>
  </si>
  <si>
    <t xml:space="preserve">SOUTH BEND          </t>
  </si>
  <si>
    <t>NASELLE GRAYS RIVER</t>
  </si>
  <si>
    <t xml:space="preserve">WILLAPA VALLEY      </t>
  </si>
  <si>
    <t xml:space="preserve">NORTH RIVER         </t>
  </si>
  <si>
    <t xml:space="preserve">NEWPORT             </t>
  </si>
  <si>
    <t xml:space="preserve">CUSICK              </t>
  </si>
  <si>
    <t xml:space="preserve">SELKIRK             </t>
  </si>
  <si>
    <t xml:space="preserve">STEILACOOM HIST.    </t>
  </si>
  <si>
    <t xml:space="preserve">PUYALLUP            </t>
  </si>
  <si>
    <t xml:space="preserve">TACOMA              </t>
  </si>
  <si>
    <t xml:space="preserve">CARBONADO           </t>
  </si>
  <si>
    <t xml:space="preserve">UNIVERSITY PLACE    </t>
  </si>
  <si>
    <t xml:space="preserve">SUMNER              </t>
  </si>
  <si>
    <t xml:space="preserve">DIERINGER           </t>
  </si>
  <si>
    <t xml:space="preserve">ORTING              </t>
  </si>
  <si>
    <t xml:space="preserve">CLOVER PARK         </t>
  </si>
  <si>
    <t xml:space="preserve">PENINSULA           </t>
  </si>
  <si>
    <t xml:space="preserve">FRANKLIN PIERCE     </t>
  </si>
  <si>
    <t xml:space="preserve">BETHEL              </t>
  </si>
  <si>
    <t xml:space="preserve">EATONVILLE          </t>
  </si>
  <si>
    <t xml:space="preserve">WHITE RIVER         </t>
  </si>
  <si>
    <t xml:space="preserve">FIFE                </t>
  </si>
  <si>
    <t xml:space="preserve">ORCAS               </t>
  </si>
  <si>
    <t xml:space="preserve">LOPEZ               </t>
  </si>
  <si>
    <t xml:space="preserve">SAN JUAN            </t>
  </si>
  <si>
    <t xml:space="preserve">CONCRETE            </t>
  </si>
  <si>
    <t xml:space="preserve">BURLINGTON EDISON   </t>
  </si>
  <si>
    <t xml:space="preserve">SEDRO WOOLLEY       </t>
  </si>
  <si>
    <t xml:space="preserve">ANACORTES           </t>
  </si>
  <si>
    <t xml:space="preserve">LA CONNER           </t>
  </si>
  <si>
    <t xml:space="preserve">CONWAY              </t>
  </si>
  <si>
    <t xml:space="preserve">MT VERNON           </t>
  </si>
  <si>
    <t xml:space="preserve">SKAMANIA            </t>
  </si>
  <si>
    <t xml:space="preserve">MILL A              </t>
  </si>
  <si>
    <t xml:space="preserve">STEVENSON CARSON    </t>
  </si>
  <si>
    <t xml:space="preserve">EVERETT             </t>
  </si>
  <si>
    <t xml:space="preserve">LAKE STEVENS        </t>
  </si>
  <si>
    <t xml:space="preserve">MUKILTEO            </t>
  </si>
  <si>
    <t xml:space="preserve">EDMONDS             </t>
  </si>
  <si>
    <t xml:space="preserve">ARLINGTON           </t>
  </si>
  <si>
    <t xml:space="preserve">MARYSVILLE          </t>
  </si>
  <si>
    <t xml:space="preserve">INDEX               </t>
  </si>
  <si>
    <t xml:space="preserve">MONROE              </t>
  </si>
  <si>
    <t xml:space="preserve">SNOHOMISH           </t>
  </si>
  <si>
    <t xml:space="preserve">LAKEWOOD            </t>
  </si>
  <si>
    <t xml:space="preserve">SULTAN              </t>
  </si>
  <si>
    <t xml:space="preserve">DARRINGTON          </t>
  </si>
  <si>
    <t xml:space="preserve">GRANITE FALLS       </t>
  </si>
  <si>
    <t xml:space="preserve">STANWOOD            </t>
  </si>
  <si>
    <t xml:space="preserve">SPOKANE             </t>
  </si>
  <si>
    <t xml:space="preserve">NINE MILE FALLS     </t>
  </si>
  <si>
    <t xml:space="preserve">MEDICAL LAKE        </t>
  </si>
  <si>
    <t xml:space="preserve">MEAD                </t>
  </si>
  <si>
    <t xml:space="preserve">CENTRAL VALLEY      </t>
  </si>
  <si>
    <t xml:space="preserve">FREEMAN             </t>
  </si>
  <si>
    <t xml:space="preserve">CHENEY              </t>
  </si>
  <si>
    <t xml:space="preserve">EAST VALLEY         </t>
  </si>
  <si>
    <t xml:space="preserve">LIBERTY             </t>
  </si>
  <si>
    <t xml:space="preserve">WEST VALLEY         </t>
  </si>
  <si>
    <t xml:space="preserve">DEER PARK           </t>
  </si>
  <si>
    <t xml:space="preserve">RIVERSIDE           </t>
  </si>
  <si>
    <t xml:space="preserve">ONION CREEK         </t>
  </si>
  <si>
    <t xml:space="preserve">CHEWELAH            </t>
  </si>
  <si>
    <t xml:space="preserve">WELLPINIT           </t>
  </si>
  <si>
    <t xml:space="preserve">VALLEY              </t>
  </si>
  <si>
    <t xml:space="preserve">COLVILLE            </t>
  </si>
  <si>
    <t xml:space="preserve">LOON LAKE           </t>
  </si>
  <si>
    <t xml:space="preserve">SUMMIT VALLEY       </t>
  </si>
  <si>
    <t xml:space="preserve">COLUMBIA            </t>
  </si>
  <si>
    <t xml:space="preserve">MARY WALKER         </t>
  </si>
  <si>
    <t xml:space="preserve">NORTHPORT           </t>
  </si>
  <si>
    <t xml:space="preserve">KETTLE FALLS        </t>
  </si>
  <si>
    <t xml:space="preserve">YELM                </t>
  </si>
  <si>
    <t xml:space="preserve">NORTH THURSTON      </t>
  </si>
  <si>
    <t xml:space="preserve">TUMWATER            </t>
  </si>
  <si>
    <t xml:space="preserve">OLYMPIA             </t>
  </si>
  <si>
    <t xml:space="preserve">RAINIER             </t>
  </si>
  <si>
    <t xml:space="preserve">GRIFFIN             </t>
  </si>
  <si>
    <t xml:space="preserve">ROCHESTER           </t>
  </si>
  <si>
    <t xml:space="preserve">TENINO              </t>
  </si>
  <si>
    <t xml:space="preserve">WAHKIAKUM           </t>
  </si>
  <si>
    <t xml:space="preserve">DIXIE               </t>
  </si>
  <si>
    <t xml:space="preserve">WALLA WALLA         </t>
  </si>
  <si>
    <t xml:space="preserve">COLLEGE PLACE       </t>
  </si>
  <si>
    <t xml:space="preserve">TOUCHET             </t>
  </si>
  <si>
    <t xml:space="preserve">WAITSBURG           </t>
  </si>
  <si>
    <t xml:space="preserve">PRESCOTT            </t>
  </si>
  <si>
    <t xml:space="preserve">BELLINGHAM          </t>
  </si>
  <si>
    <t xml:space="preserve">FERNDALE            </t>
  </si>
  <si>
    <t xml:space="preserve">BLAINE              </t>
  </si>
  <si>
    <t xml:space="preserve">LYNDEN              </t>
  </si>
  <si>
    <t xml:space="preserve">MERIDIAN            </t>
  </si>
  <si>
    <t xml:space="preserve">NOOKSACK VALLEY     </t>
  </si>
  <si>
    <t xml:space="preserve">MOUNT BAKER         </t>
  </si>
  <si>
    <t xml:space="preserve">LACROSSE JOINT      </t>
  </si>
  <si>
    <t xml:space="preserve">LAMONT              </t>
  </si>
  <si>
    <t xml:space="preserve">TEKOA               </t>
  </si>
  <si>
    <t xml:space="preserve">PULLMAN             </t>
  </si>
  <si>
    <t xml:space="preserve">COLFAX              </t>
  </si>
  <si>
    <t xml:space="preserve">GARFIELD            </t>
  </si>
  <si>
    <t xml:space="preserve">COLTON              </t>
  </si>
  <si>
    <t xml:space="preserve">ENDICOTT            </t>
  </si>
  <si>
    <t xml:space="preserve">ROSALIA             </t>
  </si>
  <si>
    <t xml:space="preserve">ST JOHN             </t>
  </si>
  <si>
    <t xml:space="preserve">OAKESDALE           </t>
  </si>
  <si>
    <t xml:space="preserve">UNION GAP           </t>
  </si>
  <si>
    <t xml:space="preserve">NACHES VALLEY       </t>
  </si>
  <si>
    <t xml:space="preserve">YAKIMA              </t>
  </si>
  <si>
    <t xml:space="preserve">SELAH               </t>
  </si>
  <si>
    <t xml:space="preserve">MABTON              </t>
  </si>
  <si>
    <t xml:space="preserve">GRANDVIEW           </t>
  </si>
  <si>
    <t xml:space="preserve">SUNNYSIDE           </t>
  </si>
  <si>
    <t xml:space="preserve">TOPPENISH           </t>
  </si>
  <si>
    <t xml:space="preserve">HIGHLAND            </t>
  </si>
  <si>
    <t xml:space="preserve">GRANGER             </t>
  </si>
  <si>
    <t xml:space="preserve">ZILLAH              </t>
  </si>
  <si>
    <t xml:space="preserve">WAPATO              </t>
  </si>
  <si>
    <t xml:space="preserve">MOUNT ADAMS         </t>
  </si>
  <si>
    <t>Revenues</t>
  </si>
  <si>
    <t>TOTAL REVENUES</t>
  </si>
  <si>
    <t>Object 1 Allocation</t>
  </si>
  <si>
    <t>Net Expenditures</t>
  </si>
  <si>
    <t>*</t>
  </si>
  <si>
    <t>Food - Supplies</t>
  </si>
  <si>
    <t>Food - Purchased Services</t>
  </si>
  <si>
    <t>Capital Outlay</t>
  </si>
  <si>
    <t>Total Direct Expenditures</t>
  </si>
  <si>
    <t>Unrestricted Indirect Rate</t>
  </si>
  <si>
    <t>Applied Indirect Expenditures</t>
  </si>
  <si>
    <t>TOTAL EXPENDITURES</t>
  </si>
  <si>
    <t>Excess (Deficiency) of Revenues Over Expenditures</t>
  </si>
  <si>
    <t>3 Months' Average Expenditures</t>
  </si>
  <si>
    <t>*This item is included in the indirect cost calculation.</t>
  </si>
  <si>
    <t>Calculations on this sheet are intended to mirror the 1800 Report for each district.</t>
  </si>
  <si>
    <t>GL 825 Restricted for Skills Centers</t>
  </si>
  <si>
    <t>Paid Lunches (Revenue 2298)</t>
  </si>
  <si>
    <t>State Payment (Revenue 4X98)</t>
  </si>
  <si>
    <t>Federal Payment (Revenue 6X98 except 6998)</t>
  </si>
  <si>
    <t>Federal Commodities (Revenue 6998)</t>
  </si>
  <si>
    <t>Other Payments (any other Revenue XX98)</t>
  </si>
  <si>
    <t>General Fund, Capital Projects Fund</t>
  </si>
  <si>
    <t>Skills Center - Payment from Other Districts (Revenue 7145)</t>
  </si>
  <si>
    <t>State Skills Center Funding (Blended in Revenue 3100)</t>
  </si>
  <si>
    <t>Skills Center - Tuition &amp; Fees (Revenue 2145)</t>
  </si>
  <si>
    <t>Skills Center - Sales of Goods, Supplies and Services (Revenue 2245)</t>
  </si>
  <si>
    <t>Other Skills Center Revenues</t>
  </si>
  <si>
    <t>Total Revenues</t>
  </si>
  <si>
    <t>Supervision (Activity 21)</t>
  </si>
  <si>
    <t>Learning Resources (Activity 22)</t>
  </si>
  <si>
    <t>Principal's Office (Activity 23)</t>
  </si>
  <si>
    <t>Guidance and Counseling (Activity 24)</t>
  </si>
  <si>
    <t>Pupil Management and Safety (Activity 25)</t>
  </si>
  <si>
    <t>Health/Related Services (Activity 26)</t>
  </si>
  <si>
    <t>Teaching (Activity 27)</t>
  </si>
  <si>
    <t>Extracurricular (Activity 28)</t>
  </si>
  <si>
    <t>Payments to School Districts (Activity 29)</t>
  </si>
  <si>
    <t>Instructional Professional Development (Activity 31)</t>
  </si>
  <si>
    <t>Instructional Technology (Activity 32)</t>
  </si>
  <si>
    <t>Supervision (Activity 61)</t>
  </si>
  <si>
    <t>Grounds Maintenance (Activity 62)</t>
  </si>
  <si>
    <t>Operation of Buildings (Activity 63)</t>
  </si>
  <si>
    <t>Maintenance (Activity 64)</t>
  </si>
  <si>
    <t>Utilities (Activity 65)</t>
  </si>
  <si>
    <t>Building and Property Security (Activity 67)</t>
  </si>
  <si>
    <t>Insurance (Activity 68)</t>
  </si>
  <si>
    <t>Total Expenditures</t>
  </si>
  <si>
    <t>Skills Center - Federal through OSPI (Revenue 6146)</t>
  </si>
  <si>
    <t>Skills Center - Federal directly from Federal agency (Revenue 6246)</t>
  </si>
  <si>
    <t>Skills Center - Federal through state agency other than OSPI (Revenue 6346)</t>
  </si>
  <si>
    <t>Expenditures (Include both Program 45 and Program 46)</t>
  </si>
  <si>
    <t>Excess (Deficiency) of Revenues Over (Under) Expenditures</t>
  </si>
  <si>
    <t>Add: Payments from Member Districts</t>
  </si>
  <si>
    <t>Subtract: Amounts spent for Capital Improvements</t>
  </si>
  <si>
    <t>(Print a copy of this sheet, sign it, date it, and keep a copy on file for review by Child Nutrition Services and/or the auditors.)</t>
  </si>
  <si>
    <t>Salaries &amp; Benefits*</t>
  </si>
  <si>
    <t>Supplies (Do Not Include Food)*</t>
  </si>
  <si>
    <t>Purchased Services (Do Not Include Food)*</t>
  </si>
  <si>
    <t>Travel &amp; Other*</t>
  </si>
  <si>
    <t>Succeeding Year Allocation Limitation Based on Expenditures</t>
  </si>
  <si>
    <t>General Fund, ASB Fund, Capital Projects Fund, Transportation Vehicle Fund</t>
  </si>
  <si>
    <t>SNOQUALMIE VALLEY</t>
  </si>
  <si>
    <t>BURLINGTON EDISON</t>
  </si>
  <si>
    <t>Allowable Carryover</t>
  </si>
  <si>
    <t>GL 828 Carryover of Food Service Revenue</t>
  </si>
  <si>
    <t>2011-12</t>
  </si>
  <si>
    <t>Name</t>
  </si>
  <si>
    <t>Fire District Payment (Report 1191 line VI.10.)</t>
  </si>
  <si>
    <t>Fire District Payments</t>
  </si>
  <si>
    <t>July Payment (Report 1191 Line VI.10)</t>
  </si>
  <si>
    <t>District Expenditures</t>
  </si>
  <si>
    <t>GL 819 Restricted to Fund Purposes</t>
  </si>
  <si>
    <t>087A</t>
  </si>
  <si>
    <t>O7</t>
  </si>
  <si>
    <t>137A</t>
  </si>
  <si>
    <t>Z095</t>
  </si>
  <si>
    <t>154A</t>
  </si>
  <si>
    <t>076A</t>
  </si>
  <si>
    <t>136A</t>
  </si>
  <si>
    <t>Z266</t>
  </si>
  <si>
    <t>Z456</t>
  </si>
  <si>
    <t>040A</t>
  </si>
  <si>
    <t>200A</t>
  </si>
  <si>
    <t>116A</t>
  </si>
  <si>
    <t>E55</t>
  </si>
  <si>
    <t>198A</t>
  </si>
  <si>
    <t>E54</t>
  </si>
  <si>
    <t>A24</t>
  </si>
  <si>
    <t>A25</t>
  </si>
  <si>
    <t>A26</t>
  </si>
  <si>
    <t>A27</t>
  </si>
  <si>
    <t>4122</t>
  </si>
  <si>
    <t>RATE</t>
  </si>
  <si>
    <t>Special Education Infants &amp; Toddlers Program 22</t>
  </si>
  <si>
    <t>Add Current Yea Allocation (from 1197)</t>
  </si>
  <si>
    <t>Program 22 Recovery</t>
  </si>
  <si>
    <t>School District</t>
  </si>
  <si>
    <t>2012-13</t>
  </si>
  <si>
    <t>GL 862 Committed from Levy Proceeds</t>
  </si>
  <si>
    <t>Prog 21 Calc</t>
  </si>
  <si>
    <t>TBIP Total Alloc</t>
  </si>
  <si>
    <t>HiCap Total</t>
  </si>
  <si>
    <t>TRN 4199 Total</t>
  </si>
  <si>
    <t>088A</t>
  </si>
  <si>
    <t xml:space="preserve"> 075A</t>
  </si>
  <si>
    <t>CARRYOVER ACCT. 4121</t>
  </si>
  <si>
    <t>CARRYOVER ACCT. 4155</t>
  </si>
  <si>
    <t>088B</t>
  </si>
  <si>
    <t>SPECIAL ED</t>
  </si>
  <si>
    <t>CTE MIN</t>
  </si>
  <si>
    <t>CTE</t>
  </si>
  <si>
    <t>MS CTE MIN</t>
  </si>
  <si>
    <t>CTE FTE</t>
  </si>
  <si>
    <t>CTE Enhance</t>
  </si>
  <si>
    <t>MS CTE</t>
  </si>
  <si>
    <t>CARRYOVER ACCT. 4122</t>
  </si>
  <si>
    <t>&amp; INST 34</t>
  </si>
  <si>
    <t>Program 22 Carryover</t>
  </si>
  <si>
    <t>2013-14</t>
  </si>
  <si>
    <t>10-11 FIFO Revenue</t>
  </si>
  <si>
    <t>Original    2009-10</t>
  </si>
  <si>
    <t>Original      2010-11</t>
  </si>
  <si>
    <t>17901</t>
  </si>
  <si>
    <t>17903</t>
  </si>
  <si>
    <t>18902</t>
  </si>
  <si>
    <t>37903</t>
  </si>
  <si>
    <t>GL 891 Unassigned to Minimum Fund Balance Policy</t>
  </si>
  <si>
    <t>GL 872 Economic Stabilization Policy</t>
  </si>
  <si>
    <t>GL 891 Unassigned MFBP</t>
  </si>
  <si>
    <t>Amount dedicated to Minimum Fund Balance Policy</t>
  </si>
  <si>
    <t>Percentage dedicated to Minimum Fund Balance Policy</t>
  </si>
  <si>
    <t>Amount Reported in GL 891</t>
  </si>
  <si>
    <t>Total Amount reported in GL 872</t>
  </si>
  <si>
    <t>Total Liabilities &amp; Deferred Inflows of Resources</t>
  </si>
  <si>
    <t>Select your district. This will populate the sheet appropriately.</t>
  </si>
  <si>
    <t>FIRST PLACE SCHOLARS</t>
  </si>
  <si>
    <t>MUCKLESHOOT TRIBAL</t>
  </si>
  <si>
    <t>SUQUAMISH TRIBAL</t>
  </si>
  <si>
    <t>LUMMI TRIBAL</t>
  </si>
  <si>
    <t>Federal</t>
  </si>
  <si>
    <t>State</t>
  </si>
  <si>
    <t>Unrestricted</t>
  </si>
  <si>
    <t>Rate</t>
  </si>
  <si>
    <t xml:space="preserve">State Average </t>
  </si>
  <si>
    <t>LACENTER</t>
  </si>
  <si>
    <t>EVERGREEN</t>
  </si>
  <si>
    <t>TUKWILA</t>
  </si>
  <si>
    <t>STEILACOOM</t>
  </si>
  <si>
    <t>BURLINGTON EDISO</t>
  </si>
  <si>
    <t>EAST VALLEY</t>
  </si>
  <si>
    <t>WEST VALLEY</t>
  </si>
  <si>
    <t>COLUMBIA</t>
  </si>
  <si>
    <t>00000</t>
  </si>
  <si>
    <t>Original    2011-12</t>
  </si>
  <si>
    <t>Original        2012-13</t>
  </si>
  <si>
    <t>Original       2013-14</t>
  </si>
  <si>
    <t>I certify that any deficiency of revenues verses expenditures have been covered by non-Federal resources available to the district.</t>
  </si>
  <si>
    <t>14005 ABERDEEN SCHOOL DISTRICT</t>
  </si>
  <si>
    <t>21226 ADNA SCHOOL DISTRICT</t>
  </si>
  <si>
    <t>22017 ALMIRA SCHOOL DISTRICT</t>
  </si>
  <si>
    <t>29103 ANACORTES SCHOOL DISTRICT</t>
  </si>
  <si>
    <t>31016 ARLINGTON SCHOOL DISTRICT</t>
  </si>
  <si>
    <t>02420 ASOTIN-ANATONE SCHOOL DISTRICT</t>
  </si>
  <si>
    <t>17408 AUBURN SCHOOL DISTRICT</t>
  </si>
  <si>
    <t>18303 BAINBRIDGE ISLAND SCHOOL DISTRICT</t>
  </si>
  <si>
    <t>06119 BATTLE GROUND SCHOOL DISTRICT</t>
  </si>
  <si>
    <t>17405 BELLEVUE SCHOOL DISTRICT</t>
  </si>
  <si>
    <t>37501 BELLINGHAM SCHOOL DISTRICT</t>
  </si>
  <si>
    <t>01122 BENGE SCHOOL DISTRICT</t>
  </si>
  <si>
    <t>27403 BETHEL SCHOOL DISTRICT</t>
  </si>
  <si>
    <t>20203 BICKLETON SCHOOL DISTRICT</t>
  </si>
  <si>
    <t>37503 BLAINE SCHOOL DISTRICT</t>
  </si>
  <si>
    <t>21234 BOISTFORT SCHOOL DISTRICT</t>
  </si>
  <si>
    <t>18100 BREMERTON SCHOOL DISTRICT</t>
  </si>
  <si>
    <t>24111 BREWSTER SCHOOL DISTRICT</t>
  </si>
  <si>
    <t>09075 BRIDGEPORT SCHOOL DISTRICT</t>
  </si>
  <si>
    <t>16046 BRINNON SCHOOL DISTRICT</t>
  </si>
  <si>
    <t>29100 BURLINGTON-EDISON SCHOOL DISTRICT</t>
  </si>
  <si>
    <t>06117 CAMAS SCHOOL DISTRICT</t>
  </si>
  <si>
    <t>05401 CAPE FLATTERY SCHOOL DISTRICT</t>
  </si>
  <si>
    <t>27019 CARBONADO SCHOOL DISTRICT</t>
  </si>
  <si>
    <t>04228 CASCADE SCHOOL DISTRICT</t>
  </si>
  <si>
    <t>04222 CASHMERE SCHOOL DISTRICT</t>
  </si>
  <si>
    <t>08401 CASTLE ROCK SCHOOL DISTRICT</t>
  </si>
  <si>
    <t>20215 CENTERVILLE SCHOOL DISTRICT</t>
  </si>
  <si>
    <t>18401 CENTRAL KITSAP SCHOOL DISTRICT</t>
  </si>
  <si>
    <t>32356 CENTRAL VALLEY SCHOOL DISTRICT</t>
  </si>
  <si>
    <t>21401 CENTRALIA SCHOOL DISTRICT</t>
  </si>
  <si>
    <t>21302 CHEHALIS SCHOOL DISTRICT</t>
  </si>
  <si>
    <t>32360 CHENEY SCHOOL DISTRICT</t>
  </si>
  <si>
    <t>33036 CHEWELAH SCHOOL DISTRICT</t>
  </si>
  <si>
    <t>16049 CHIMACUM SCHOOL DISTRICT</t>
  </si>
  <si>
    <t>02250 CLARKSTON SCHOOL DISTRICT</t>
  </si>
  <si>
    <t>19404 CLE ELUM-ROSLYN SCHOOL DISTRICT</t>
  </si>
  <si>
    <t>27400 CLOVER PARK SCHOOL DISTRICT</t>
  </si>
  <si>
    <t>38300 COLFAX SCHOOL DISTRICT</t>
  </si>
  <si>
    <t>36250 COLLEGE PLACE SCHOOL DISTRICT</t>
  </si>
  <si>
    <t>38306 COLTON SCHOOL DISTRICT</t>
  </si>
  <si>
    <t>33206 COLUMBIA (STEVENS) SCHOOL DISTRICT</t>
  </si>
  <si>
    <t>36400 COLUMBIA (WALLA WALLA) SCHOOL DISTRICT</t>
  </si>
  <si>
    <t>33115 COLVILLE SCHOOL DISTRICT</t>
  </si>
  <si>
    <t>29011 CONCRETE SCHOOL DISTRICT</t>
  </si>
  <si>
    <t>29317 CONWAY SCHOOL DISTRICT</t>
  </si>
  <si>
    <t>14099 COSMOPOLIS SCHOOL DISTRICT</t>
  </si>
  <si>
    <t>13151 COULEE-HARTLINE SCHOOL DISTRICT</t>
  </si>
  <si>
    <t>15204 COUPEVILLE SCHOOL DISTRICT</t>
  </si>
  <si>
    <t>05313 CRESCENT SCHOOL DISTRICT</t>
  </si>
  <si>
    <t>22073 CRESTON SCHOOL DISTRICT</t>
  </si>
  <si>
    <t>10050 CURLEW SCHOOL DISTRICT</t>
  </si>
  <si>
    <t>26059 CUSICK SCHOOL DISTRICT</t>
  </si>
  <si>
    <t>19007 DAMMAN SCHOOL DISTRICT</t>
  </si>
  <si>
    <t>31330 DARRINGTON SCHOOL DISTRICT</t>
  </si>
  <si>
    <t>22207 DAVENPORT SCHOOL DISTRICT</t>
  </si>
  <si>
    <t>07002 DAYTON SCHOOL DISTRICT</t>
  </si>
  <si>
    <t>32414 DEER PARK SCHOOL DISTRICT</t>
  </si>
  <si>
    <t>27343 DIERINGER SCHOOL DISTRICT</t>
  </si>
  <si>
    <t>36101 DIXIE SCHOOL DISTRICT</t>
  </si>
  <si>
    <t>32361 EAST VALLEY SCHOOL DISTRICT (SPOKANE)</t>
  </si>
  <si>
    <t>39090 EAST VALLEY SCHOOL DISTRICT (YAKIMA)</t>
  </si>
  <si>
    <t>09206 EASTMONT SCHOOL DISTRICT</t>
  </si>
  <si>
    <t>19028 EASTON SCHOOL DISTRICT</t>
  </si>
  <si>
    <t>27404 EATONVILLE SCHOOL DISTRICT</t>
  </si>
  <si>
    <t>31015 EDMONDS SCHOOL DISTRICT</t>
  </si>
  <si>
    <t>19401 ELLENSBURG SCHOOL DISTRICT</t>
  </si>
  <si>
    <t>14068 ELMA SCHOOL DISTRICT</t>
  </si>
  <si>
    <t>38308 ENDICOTT SCHOOL DISTRICT</t>
  </si>
  <si>
    <t>04127 ENTIAT SCHOOL DISTRICT</t>
  </si>
  <si>
    <t>17216 ENUMCLAW SCHOOL DISTRICT</t>
  </si>
  <si>
    <t>13165 EPHRATA SCHOOL DISTRICT</t>
  </si>
  <si>
    <t>32801 EDUCATIONAL SERVICE DISTRICT 101</t>
  </si>
  <si>
    <t>39801 EDUCATIONAL SERVICE DISTRICT 105</t>
  </si>
  <si>
    <t>06801 EDUCATIONAL SERVICE DISTRICT 112</t>
  </si>
  <si>
    <t>34801 EDUCATIONAL SERVICE DISTRICT 113</t>
  </si>
  <si>
    <t>11801 EDUCATIONAL SERVICE DISTRICT 123</t>
  </si>
  <si>
    <t>21036 EVALINE SCHOOL DISTRICT</t>
  </si>
  <si>
    <t>31002 EVERETT SCHOOL DISTRICT</t>
  </si>
  <si>
    <t>06114 EVERGREEN SCHOOL DISTRICT (CLARK)</t>
  </si>
  <si>
    <t>33205 EVERGREEN SCHOOL DISTRICT (STEVENS)</t>
  </si>
  <si>
    <t>17906</t>
  </si>
  <si>
    <t>17210 FEDERAL WAY SCHOOL DISTRICT</t>
  </si>
  <si>
    <t>37502 FERNDALE SCHOOL DISTRICT</t>
  </si>
  <si>
    <t>27417 FIFE SCHOOL DISTRICT</t>
  </si>
  <si>
    <t>03053 FINLEY SCHOOL DISTRICT</t>
  </si>
  <si>
    <t>27402 FRANKLIN PIERCE SCHOOL DISTRICT</t>
  </si>
  <si>
    <t>32358 FREEMAN SCHOOL DISTRICT</t>
  </si>
  <si>
    <t>38302 GARFIELD SCHOOL DISTRICT</t>
  </si>
  <si>
    <t>20401 GLENWOOD SCHOOL DISTRICT</t>
  </si>
  <si>
    <t>20404 GOLDENDALE SCHOOL DISTRICT</t>
  </si>
  <si>
    <t>13301 GRAND COULEE DAM SCHOOL DISTRICT</t>
  </si>
  <si>
    <t>39200 GRANDVIEW SCHOOL DISTRICT</t>
  </si>
  <si>
    <t>39204 GRANGER SCHOOL DISTRICT</t>
  </si>
  <si>
    <t>31332 GRANITE FALLS SCHOOL DISTRICT</t>
  </si>
  <si>
    <t>23054 GRAPEVIEW SCHOOL DISTRICT</t>
  </si>
  <si>
    <t>32312 GREAT NORTHERN SCHOOL DISTRICT</t>
  </si>
  <si>
    <t>27904</t>
  </si>
  <si>
    <t>06103 GREEN MOUNTAIN SCHOOL DISTRICT</t>
  </si>
  <si>
    <t>34324 GRIFFIN SCHOOL DISTRICT</t>
  </si>
  <si>
    <t>22204 HARRINGTON SCHOOL DISTRICT</t>
  </si>
  <si>
    <t>39203 HIGHLAND SCHOOL DISTRICT</t>
  </si>
  <si>
    <t>17401 HIGHLINE SCHOOL DISTRICT</t>
  </si>
  <si>
    <t>06098 HOCKINSON SCHOOL DISTRICT</t>
  </si>
  <si>
    <t>23404 HOOD CANAL SCHOOL DISTRICT</t>
  </si>
  <si>
    <t>14028 HOQUIAM SCHOOL DISTRICT</t>
  </si>
  <si>
    <t>10070 INCHELIUM SCHOOL DISTRICT</t>
  </si>
  <si>
    <t>31063 INDEX SCHOOL DISTRICT</t>
  </si>
  <si>
    <t>17411 ISSAQUAH SCHOOL DISTRICT</t>
  </si>
  <si>
    <t>11056 KAHLOTUS SCHOOL DISTRICT</t>
  </si>
  <si>
    <t>08402 KALAMA SCHOOL DISTRICT</t>
  </si>
  <si>
    <t>10003 KELLER SCHOOL DISTRICT</t>
  </si>
  <si>
    <t>08458 KELSO SCHOOL DISTRICT</t>
  </si>
  <si>
    <t>03017 KENNEWICK SCHOOL DISTRICT</t>
  </si>
  <si>
    <t>17415 KENT SCHOOL DISTRICT</t>
  </si>
  <si>
    <t>33212 KETTLE FALLS SCHOOL DISTRICT</t>
  </si>
  <si>
    <t>03052 KIONA-BENTON CITY SCHOOL DISTRICT</t>
  </si>
  <si>
    <t>19403 KITTITAS SCHOOL DISTRICT</t>
  </si>
  <si>
    <t>20402 KLICKITAT SCHOOL DISTRICT</t>
  </si>
  <si>
    <t>29311 LA CONNER SCHOOL DISTRICT</t>
  </si>
  <si>
    <t>06101 LA CENTER SCHOOL DISTRICT</t>
  </si>
  <si>
    <t>38126 LACROSSE SCHOOL DISTRICT</t>
  </si>
  <si>
    <t>04129 LAKE CHELAN SCHOOL DISTRICT</t>
  </si>
  <si>
    <t>31004 LAKE STEVENS SCHOOL DISTRICT</t>
  </si>
  <si>
    <t>17414 LAKE WASHINGTON SCHOOL DISTRICT</t>
  </si>
  <si>
    <t>31306 LAKEWOOD SCHOOL DISTRICT</t>
  </si>
  <si>
    <t>38264 LAMONT SCHOOL DISTRICT</t>
  </si>
  <si>
    <t>32362 LIBERTY SCHOOL DISTRICT</t>
  </si>
  <si>
    <t>01158 LIND SCHOOL DISTRICT</t>
  </si>
  <si>
    <t>08122 LONGVIEW SCHOOL DISTRICT</t>
  </si>
  <si>
    <t>33183 LOON LAKE SCHOOL DISTRICT</t>
  </si>
  <si>
    <t>28144 LOPEZ SCHOOL DISTRICT</t>
  </si>
  <si>
    <t>37903 LUMMI TRIBAL AGENCY</t>
  </si>
  <si>
    <t>20406 LYLE SCHOOL DISTRICT</t>
  </si>
  <si>
    <t>37504 LYNDEN SCHOOL DISTRICT</t>
  </si>
  <si>
    <t>39120 MABTON SCHOOL DISTRICT</t>
  </si>
  <si>
    <t>09207 MANSFIELD SCHOOL DISTRICT</t>
  </si>
  <si>
    <t>04019 MANSON SCHOOL DISTRICT</t>
  </si>
  <si>
    <t>23311 MARY M KNIGHT SCHOOL DISTRICT</t>
  </si>
  <si>
    <t>33207 MARY WALKER SCHOOL DISTRICT</t>
  </si>
  <si>
    <t>31025 MARYSVILLE SCHOOL DISTRICT</t>
  </si>
  <si>
    <t>14065 MCCLEARY SCHOOL DISTRICT</t>
  </si>
  <si>
    <t>32354 MEAD SCHOOL DISTRICT</t>
  </si>
  <si>
    <t>32326 MEDICAL LAKE SCHOOL DISTRICT</t>
  </si>
  <si>
    <t>17400 MERCER ISLAND SCHOOL DISTRICT</t>
  </si>
  <si>
    <t>37505 MERIDIAN SCHOOL DISTRICT</t>
  </si>
  <si>
    <t>24350 METHOW VALLEY SCHOOL DISTRICT</t>
  </si>
  <si>
    <t>30031 MILL A SCHOOL DISTRICT</t>
  </si>
  <si>
    <t>31103 MONROE SCHOOL DISTRICT</t>
  </si>
  <si>
    <t>14066 MONTESANO SCHOOL DISTRICT</t>
  </si>
  <si>
    <t>21214 MORTON SCHOOL DISTRICT</t>
  </si>
  <si>
    <t>13161 MOSES LAKE SCHOOL DISTRICT</t>
  </si>
  <si>
    <t>21206 MOSSYROCK SCHOOL DISTRICT</t>
  </si>
  <si>
    <t>39209 MOUNT ADAMS SCHOOL DISTRICT</t>
  </si>
  <si>
    <t>37507 MOUNT BAKER SCHOOL DISTRICT</t>
  </si>
  <si>
    <t>30029 MOUNT PLEASANT SCHOOL DISTRICT</t>
  </si>
  <si>
    <t>29320 MOUNT VERNON SCHOOL DISTRICT</t>
  </si>
  <si>
    <t>17903 MUCKLESHOOT INDIAN TRIBE</t>
  </si>
  <si>
    <t>31006 MUKILTEO SCHOOL DISTRICT</t>
  </si>
  <si>
    <t>39003 NACHES VALLEY SCHOOL DISTRICT</t>
  </si>
  <si>
    <t>21014 NAPAVINE SCHOOL DISTRICT</t>
  </si>
  <si>
    <t>25155 NASELLE-GRAYS RIVER VALLEY SCHOOL DISTRICT</t>
  </si>
  <si>
    <t>24014 NESPELEM SCHOOL DISTRICT</t>
  </si>
  <si>
    <t>26056 NEWPORT SCHOOL DISTRICT</t>
  </si>
  <si>
    <t>32325 NINE MILE FALLS SCHOOL DISTRICT</t>
  </si>
  <si>
    <t>37506 NOOKSACK VALLEY SCHOOL DISTRICT</t>
  </si>
  <si>
    <t>14064 NORTH BEACH SCHOOL DISTRICT</t>
  </si>
  <si>
    <t>04801 NORTH CENTRAL EDUCATIONAL SERVICE DISTRICT 171</t>
  </si>
  <si>
    <t>11051 NORTH FRANKLIN SCHOOL DISTRICT</t>
  </si>
  <si>
    <t>18400 NORTH KITSAP SCHOOL DISTRICT</t>
  </si>
  <si>
    <t>23403 NORTH MASON SCHOOL DISTRICT</t>
  </si>
  <si>
    <t>25200 NORTH RIVER SCHOOL DISTRICT</t>
  </si>
  <si>
    <t>34003 NORTH THURSTON PUBLIC SCHOOLS</t>
  </si>
  <si>
    <t>33211 NORTHPORT SCHOOL DISTRICT</t>
  </si>
  <si>
    <t>17417 NORTHSHORE SCHOOL DISTRICT</t>
  </si>
  <si>
    <t>29801 NORTHWEST EDUCATIONAL SERVICE DISTRICT 189</t>
  </si>
  <si>
    <t>15201 OAK HARBOR SCHOOL DISTRICT</t>
  </si>
  <si>
    <t>38324 OAKESDALE SCHOOL DISTRICT</t>
  </si>
  <si>
    <t>14400 OAKVILLE SCHOOL DISTRICT</t>
  </si>
  <si>
    <t>25101 OCEAN BEACH SCHOOL DISTRICT</t>
  </si>
  <si>
    <t>14172 OCOSTA SCHOOL DISTRICT</t>
  </si>
  <si>
    <t>22105 ODESSA SCHOOL DISTRICT</t>
  </si>
  <si>
    <t>24105 OKANOGAN SCHOOL DISTRICT</t>
  </si>
  <si>
    <t>34111 OLYMPIA SCHOOL DISTRICT</t>
  </si>
  <si>
    <t>18801 OLYMPIC EDUCATIONAL SERVICE DISTRICT 114</t>
  </si>
  <si>
    <t>24019 OMAK SCHOOL DISTRICT</t>
  </si>
  <si>
    <t>21300 ONALASKA SCHOOL DISTRICT</t>
  </si>
  <si>
    <t>33030 ONION CREEK SCHOOL DISTRICT</t>
  </si>
  <si>
    <t>28137 ORCAS ISLAND SCHOOL DISTRICT</t>
  </si>
  <si>
    <t>32123 ORCHARD PRAIRIE SCHOOL DISTRICT</t>
  </si>
  <si>
    <t>10065 ORIENT SCHOOL DISTRICT</t>
  </si>
  <si>
    <t>09013 ORONDO SCHOOL DISTRICT</t>
  </si>
  <si>
    <t>24410 OROVILLE SCHOOL DISTRICT</t>
  </si>
  <si>
    <t>27344 ORTING SCHOOL DISTRICT</t>
  </si>
  <si>
    <t>01147 OTHELLO SCHOOL DISTRICT</t>
  </si>
  <si>
    <t>09102 PALISADES SCHOOL DISTRICT</t>
  </si>
  <si>
    <t>38301 PALOUSE SCHOOL DISTRICT</t>
  </si>
  <si>
    <t>11001 PASCO SCHOOL DISTRICT</t>
  </si>
  <si>
    <t>24122 PATEROS SCHOOL DISTRICT</t>
  </si>
  <si>
    <t>03050 PATERSON SCHOOL DISTRICT</t>
  </si>
  <si>
    <t>21301 PE ELL SCHOOL DISTRICT</t>
  </si>
  <si>
    <t>27401 PENINSULA SCHOOL DISTRICT</t>
  </si>
  <si>
    <t>23402 PIONEER SCHOOL DISTRICT</t>
  </si>
  <si>
    <t>12110 POMEROY SCHOOL DISTRICT</t>
  </si>
  <si>
    <t>05121 PORT ANGELES SCHOOL DISTRICT</t>
  </si>
  <si>
    <t>16050 PORT TOWNSEND SCHOOL DISTRICT</t>
  </si>
  <si>
    <t>36402 PRESCOTT SCHOOL DISTRICT</t>
  </si>
  <si>
    <t>PRIDE PREP CHARTER</t>
  </si>
  <si>
    <t>32907</t>
  </si>
  <si>
    <t>32907 PRIDE PREP CHARTER SCHOOL DISTRICT</t>
  </si>
  <si>
    <t>03116 PROSSER SCHOOL DISTRICT</t>
  </si>
  <si>
    <t>17801 PUGET SOUND EDUCATIONAL SERVICE DISTRICT 121</t>
  </si>
  <si>
    <t>38267 PULLMAN SCHOOL DISTRICT</t>
  </si>
  <si>
    <t>27003 PUYALLUP SCHOOL DISTRICT</t>
  </si>
  <si>
    <t>16020 QUEETS-CLEARWATER SCHOOL DISTRICT</t>
  </si>
  <si>
    <t>16048 QUILCENE SCHOOL DISTRICT</t>
  </si>
  <si>
    <t>05402 QUILLAYUTE VALLEY SCHOOL DISTRICT</t>
  </si>
  <si>
    <t>14097 LAKE QUINAULT SCHOOL DISTRICT</t>
  </si>
  <si>
    <t>13144 QUINCY SCHOOL DISTRICT</t>
  </si>
  <si>
    <t>34307 RAINIER SCHOOL DISTRICT</t>
  </si>
  <si>
    <t>RAINIER PREP CHARTER</t>
  </si>
  <si>
    <t>17908</t>
  </si>
  <si>
    <t>17908 RAINIER PREP CHARTER SCHOOL DISTRICT</t>
  </si>
  <si>
    <t>25116 RAYMOND SCHOOL DISTRICT</t>
  </si>
  <si>
    <t>22009 REARDAN-EDWALL SCHOOL DISTRICT</t>
  </si>
  <si>
    <t>17403 RENTON SCHOOL DISTRICT</t>
  </si>
  <si>
    <t>10309 REPUBLIC SCHOOL DISTRICT</t>
  </si>
  <si>
    <t>03400 RICHLAND SCHOOL DISTRICT</t>
  </si>
  <si>
    <t>06122 RIDGEFIELD SCHOOL DISTRICT</t>
  </si>
  <si>
    <t>01160 RITZVILLE SCHOOL DISTRICT</t>
  </si>
  <si>
    <t>32416 RIVERSIDE SCHOOL DISTRICT</t>
  </si>
  <si>
    <t>17407 RIVERVIEW SCHOOL DISTRICT</t>
  </si>
  <si>
    <t>34401 ROCHESTER SCHOOL DISTRICT</t>
  </si>
  <si>
    <t>20403 ROOSEVELT SCHOOL DISTRICT</t>
  </si>
  <si>
    <t>38320 ROSALIA SCHOOL DISTRICT</t>
  </si>
  <si>
    <t>13160 ROYAL SCHOOL DISTRICT</t>
  </si>
  <si>
    <t>28149 SAN JUAN ISLAND SCHOOL DISTRICT</t>
  </si>
  <si>
    <t>14104 SATSOP SCHOOL DISTRICT</t>
  </si>
  <si>
    <t>17001 SEATTLE PUBLIC SCHOOLS</t>
  </si>
  <si>
    <t>29101 SEDRO-WOOLLEY SCHOOL DISTRICT</t>
  </si>
  <si>
    <t>39119 SELAH SCHOOL DISTRICT</t>
  </si>
  <si>
    <t>26070 SELKIRK SCHOOL DISTRICT</t>
  </si>
  <si>
    <t>05323 SEQUIM SCHOOL DISTRICT</t>
  </si>
  <si>
    <t>28010 SHAW ISLAND SCHOOL DISTRICT</t>
  </si>
  <si>
    <t>23309 SHELTON SCHOOL DISTRICT</t>
  </si>
  <si>
    <t>17412 SHORELINE SCHOOL DISTRICT</t>
  </si>
  <si>
    <t>30002 SKAMANIA SCHOOL DISTRICT</t>
  </si>
  <si>
    <t>17404 SKYKOMISH SCHOOL DISTRICT</t>
  </si>
  <si>
    <t>31201 SNOHOMISH SCHOOL DISTRICT</t>
  </si>
  <si>
    <t>17410 SNOQUALMIE VALLEY SCHOOL DISTRICT</t>
  </si>
  <si>
    <t>13156 SOAP LAKE SCHOOL DISTRICT</t>
  </si>
  <si>
    <t>SOAR CHARTER</t>
  </si>
  <si>
    <t>27909</t>
  </si>
  <si>
    <t>25118 SOUTH BEND SCHOOL DISTRICT</t>
  </si>
  <si>
    <t>18402 SOUTH KITSAP SCHOOL DISTRICT</t>
  </si>
  <si>
    <t>15206 SOUTH WHIDBEY SCHOOL DISTRICT</t>
  </si>
  <si>
    <t>23042 SOUTHSIDE SCHOOL DISTRICT</t>
  </si>
  <si>
    <t>32081 SPOKANE SCHOOL DISTRICT</t>
  </si>
  <si>
    <t>SPOKANE INT'L CHARTER</t>
  </si>
  <si>
    <t>32901</t>
  </si>
  <si>
    <t>32901 SPOKANE INTERNATIONAL ACADEMY</t>
  </si>
  <si>
    <t>22008 SPRAGUE SCHOOL DISTRICT</t>
  </si>
  <si>
    <t>38322 ST. JOHN SCHOOL DISTRICT</t>
  </si>
  <si>
    <t>31401 STANWOOD-CAMANO SCHOOL DISTRICT</t>
  </si>
  <si>
    <t>11054 STAR SCHOOL DISTRICT NO. 054</t>
  </si>
  <si>
    <t>07035 STARBUCK SCHOOL DISTRICT</t>
  </si>
  <si>
    <t>04069 STEHEKIN SCHOOL DISTRICT</t>
  </si>
  <si>
    <t>27001 STEILACOOM HIST. SCHOOL DISTRICT</t>
  </si>
  <si>
    <t>38304 STEPTOE SCHOOL DISTRICT</t>
  </si>
  <si>
    <t>30303 STEVENSON-CARSON SCHOOL DISTRICT</t>
  </si>
  <si>
    <t>31311 SULTAN SCHOOL DISTRICT</t>
  </si>
  <si>
    <t>SUMMIT OLYMPUS CHARTER</t>
  </si>
  <si>
    <t>27905</t>
  </si>
  <si>
    <t>27905 SUMMIT PUBLIC SCHOOL: OLYMPUS</t>
  </si>
  <si>
    <t>SUMMIT SIERRA CHARTER</t>
  </si>
  <si>
    <t>17902</t>
  </si>
  <si>
    <t>17902 SUMMIT PUBLIC SCHOOL: SIERRA</t>
  </si>
  <si>
    <t>33202 SUMMIT VALLEY SCHOOL DISTRICT</t>
  </si>
  <si>
    <t>27320 SUMNER SCHOOL DISTRICT</t>
  </si>
  <si>
    <t>39201 SUNNYSIDE SCHOOL DISTRICT</t>
  </si>
  <si>
    <t>18902 SUQUAMISH TRIBAL EDUCATION DEPARTMENT</t>
  </si>
  <si>
    <t>27010 TACOMA SCHOOL DISTRICT</t>
  </si>
  <si>
    <t>14077 TAHOLAH SCHOOL DISTRICT</t>
  </si>
  <si>
    <t>17409 TAHOMA SCHOOL DISTRICT</t>
  </si>
  <si>
    <t>38265 TEKOA SCHOOL DISTRICT</t>
  </si>
  <si>
    <t>34402 TENINO SCHOOL DISTRICT</t>
  </si>
  <si>
    <t>19400 THORP SCHOOL DISTRICT</t>
  </si>
  <si>
    <t>21237 TOLEDO SCHOOL DISTRICT</t>
  </si>
  <si>
    <t>24404 TONASKET SCHOOL DISTRICT</t>
  </si>
  <si>
    <t>39202 TOPPENISH SCHOOL DISTRICT</t>
  </si>
  <si>
    <t>36300 TOUCHET SCHOOL DISTRICT</t>
  </si>
  <si>
    <t>08130 TOUTLE LAKE SCHOOL DISTRICT</t>
  </si>
  <si>
    <t>20400 TROUT LAKE SCHOOL DISTRICT</t>
  </si>
  <si>
    <t>17406 TUKWILA SCHOOL DISTRICT</t>
  </si>
  <si>
    <t>34033 TUMWATER SCHOOL DISTRICT</t>
  </si>
  <si>
    <t>39002 UNION GAP SCHOOL DISTRICT</t>
  </si>
  <si>
    <t>27083 UNIVERSITY PLACE SCHOOL DISTRICT</t>
  </si>
  <si>
    <t>33070 VALLEY SCHOOL DISTRICT</t>
  </si>
  <si>
    <t>06037 VANCOUVER SCHOOL DISTRICT</t>
  </si>
  <si>
    <t>17402 VASHON ISLAND SCHOOL DISTRICT</t>
  </si>
  <si>
    <t>35200 WAHKIAKUM SCHOOL DISTRICT</t>
  </si>
  <si>
    <t>13073 WAHLUKE SCHOOL DISTRICT</t>
  </si>
  <si>
    <t>36401 WAITSBURG SCHOOL DISTRICT</t>
  </si>
  <si>
    <t>36140 WALLA WALLA PUBLIC SCHOOLS</t>
  </si>
  <si>
    <t>39207 WAPATO SCHOOL DISTRICT</t>
  </si>
  <si>
    <t>13146 WARDEN SCHOOL DISTRICT</t>
  </si>
  <si>
    <t>06112 WASHOUGAL SCHOOL DISTRICT</t>
  </si>
  <si>
    <t>01109 WASHTUCNA SCHOOL DISTRICT</t>
  </si>
  <si>
    <t>09209 WATERVILLE SCHOOL DISTRICT</t>
  </si>
  <si>
    <t>33049 WELLPINIT SCHOOL DISTRICT</t>
  </si>
  <si>
    <t>04246 WENATCHEE SCHOOL DISTRICT</t>
  </si>
  <si>
    <t>32363 WEST VALLEY SCHOOL DISTRICT (SPOKANE)</t>
  </si>
  <si>
    <t>39208 WEST VALLEY SCHOOL DISTRICT (YAKIMA)</t>
  </si>
  <si>
    <t>21303 WHITE PASS SCHOOL DISTRICT</t>
  </si>
  <si>
    <t>27416 WHITE RIVER SCHOOL DISTRICT</t>
  </si>
  <si>
    <t>20405 WHITE SALMON VALLEY SCHOOL DISTRICT</t>
  </si>
  <si>
    <t>22200 WILBUR SCHOOL DISTRICT</t>
  </si>
  <si>
    <t>25160 WILLAPA VALLEY SCHOOL DISTRICT</t>
  </si>
  <si>
    <t>13167 WILSON CREEK SCHOOL DISTRICT</t>
  </si>
  <si>
    <t>21232 WINLOCK SCHOOL DISTRICT</t>
  </si>
  <si>
    <t>14117 WISHKAH VALLEY SCHOOL DISTRICT</t>
  </si>
  <si>
    <t>20094 WISHRAM SCHOOL DISTRICT</t>
  </si>
  <si>
    <t>08404 WOODLAND SCHOOL DISTRICT</t>
  </si>
  <si>
    <t>39007 YAKIMA SCHOOL DISTRICT</t>
  </si>
  <si>
    <t>34002 YELM SCHOOL DISTRICT</t>
  </si>
  <si>
    <t>39205 ZILLAH SCHOOL DISTRICT</t>
  </si>
  <si>
    <t>2014-15</t>
  </si>
  <si>
    <t>2015-16</t>
  </si>
  <si>
    <t>GONE</t>
  </si>
  <si>
    <t xml:space="preserve">Carryover methodology: </t>
  </si>
  <si>
    <t xml:space="preserve">Prior Year net balance carryover funds are carried over indefinitely or used to reduce an annual deficit. </t>
  </si>
  <si>
    <t>Prior Year deficits are carried over for a maximum of five years.</t>
  </si>
  <si>
    <t>Any annual net balance carryover produced within five years reduces the earliest annual deficit.</t>
  </si>
  <si>
    <t xml:space="preserve">How this methodology is being implemented: </t>
  </si>
  <si>
    <t>2009-10 deficits are first reduced by any net balance carryover funds produced from 2010-11 to 2014-15.  Any residual deficit remaining from 2009-10 is removed.</t>
  </si>
  <si>
    <t>If there are no annual net balance carryover amounts, the 2009-10 deficit is dropped.</t>
  </si>
  <si>
    <t>2009-10 net balance carryover funds are netted into the 2010-11 balance.  This netted combination of the two year’s amounts produces a new 2010-11 figure..</t>
  </si>
  <si>
    <t xml:space="preserve">In several cases, net balance carryover amounts for multiple years were used to reduce the 2009-10 deficit.  </t>
  </si>
  <si>
    <t>If there were insufficient net balance carryover annual amounts to reduce the total 2009-10 deficit, all net balance carryovers were reduced to zero and the residual 2009-10 deficit was removed.</t>
  </si>
  <si>
    <t xml:space="preserve">If there were sufficient net balance carryover annual amounts to absorb the 2009-10 deficit, the residual net balance carryover funds are carried in the most recent year used to net against 2009-10. </t>
  </si>
  <si>
    <t>2010-11 amounts have been removed or applied as applicable..</t>
  </si>
  <si>
    <t>2010-11 amounts have been removed or applied as applicable.</t>
  </si>
  <si>
    <t>Allowed Carryover</t>
  </si>
  <si>
    <t>Unspent</t>
  </si>
  <si>
    <t>Voc Enhancement</t>
  </si>
  <si>
    <t>Enter the district's total liabilities and deferred inflows of resources, by fund on line 6.</t>
  </si>
  <si>
    <t>Fed</t>
  </si>
  <si>
    <t>17905</t>
  </si>
  <si>
    <t>17910</t>
  </si>
  <si>
    <t>2016-17</t>
  </si>
  <si>
    <t>FOOD SERVICE CARRYOVER FOR 16-17 FBRT</t>
  </si>
  <si>
    <t xml:space="preserve">16-17 Carryover conversion, eliminating or netting 2011-12 figures as applicable </t>
  </si>
  <si>
    <t xml:space="preserve">balance change </t>
  </si>
  <si>
    <t>from 15-16</t>
  </si>
  <si>
    <t>to 16-17</t>
  </si>
  <si>
    <t xml:space="preserve">generally </t>
  </si>
  <si>
    <t xml:space="preserve">11-12 is </t>
  </si>
  <si>
    <t>eliminated</t>
  </si>
  <si>
    <t>netting 11-12 to carry over amounts in other years</t>
  </si>
  <si>
    <t>2011-12 amounts have been removed or applied as applicable.</t>
  </si>
  <si>
    <t>GREEN DOT: EXCEL</t>
  </si>
  <si>
    <t>GREEN DOT: RAINIER VALLEY</t>
  </si>
  <si>
    <t>GREEN DOT: DESTINY</t>
  </si>
  <si>
    <t>SOAR ACADEMY</t>
  </si>
  <si>
    <t xml:space="preserve">RAINIER PREP </t>
  </si>
  <si>
    <t>SUMMIT: ATLAS</t>
  </si>
  <si>
    <t>used for</t>
  </si>
  <si>
    <t>05903</t>
  </si>
  <si>
    <t>05903 QUILEUTE TRIBAL SCHOOL DISTRICT</t>
  </si>
  <si>
    <t>QUILEUTE TRIBAL</t>
  </si>
  <si>
    <t>Fund Balance Reporting Tool Instructions</t>
  </si>
  <si>
    <t>Use of this tool is optional, but the use of applicable Fund Balance account codes is required by the Accounting Manual.</t>
  </si>
  <si>
    <t>Each sheet has its own instructions and guidance copied from the Accounting Manual.</t>
  </si>
  <si>
    <t xml:space="preserve">GL 872 Committed to Economic Stabilization </t>
  </si>
  <si>
    <r>
      <t xml:space="preserve">The </t>
    </r>
    <r>
      <rPr>
        <b/>
        <u/>
        <sz val="12"/>
        <color theme="1"/>
        <rFont val="Calibri"/>
        <family val="2"/>
        <scheme val="minor"/>
      </rPr>
      <t>Fund Balance Summary</t>
    </r>
    <r>
      <rPr>
        <sz val="12"/>
        <color theme="1"/>
        <rFont val="Calibri"/>
        <family val="2"/>
        <scheme val="minor"/>
      </rPr>
      <t xml:space="preserve"> is the primary worksheet that summarizes all the behind-the-scenes data entered on the other sheets.</t>
    </r>
  </si>
  <si>
    <r>
      <t xml:space="preserve">From any other sheet, click on </t>
    </r>
    <r>
      <rPr>
        <b/>
        <sz val="12"/>
        <color rgb="FF0000FF"/>
        <rFont val="Calibri"/>
        <family val="2"/>
        <scheme val="minor"/>
      </rPr>
      <t xml:space="preserve">(Return to summary sheet) </t>
    </r>
    <r>
      <rPr>
        <sz val="12"/>
        <color theme="1"/>
        <rFont val="Calibri"/>
        <family val="2"/>
        <scheme val="minor"/>
      </rPr>
      <t>to return to the "Fund Balance Summary" sheet.</t>
    </r>
  </si>
  <si>
    <r>
      <t>In Column A, the GL account numbers and names are</t>
    </r>
    <r>
      <rPr>
        <sz val="12"/>
        <color rgb="FF0000FF"/>
        <rFont val="Calibri"/>
        <family val="2"/>
        <scheme val="minor"/>
      </rPr>
      <t xml:space="preserve"> </t>
    </r>
    <r>
      <rPr>
        <b/>
        <u/>
        <sz val="12"/>
        <color rgb="FF0000FF"/>
        <rFont val="Calibri"/>
        <family val="2"/>
        <scheme val="minor"/>
      </rPr>
      <t>hyperlinked</t>
    </r>
    <r>
      <rPr>
        <sz val="12"/>
        <color theme="1"/>
        <rFont val="Calibri"/>
        <family val="2"/>
        <scheme val="minor"/>
      </rPr>
      <t xml:space="preserve"> to the appropriate sheet. Click on the name to go to that sheet.</t>
    </r>
  </si>
  <si>
    <t>It is recommended that you save a copy of this excel file for your own use.</t>
  </si>
  <si>
    <t>General Fund, Program 45 and Program 46</t>
  </si>
  <si>
    <t>Curriculum (Activity 33)</t>
  </si>
  <si>
    <t>Program 29 Carryover</t>
  </si>
  <si>
    <t>Special Education–Other–Federal Program 29</t>
  </si>
  <si>
    <t>Payments for Children with Disabilities provide additional assistance to school districts that educate federally connected children who are eligible for services under the Individuals with Disabilities Act (IDEA). These payments are in addition to Basic Support Payments and IDEA funds provided on behalf of these children. A school district that receives these funds MUST use them for the increased costs of educating federally connected children with disabilities.</t>
  </si>
  <si>
    <t>Expenditures, Program 29</t>
  </si>
  <si>
    <t>Add Current Year Federal Award (Revenue 5329)</t>
  </si>
  <si>
    <t>2017-18</t>
  </si>
  <si>
    <t xml:space="preserve">Used Ralph's BP5 wksheet </t>
  </si>
  <si>
    <t>new</t>
  </si>
  <si>
    <t>Quileute Tribal</t>
  </si>
  <si>
    <t>Summit Sierra Charter</t>
  </si>
  <si>
    <t>Green Dot Excel Charter</t>
  </si>
  <si>
    <t>Rainier Prep Charter</t>
  </si>
  <si>
    <t>Green Dot Destiny Charter</t>
  </si>
  <si>
    <t>Summit Olympus Charter</t>
  </si>
  <si>
    <t>SOAR Charter</t>
  </si>
  <si>
    <t>Spokane International Charter</t>
  </si>
  <si>
    <t>Pride Prep Charter</t>
  </si>
  <si>
    <t>Lummi Tribal</t>
  </si>
  <si>
    <t>O7HP</t>
  </si>
  <si>
    <t>HP LAP Total</t>
  </si>
  <si>
    <t>Regular LAP Total</t>
  </si>
  <si>
    <t>06701</t>
  </si>
  <si>
    <t>06701 ESA 112</t>
  </si>
  <si>
    <t>17910 GREEN DOT: RAINIER VALLEY</t>
  </si>
  <si>
    <t>17905 SUMMIT: ATLAS</t>
  </si>
  <si>
    <t>WA HE LUT</t>
  </si>
  <si>
    <t>34901</t>
  </si>
  <si>
    <t>34901 WA HE LUT</t>
  </si>
  <si>
    <t>NOT NSLP</t>
  </si>
  <si>
    <t>LAP Program 55 High Poverty</t>
  </si>
  <si>
    <t>LAP Program 55 Total Carryover</t>
  </si>
  <si>
    <t>Program 55 High Poverty Carryover</t>
  </si>
  <si>
    <r>
      <t xml:space="preserve">Apportionment Reports by </t>
    </r>
    <r>
      <rPr>
        <u/>
        <sz val="10"/>
        <color rgb="FF000000"/>
        <rFont val="Calibri"/>
        <family val="2"/>
        <scheme val="minor"/>
      </rPr>
      <t>Office of Superintendent of Public Instruction</t>
    </r>
    <r>
      <rPr>
        <sz val="10"/>
        <color rgb="FF000000"/>
        <rFont val="Calibri"/>
        <family val="2"/>
        <scheme val="minor"/>
      </rPr>
      <t xml:space="preserve"> is licensed under a </t>
    </r>
    <r>
      <rPr>
        <u/>
        <sz val="10"/>
        <color rgb="FF000000"/>
        <rFont val="Calibri"/>
        <family val="2"/>
        <scheme val="minor"/>
      </rPr>
      <t>Creative Commons Attribution 4.0 International License</t>
    </r>
  </si>
  <si>
    <t>27901</t>
  </si>
  <si>
    <t>17911</t>
  </si>
  <si>
    <t>36901</t>
  </si>
  <si>
    <t>39901</t>
  </si>
  <si>
    <t>FED RESTRICTED</t>
  </si>
  <si>
    <t>SUMNER – BONNEY LAKE</t>
  </si>
  <si>
    <t>Expenditures - Revenue 7199</t>
  </si>
  <si>
    <t>Sub-Funds</t>
  </si>
  <si>
    <t>Total Assets &amp; Deferred Outflows of Resources</t>
  </si>
  <si>
    <t xml:space="preserve">In the large yellow cell [A-B2], a drop-down list of districts in alphabetical order will appear. </t>
  </si>
  <si>
    <t>Enter the district's total assets and deferred outflows or resources, by fund on line  5.</t>
  </si>
  <si>
    <t>General Fund Equity Accounts, by SUB-FUND</t>
  </si>
  <si>
    <t xml:space="preserve">GENERAL FUND EQUITY ACCOUNTS, BY SUB-FUND </t>
  </si>
  <si>
    <t xml:space="preserve">Districts are encouraged to track Fund Balance Equity, by Sub-Fund.  </t>
  </si>
  <si>
    <t xml:space="preserve">Columns L &amp; M are added together in column N. </t>
  </si>
  <si>
    <t>Column O compares column N to column B.</t>
  </si>
  <si>
    <t xml:space="preserve"> 075Ahp</t>
  </si>
  <si>
    <t>LAP Regular</t>
  </si>
  <si>
    <t>LAP HiPov</t>
  </si>
  <si>
    <t>27901 CHIEF LESCHI TRIBAL COMPACT</t>
  </si>
  <si>
    <t>17911 IMPACT PUBLIC SCHOOLS</t>
  </si>
  <si>
    <t>36901 WILLOW PUBLIC CHARTER SCHOOL</t>
  </si>
  <si>
    <t xml:space="preserve">LAP Program 55 Total Recovery </t>
  </si>
  <si>
    <t>Summit Public School: Atlas</t>
  </si>
  <si>
    <t>Green Dot Public Schools WA State</t>
  </si>
  <si>
    <t>2012-13 amounts have been removed or applied as applicable.</t>
  </si>
  <si>
    <t>2013-14 amounts have been removed or applied as applicable.</t>
  </si>
  <si>
    <t>Recovery Rate</t>
  </si>
  <si>
    <t xml:space="preserve">Recovery </t>
  </si>
  <si>
    <t xml:space="preserve">GL 828 Restricted for Carryover of Food Service Revenue </t>
  </si>
  <si>
    <t>This account is provided as a means for accumulating and restricting ending fund balance that derives from net gains of the district's food service program. The excess of food service program revenue over total expenditures is recorded in this account. Amounts in this account may only be used for the benefit of the district's food service program.</t>
  </si>
  <si>
    <t>For more information, see the Food Service Program Guidance in Appendix B of the Accounting Manual for School Districts in Washington state.</t>
  </si>
  <si>
    <t>INSTRUCTIONS:</t>
  </si>
  <si>
    <t>The County–District number field will pre-populate from the Fund Balance Summary worksheet.</t>
  </si>
  <si>
    <t>In cells D7:D11, enter the amount of food service-related revenues that your district received during the year (anything recorded in a XX98 Revenue Code.)</t>
  </si>
  <si>
    <t>In cells B15:B21, enter the following amounts (top to bottom):</t>
  </si>
  <si>
    <t>In CELL C22, enter the total amount recorded as Credit Transfers in Object Code 1.  Enter it as a negative number.</t>
  </si>
  <si>
    <t>If you have a deficiency of revenues over expenditures, (that is, cell D29 is negative), you will need to print out a copy of the worksheet, and sign the certification. This certifies that the district used non-federal resources to cover the deficit in the food service account.</t>
  </si>
  <si>
    <r>
      <rPr>
        <sz val="11"/>
        <color theme="1"/>
        <rFont val="Wingdings"/>
        <charset val="2"/>
      </rPr>
      <t>l</t>
    </r>
    <r>
      <rPr>
        <sz val="11"/>
        <color theme="1"/>
        <rFont val="Calibri"/>
        <family val="2"/>
        <scheme val="minor"/>
      </rPr>
      <t xml:space="preserve"> Salaries and Benefits (any expenditures coded to Objects 2, 3, or 4.)</t>
    </r>
  </si>
  <si>
    <r>
      <rPr>
        <sz val="11"/>
        <color theme="1"/>
        <rFont val="Wingdings"/>
        <charset val="2"/>
      </rPr>
      <t>l</t>
    </r>
    <r>
      <rPr>
        <sz val="11"/>
        <color theme="1"/>
        <rFont val="Calibri"/>
        <family val="2"/>
        <scheme val="minor"/>
      </rPr>
      <t xml:space="preserve">  Non-Food Services (any expenditures coded to Object 7 EXCEPT those in Activity 42.)</t>
    </r>
  </si>
  <si>
    <r>
      <rPr>
        <sz val="11"/>
        <color theme="1"/>
        <rFont val="Wingdings"/>
        <charset val="2"/>
      </rPr>
      <t>l</t>
    </r>
    <r>
      <rPr>
        <sz val="11"/>
        <color theme="1"/>
        <rFont val="Calibri"/>
        <family val="2"/>
        <scheme val="minor"/>
      </rPr>
      <t xml:space="preserve">  Food Services (Activity 42, Object 7).</t>
    </r>
  </si>
  <si>
    <r>
      <rPr>
        <sz val="11"/>
        <color theme="1"/>
        <rFont val="Wingdings"/>
        <charset val="2"/>
      </rPr>
      <t>l</t>
    </r>
    <r>
      <rPr>
        <sz val="11"/>
        <color theme="1"/>
        <rFont val="Calibri"/>
        <family val="2"/>
        <scheme val="minor"/>
      </rPr>
      <t xml:space="preserve">  Travel and Debit Transfers (any expenditures coded to Object 0 or Object 8.)</t>
    </r>
  </si>
  <si>
    <r>
      <rPr>
        <sz val="11"/>
        <color theme="1"/>
        <rFont val="Wingdings"/>
        <charset val="2"/>
      </rPr>
      <t>l</t>
    </r>
    <r>
      <rPr>
        <sz val="11"/>
        <color theme="1"/>
        <rFont val="Calibri"/>
        <family val="2"/>
        <scheme val="minor"/>
      </rPr>
      <t xml:space="preserve">  Capital Outlay (any expenditure coded to Object 9.)</t>
    </r>
  </si>
  <si>
    <r>
      <rPr>
        <sz val="11"/>
        <color theme="1"/>
        <rFont val="Wingdings"/>
        <charset val="2"/>
      </rPr>
      <t>l</t>
    </r>
    <r>
      <rPr>
        <sz val="11"/>
        <color theme="1"/>
        <rFont val="Calibri"/>
        <family val="2"/>
        <scheme val="minor"/>
      </rPr>
      <t xml:space="preserve"> Non-Food Supplies (any expenditures coded to Object 5 EXCEPT those in Activity 42.)</t>
    </r>
  </si>
  <si>
    <r>
      <rPr>
        <sz val="11"/>
        <color theme="1"/>
        <rFont val="Wingdings"/>
        <charset val="2"/>
      </rPr>
      <t>l</t>
    </r>
    <r>
      <rPr>
        <sz val="11"/>
        <color theme="1"/>
        <rFont val="Calibri"/>
        <family val="2"/>
        <scheme val="minor"/>
      </rPr>
      <t xml:space="preserve"> Food Supplies (Activity 42, Object 5).</t>
    </r>
  </si>
  <si>
    <t>Check Column B to Column N. Should equal zero</t>
  </si>
  <si>
    <t xml:space="preserve">Activity 34 Professional Learning Days </t>
  </si>
  <si>
    <t>Activity 34 Professional Learning Days: Allocation Carryover</t>
  </si>
  <si>
    <t>GREEN DOT DESTINY CHARTER</t>
  </si>
  <si>
    <t>GREEN DOT EXCEL CHARTER</t>
  </si>
  <si>
    <t>GREEN DOT RAINIER VALLEY</t>
  </si>
  <si>
    <t>LUMMI TRIBAL AGENCY</t>
  </si>
  <si>
    <t>SUMMIT ATLAS</t>
  </si>
  <si>
    <t>SUQUAMISH TRIBAL ED DEPT</t>
  </si>
  <si>
    <t>WA HE LUT TRIBAL</t>
  </si>
  <si>
    <t>WILLOW CHARTER</t>
  </si>
  <si>
    <t>YAKAMA NATION TRIBAL</t>
  </si>
  <si>
    <t>WILLOW PUBLIC SCHOOL</t>
  </si>
  <si>
    <t>IMPACT PUBLIC SCHOOL</t>
  </si>
  <si>
    <t>CHIEF LESCHI TRIBAL</t>
  </si>
  <si>
    <t>SUMMIT OLYMPUS</t>
  </si>
  <si>
    <t xml:space="preserve">SUMMIT SIERRA </t>
  </si>
  <si>
    <t>CHIEF LESCHI</t>
  </si>
  <si>
    <t>FY 2019–20</t>
  </si>
  <si>
    <t>17–18 INDIRECT RATES USED FOR 2019–2020 FINANCIALS</t>
  </si>
  <si>
    <t>19–20</t>
  </si>
  <si>
    <t>2018-19</t>
  </si>
  <si>
    <t>New 15-16</t>
  </si>
  <si>
    <t>For 2019–2020</t>
  </si>
  <si>
    <t>new 16-17</t>
  </si>
  <si>
    <t>New 16-17</t>
  </si>
  <si>
    <t>New 17-18</t>
  </si>
  <si>
    <t>Adj for 20-21</t>
  </si>
  <si>
    <r>
      <rPr>
        <b/>
        <u/>
        <sz val="14"/>
        <color theme="1"/>
        <rFont val="Segoe UI"/>
        <family val="2"/>
      </rPr>
      <t>GENERAL FUND EQUITY ACCOUNTS, BY SUB-FUND</t>
    </r>
    <r>
      <rPr>
        <b/>
        <sz val="14"/>
        <color theme="1"/>
        <rFont val="Segoe UI"/>
        <family val="2"/>
      </rPr>
      <t xml:space="preserve">: </t>
    </r>
    <r>
      <rPr>
        <sz val="14"/>
        <color theme="1"/>
        <rFont val="Segoe UI"/>
        <family val="2"/>
      </rPr>
      <t xml:space="preserve">Districts are encouraged to track Fund Balance Equity by Sub-Fund. In the </t>
    </r>
    <r>
      <rPr>
        <b/>
        <sz val="14"/>
        <color rgb="FFC00000"/>
        <rFont val="Segoe UI"/>
        <family val="2"/>
      </rPr>
      <t xml:space="preserve">yellow </t>
    </r>
    <r>
      <rPr>
        <sz val="14"/>
        <color theme="1"/>
        <rFont val="Segoe UI"/>
        <family val="2"/>
      </rPr>
      <t xml:space="preserve">cells provided in </t>
    </r>
    <r>
      <rPr>
        <b/>
        <sz val="14"/>
        <color rgb="FFC00000"/>
        <rFont val="Segoe UI"/>
        <family val="2"/>
      </rPr>
      <t>columns L &amp; M</t>
    </r>
    <r>
      <rPr>
        <sz val="14"/>
        <color theme="1"/>
        <rFont val="Segoe UI"/>
        <family val="2"/>
      </rPr>
      <t xml:space="preserve">, enter values, segregated by Sub-Fund, associated with the corresponding General Ledger account values in column B. Columns L &amp; M are added together in column N. Column O compares column N to Column B.  </t>
    </r>
    <r>
      <rPr>
        <b/>
        <sz val="14"/>
        <color theme="1"/>
        <rFont val="Segoe UI"/>
        <family val="2"/>
      </rPr>
      <t xml:space="preserve">The amounts calculated in columns L &amp; M, at Row 54, are intended to represent your 2019–20 </t>
    </r>
    <r>
      <rPr>
        <b/>
        <sz val="14"/>
        <color rgb="FFC00000"/>
        <rFont val="Segoe UI"/>
        <family val="2"/>
      </rPr>
      <t>ENDING</t>
    </r>
    <r>
      <rPr>
        <b/>
        <sz val="14"/>
        <color theme="1"/>
        <rFont val="Segoe UI"/>
        <family val="2"/>
      </rPr>
      <t xml:space="preserve"> Fund Balance, by Sub-Fund. This worksheet, and supporting work-tabs, can be used to support amounts provided in the supplemental F-196 report: Fund Balance, by Sub-Fund.</t>
    </r>
  </si>
  <si>
    <t xml:space="preserve">The amounts calculated in Columns L &amp; M at Row 54 represent the General Fund ending Fund Balance, by Sub-Fund. This worksheet can be used to support amounts provided in the supplemental F-196 report: Fund Balance by Sub-Fund. </t>
  </si>
  <si>
    <r>
      <t xml:space="preserve">It is recommended that districts print a copy of the completed </t>
    </r>
    <r>
      <rPr>
        <b/>
        <i/>
        <sz val="14"/>
        <color theme="1"/>
        <rFont val="Calibri"/>
        <family val="2"/>
        <scheme val="minor"/>
      </rPr>
      <t>GL828 worksheet</t>
    </r>
    <r>
      <rPr>
        <b/>
        <i/>
        <sz val="11"/>
        <color theme="1"/>
        <rFont val="Calibri"/>
        <family val="2"/>
        <scheme val="minor"/>
      </rPr>
      <t>, if applicable. Sign it, date it, and keep a copy on file for review by Child Nutrition Services and/or the auditors.</t>
    </r>
  </si>
  <si>
    <t xml:space="preserve">Business Managers should enter values In the yellow cells provided in columns L &amp; M. This exercise is intended to split the Equity Accounts by sub-funds. </t>
  </si>
  <si>
    <t>ESD</t>
  </si>
  <si>
    <t>1ST</t>
  </si>
  <si>
    <t>2ND</t>
  </si>
  <si>
    <t>CASH</t>
  </si>
  <si>
    <t>ACRL</t>
  </si>
  <si>
    <t>01-109</t>
  </si>
  <si>
    <t>01-122</t>
  </si>
  <si>
    <t>01-147</t>
  </si>
  <si>
    <t>01-158</t>
  </si>
  <si>
    <t>01-160</t>
  </si>
  <si>
    <t>02-250</t>
  </si>
  <si>
    <t>02-420</t>
  </si>
  <si>
    <t>03-017</t>
  </si>
  <si>
    <t>03-050</t>
  </si>
  <si>
    <t>03-052</t>
  </si>
  <si>
    <t>03-053</t>
  </si>
  <si>
    <t>03-116</t>
  </si>
  <si>
    <t>03-400</t>
  </si>
  <si>
    <t>04-019</t>
  </si>
  <si>
    <t>04-069</t>
  </si>
  <si>
    <t>04-127</t>
  </si>
  <si>
    <t>04-129</t>
  </si>
  <si>
    <t>04-222</t>
  </si>
  <si>
    <t>04-228</t>
  </si>
  <si>
    <t>04-246</t>
  </si>
  <si>
    <t>05-121</t>
  </si>
  <si>
    <t>05-313</t>
  </si>
  <si>
    <t>05-323</t>
  </si>
  <si>
    <t>05-401</t>
  </si>
  <si>
    <t>05-402</t>
  </si>
  <si>
    <t>06-037</t>
  </si>
  <si>
    <t>06-098</t>
  </si>
  <si>
    <t>06-101</t>
  </si>
  <si>
    <t>LA CENTER</t>
  </si>
  <si>
    <t>06-103</t>
  </si>
  <si>
    <t>06-112</t>
  </si>
  <si>
    <t>06-114</t>
  </si>
  <si>
    <t>06-117</t>
  </si>
  <si>
    <t>06-119</t>
  </si>
  <si>
    <t>06-122</t>
  </si>
  <si>
    <t>07-002</t>
  </si>
  <si>
    <t>07-035</t>
  </si>
  <si>
    <t>08-122</t>
  </si>
  <si>
    <t>08-130</t>
  </si>
  <si>
    <t>08-401</t>
  </si>
  <si>
    <t>08-402</t>
  </si>
  <si>
    <t>08-404</t>
  </si>
  <si>
    <t>08-458</t>
  </si>
  <si>
    <t>09-013</t>
  </si>
  <si>
    <t>09-075</t>
  </si>
  <si>
    <t>09-102</t>
  </si>
  <si>
    <t>09-206</t>
  </si>
  <si>
    <t>09-207</t>
  </si>
  <si>
    <t>09-209</t>
  </si>
  <si>
    <t>10-003</t>
  </si>
  <si>
    <t>10-050</t>
  </si>
  <si>
    <t>10-065</t>
  </si>
  <si>
    <t>10-070</t>
  </si>
  <si>
    <t>10-309</t>
  </si>
  <si>
    <t>11-001</t>
  </si>
  <si>
    <t>11-051</t>
  </si>
  <si>
    <t>11-054</t>
  </si>
  <si>
    <t>11-056</t>
  </si>
  <si>
    <t>12-110</t>
  </si>
  <si>
    <t>13-073</t>
  </si>
  <si>
    <t>13-144</t>
  </si>
  <si>
    <t>13-146</t>
  </si>
  <si>
    <t>13-151</t>
  </si>
  <si>
    <t>13-156</t>
  </si>
  <si>
    <t>13-160</t>
  </si>
  <si>
    <t>13-161</t>
  </si>
  <si>
    <t>13-165</t>
  </si>
  <si>
    <t>13-167</t>
  </si>
  <si>
    <t>13-301</t>
  </si>
  <si>
    <t>14-005</t>
  </si>
  <si>
    <t>14-028</t>
  </si>
  <si>
    <t>14-064</t>
  </si>
  <si>
    <t>14-065</t>
  </si>
  <si>
    <t>14-066</t>
  </si>
  <si>
    <t>14-068</t>
  </si>
  <si>
    <t>14-077</t>
  </si>
  <si>
    <t>14-097</t>
  </si>
  <si>
    <t>14-099</t>
  </si>
  <si>
    <t>14-104</t>
  </si>
  <si>
    <t>14-117</t>
  </si>
  <si>
    <t>14-172</t>
  </si>
  <si>
    <t>14-400</t>
  </si>
  <si>
    <t>15-201</t>
  </si>
  <si>
    <t>15-204</t>
  </si>
  <si>
    <t>15-206</t>
  </si>
  <si>
    <t>16-020</t>
  </si>
  <si>
    <t>16-046</t>
  </si>
  <si>
    <t>16-048</t>
  </si>
  <si>
    <t>16-049</t>
  </si>
  <si>
    <t>16-050</t>
  </si>
  <si>
    <t>17-001</t>
  </si>
  <si>
    <t>17-210</t>
  </si>
  <si>
    <t>17-216</t>
  </si>
  <si>
    <t>17-400</t>
  </si>
  <si>
    <t>17-401</t>
  </si>
  <si>
    <t>17-402</t>
  </si>
  <si>
    <t>17-403</t>
  </si>
  <si>
    <t>17-404</t>
  </si>
  <si>
    <t>17-405</t>
  </si>
  <si>
    <t>17-406</t>
  </si>
  <si>
    <t>17-407</t>
  </si>
  <si>
    <t>17-408</t>
  </si>
  <si>
    <t>17-409</t>
  </si>
  <si>
    <t>17-410</t>
  </si>
  <si>
    <t>SNOQUALMIE VALLE</t>
  </si>
  <si>
    <t>17-411</t>
  </si>
  <si>
    <t>17-412</t>
  </si>
  <si>
    <t>17-414</t>
  </si>
  <si>
    <t>17-415</t>
  </si>
  <si>
    <t>17-417</t>
  </si>
  <si>
    <t>18-100</t>
  </si>
  <si>
    <t>18-303</t>
  </si>
  <si>
    <t>18-400</t>
  </si>
  <si>
    <t>18-401</t>
  </si>
  <si>
    <t>18-402</t>
  </si>
  <si>
    <t>19-007</t>
  </si>
  <si>
    <t>19-028</t>
  </si>
  <si>
    <t>19-400</t>
  </si>
  <si>
    <t>19-401</t>
  </si>
  <si>
    <t>19-403</t>
  </si>
  <si>
    <t>19-404</t>
  </si>
  <si>
    <t>20-094</t>
  </si>
  <si>
    <t>20-203</t>
  </si>
  <si>
    <t>20-215</t>
  </si>
  <si>
    <t>20-400</t>
  </si>
  <si>
    <t>20-401</t>
  </si>
  <si>
    <t>20-402</t>
  </si>
  <si>
    <t>20-403</t>
  </si>
  <si>
    <t>20-404</t>
  </si>
  <si>
    <t>20-405</t>
  </si>
  <si>
    <t>20-406</t>
  </si>
  <si>
    <t>21-014</t>
  </si>
  <si>
    <t>21-036</t>
  </si>
  <si>
    <t>21-206</t>
  </si>
  <si>
    <t>21-214</t>
  </si>
  <si>
    <t>21-226</t>
  </si>
  <si>
    <t>21-232</t>
  </si>
  <si>
    <t>21-234</t>
  </si>
  <si>
    <t>21-237</t>
  </si>
  <si>
    <t>21-300</t>
  </si>
  <si>
    <t>21-301</t>
  </si>
  <si>
    <t>21-302</t>
  </si>
  <si>
    <t>21-303</t>
  </si>
  <si>
    <t>21-401</t>
  </si>
  <si>
    <t>22-008</t>
  </si>
  <si>
    <t>22-009</t>
  </si>
  <si>
    <t>22-017</t>
  </si>
  <si>
    <t>22-073</t>
  </si>
  <si>
    <t>22-105</t>
  </si>
  <si>
    <t>22-200</t>
  </si>
  <si>
    <t>22-204</t>
  </si>
  <si>
    <t>22-207</t>
  </si>
  <si>
    <t>23-042</t>
  </si>
  <si>
    <t>23-054</t>
  </si>
  <si>
    <t>23-309</t>
  </si>
  <si>
    <t>23-311</t>
  </si>
  <si>
    <t>23-402</t>
  </si>
  <si>
    <t>23-403</t>
  </si>
  <si>
    <t>23-404</t>
  </si>
  <si>
    <t>24-014</t>
  </si>
  <si>
    <t>24-019</t>
  </si>
  <si>
    <t>24-105</t>
  </si>
  <si>
    <t>24-111</t>
  </si>
  <si>
    <t>24-122</t>
  </si>
  <si>
    <t>24-350</t>
  </si>
  <si>
    <t>24-404</t>
  </si>
  <si>
    <t>24-410</t>
  </si>
  <si>
    <t>25-101</t>
  </si>
  <si>
    <t>25-116</t>
  </si>
  <si>
    <t>25-118</t>
  </si>
  <si>
    <t>25-155</t>
  </si>
  <si>
    <t>NASELLE GRAYS RI</t>
  </si>
  <si>
    <t>25-160</t>
  </si>
  <si>
    <t>25-200</t>
  </si>
  <si>
    <t>26-056</t>
  </si>
  <si>
    <t>26-059</t>
  </si>
  <si>
    <t>26-070</t>
  </si>
  <si>
    <t>27-001</t>
  </si>
  <si>
    <t>27-003</t>
  </si>
  <si>
    <t>27-010</t>
  </si>
  <si>
    <t>27-019</t>
  </si>
  <si>
    <t>27-083</t>
  </si>
  <si>
    <t>27-320</t>
  </si>
  <si>
    <t>27-343</t>
  </si>
  <si>
    <t>27-344</t>
  </si>
  <si>
    <t>27-400</t>
  </si>
  <si>
    <t>27-401</t>
  </si>
  <si>
    <t>27-402</t>
  </si>
  <si>
    <t>27-403</t>
  </si>
  <si>
    <t>27-404</t>
  </si>
  <si>
    <t>27-416</t>
  </si>
  <si>
    <t>27-417</t>
  </si>
  <si>
    <t>28-010</t>
  </si>
  <si>
    <t>28-137</t>
  </si>
  <si>
    <t>28-144</t>
  </si>
  <si>
    <t>28-149</t>
  </si>
  <si>
    <t>29-011</t>
  </si>
  <si>
    <t>29-100</t>
  </si>
  <si>
    <t>29-101</t>
  </si>
  <si>
    <t>29-103</t>
  </si>
  <si>
    <t>29-311</t>
  </si>
  <si>
    <t>29-317</t>
  </si>
  <si>
    <t>29-320</t>
  </si>
  <si>
    <t>30-002</t>
  </si>
  <si>
    <t>30-029</t>
  </si>
  <si>
    <t>30-031</t>
  </si>
  <si>
    <t>30-303</t>
  </si>
  <si>
    <t>31-002</t>
  </si>
  <si>
    <t>31-004</t>
  </si>
  <si>
    <t>31-006</t>
  </si>
  <si>
    <t>31-015</t>
  </si>
  <si>
    <t>31-016</t>
  </si>
  <si>
    <t>31-025</t>
  </si>
  <si>
    <t>31-063</t>
  </si>
  <si>
    <t>31-103</t>
  </si>
  <si>
    <t>31-201</t>
  </si>
  <si>
    <t>31-306</t>
  </si>
  <si>
    <t>31-311</t>
  </si>
  <si>
    <t>31-330</t>
  </si>
  <si>
    <t>31-332</t>
  </si>
  <si>
    <t>31-401</t>
  </si>
  <si>
    <t>32-081</t>
  </si>
  <si>
    <t>32-123</t>
  </si>
  <si>
    <t>32-312</t>
  </si>
  <si>
    <t>32-325</t>
  </si>
  <si>
    <t>32-326</t>
  </si>
  <si>
    <t>32-354</t>
  </si>
  <si>
    <t>32-356</t>
  </si>
  <si>
    <t>32-358</t>
  </si>
  <si>
    <t>32-360</t>
  </si>
  <si>
    <t>32-361</t>
  </si>
  <si>
    <t>32-362</t>
  </si>
  <si>
    <t>32-363</t>
  </si>
  <si>
    <t>32-414</t>
  </si>
  <si>
    <t>32-416</t>
  </si>
  <si>
    <t>33-030</t>
  </si>
  <si>
    <t>33-036</t>
  </si>
  <si>
    <t>33-049</t>
  </si>
  <si>
    <t>33-070</t>
  </si>
  <si>
    <t>33-115</t>
  </si>
  <si>
    <t>33-183</t>
  </si>
  <si>
    <t>33-202</t>
  </si>
  <si>
    <t>33-205</t>
  </si>
  <si>
    <t>33-206</t>
  </si>
  <si>
    <t>33-207</t>
  </si>
  <si>
    <t>33-211</t>
  </si>
  <si>
    <t>33-212</t>
  </si>
  <si>
    <t>34-002</t>
  </si>
  <si>
    <t>34-003</t>
  </si>
  <si>
    <t>34-033</t>
  </si>
  <si>
    <t>34-111</t>
  </si>
  <si>
    <t>34-307</t>
  </si>
  <si>
    <t>34-324</t>
  </si>
  <si>
    <t>34-401</t>
  </si>
  <si>
    <t>34-402</t>
  </si>
  <si>
    <t>35-200</t>
  </si>
  <si>
    <t>36-101</t>
  </si>
  <si>
    <t>36-140</t>
  </si>
  <si>
    <t>36-250</t>
  </si>
  <si>
    <t>36-300</t>
  </si>
  <si>
    <t>36-400</t>
  </si>
  <si>
    <t>36-401</t>
  </si>
  <si>
    <t>36-402</t>
  </si>
  <si>
    <t>37-501</t>
  </si>
  <si>
    <t>37-502</t>
  </si>
  <si>
    <t>37-503</t>
  </si>
  <si>
    <t>37-504</t>
  </si>
  <si>
    <t>37-505</t>
  </si>
  <si>
    <t>37-506</t>
  </si>
  <si>
    <t>37-507</t>
  </si>
  <si>
    <t>38-126</t>
  </si>
  <si>
    <t>38-264</t>
  </si>
  <si>
    <t>38-265</t>
  </si>
  <si>
    <t>38-267</t>
  </si>
  <si>
    <t>38-300</t>
  </si>
  <si>
    <t>38-301</t>
  </si>
  <si>
    <t>38-302</t>
  </si>
  <si>
    <t>38-304</t>
  </si>
  <si>
    <t>38-306</t>
  </si>
  <si>
    <t>38-308</t>
  </si>
  <si>
    <t>38-320</t>
  </si>
  <si>
    <t>38-322</t>
  </si>
  <si>
    <t>38-324</t>
  </si>
  <si>
    <t>39-002</t>
  </si>
  <si>
    <t>39-003</t>
  </si>
  <si>
    <t>39-007</t>
  </si>
  <si>
    <t>39-090</t>
  </si>
  <si>
    <t>39-119</t>
  </si>
  <si>
    <t>39-120</t>
  </si>
  <si>
    <t>39-200</t>
  </si>
  <si>
    <t>39-201</t>
  </si>
  <si>
    <t>39-202</t>
  </si>
  <si>
    <t>39-203</t>
  </si>
  <si>
    <t>39-204</t>
  </si>
  <si>
    <t>39-205</t>
  </si>
  <si>
    <t>39-207</t>
  </si>
  <si>
    <t>39-208</t>
  </si>
  <si>
    <t>39-209</t>
  </si>
  <si>
    <t>17915</t>
  </si>
  <si>
    <t>17915 ASHE PREPARATORY ACADEMY</t>
  </si>
  <si>
    <t>39901  YAKAMA NATION TRIBAL</t>
  </si>
  <si>
    <t>INST CARRYOVER</t>
  </si>
  <si>
    <t>INST. 4156</t>
  </si>
  <si>
    <t>ACCT. 4156 &amp; 34</t>
  </si>
  <si>
    <t>Z603</t>
  </si>
  <si>
    <t>CTE 9-12 TOTAL</t>
  </si>
  <si>
    <t xml:space="preserve">Basic Ed </t>
  </si>
  <si>
    <t xml:space="preserve">Alloc </t>
  </si>
  <si>
    <t>BASIC ED</t>
  </si>
  <si>
    <t>Per Student</t>
  </si>
  <si>
    <t>per Student</t>
  </si>
  <si>
    <t>Z583</t>
  </si>
  <si>
    <t>CTE 7-8 TOTAL</t>
  </si>
  <si>
    <t>Allocation</t>
  </si>
  <si>
    <t>Prior Year Carryover*</t>
  </si>
  <si>
    <t>Lessor of [Allocation or Net Expd-Carryover]</t>
  </si>
  <si>
    <t>2018-19       PLD 34</t>
  </si>
  <si>
    <t>Paul Entry</t>
  </si>
  <si>
    <t>Add Current Year Activity 34 Allocation</t>
  </si>
  <si>
    <t>4156 &amp; 34</t>
  </si>
  <si>
    <t>4199 Carryover</t>
  </si>
  <si>
    <t>ACCT. 4126</t>
  </si>
  <si>
    <t>2019-20       PLD 34</t>
  </si>
  <si>
    <t>This tool is provided to assist districts in properly coding their ending fund balances for the 2019–20 school year.</t>
  </si>
  <si>
    <r>
      <rPr>
        <b/>
        <u/>
        <sz val="14"/>
        <color theme="1"/>
        <rFont val="Calibri"/>
        <family val="2"/>
        <scheme val="minor"/>
      </rPr>
      <t>SHEET: FUND BALANCE SUMMARY</t>
    </r>
    <r>
      <rPr>
        <b/>
        <sz val="14"/>
        <color theme="1"/>
        <rFont val="Calibri"/>
        <family val="2"/>
        <scheme val="minor"/>
      </rPr>
      <t xml:space="preserve"> — </t>
    </r>
    <r>
      <rPr>
        <b/>
        <u/>
        <sz val="14"/>
        <color theme="1"/>
        <rFont val="Calibri"/>
        <family val="2"/>
        <scheme val="minor"/>
      </rPr>
      <t>COLUMNS L and M</t>
    </r>
    <r>
      <rPr>
        <b/>
        <sz val="14"/>
        <color theme="1"/>
        <rFont val="Calibri"/>
        <family val="2"/>
        <scheme val="minor"/>
      </rPr>
      <t xml:space="preserve">   </t>
    </r>
    <r>
      <rPr>
        <sz val="12"/>
        <color theme="1"/>
        <rFont val="Calibri"/>
        <family val="2"/>
        <scheme val="minor"/>
      </rPr>
      <t xml:space="preserve">     </t>
    </r>
  </si>
  <si>
    <r>
      <t xml:space="preserve">Last Updated: August 31, 2020. 2019–20 allocations are updated through August 2020 for the </t>
    </r>
    <r>
      <rPr>
        <u/>
        <sz val="12"/>
        <color theme="1"/>
        <rFont val="Calibri"/>
        <family val="2"/>
        <scheme val="minor"/>
      </rPr>
      <t>GL 821 Restricted</t>
    </r>
    <r>
      <rPr>
        <sz val="12"/>
        <color theme="1"/>
        <rFont val="Calibri"/>
        <family val="2"/>
        <scheme val="minor"/>
      </rPr>
      <t xml:space="preserve"> worksheet. </t>
    </r>
    <r>
      <rPr>
        <u/>
        <sz val="12"/>
        <color theme="1"/>
        <rFont val="Calibri"/>
        <family val="2"/>
        <scheme val="minor"/>
      </rPr>
      <t>GL 828 Restricted</t>
    </r>
    <r>
      <rPr>
        <sz val="12"/>
        <color theme="1"/>
        <rFont val="Calibri"/>
        <family val="2"/>
        <scheme val="minor"/>
      </rPr>
      <t xml:space="preserve"> contains updated carryover amounts.</t>
    </r>
  </si>
  <si>
    <t xml:space="preserve">For more information or questions, please contact Paul Stone by email at paul.stone@k12.wa.us. </t>
  </si>
  <si>
    <t>Impact  PSE</t>
  </si>
  <si>
    <t xml:space="preserve">Willow </t>
  </si>
  <si>
    <t xml:space="preserve">Direct Expenditures, Activity 34 </t>
  </si>
  <si>
    <t>2014-15 amounts have been removed or applied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</si>
</sst>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_(&quot;$&quot;* #,##0.00_);[Red]_(&quot;$&quot;* \(#,##0.00\);_(&quot;$&quot;* &quot;-&quot;??_);_(@_)"/>
    <numFmt numFmtId="165" formatCode="_(* #,##0.0000_);_(* \(#,##0.0000\);_(* &quot;-&quot;??_);_(@_)"/>
    <numFmt numFmtId="166" formatCode="_(* #,##0.00_);_(* \(#,##0.00\);_(* &quot;-&quot;_);_(@_)"/>
    <numFmt numFmtId="167" formatCode="_(&quot;$&quot;* #,##0_);_(&quot;$&quot;* \(#,##0\);_(&quot;$&quot;* &quot;-&quot;??_);_(@_)"/>
    <numFmt numFmtId="168" formatCode="_(* #,##0_);_(* \(#,##0\);_(* &quot;-&quot;??_);_(@_)"/>
  </numFmts>
  <fonts count="96">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sz val="11"/>
      <name val="Calibri"/>
      <family val="2"/>
      <scheme val="minor"/>
    </font>
    <font>
      <u/>
      <sz val="11"/>
      <color theme="10"/>
      <name val="Calibri"/>
      <family val="2"/>
    </font>
    <font>
      <u val="doubleAccounting"/>
      <sz val="11"/>
      <color theme="1"/>
      <name val="Calibri"/>
      <family val="2"/>
      <scheme val="minor"/>
    </font>
    <font>
      <b/>
      <u val="doubleAccounting"/>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1"/>
      <name val="Calibri"/>
      <family val="2"/>
      <scheme val="minor"/>
    </font>
    <font>
      <b/>
      <sz val="9"/>
      <name val="Arial"/>
      <family val="2"/>
    </font>
    <font>
      <sz val="9"/>
      <name val="Arial"/>
      <family val="2"/>
    </font>
    <font>
      <sz val="10"/>
      <color indexed="8"/>
      <name val="Arial"/>
      <family val="2"/>
    </font>
    <font>
      <sz val="11"/>
      <color indexed="8"/>
      <name val="Calibri"/>
      <family val="2"/>
    </font>
    <font>
      <sz val="10"/>
      <name val="Arial"/>
      <family val="2"/>
    </font>
    <font>
      <u val="singleAccounting"/>
      <sz val="11"/>
      <color theme="1"/>
      <name val="Calibri"/>
      <family val="2"/>
      <scheme val="minor"/>
    </font>
    <font>
      <u val="doubleAccounting"/>
      <sz val="11"/>
      <name val="Calibri"/>
      <family val="2"/>
      <scheme val="minor"/>
    </font>
    <font>
      <b/>
      <u/>
      <sz val="11"/>
      <color theme="1"/>
      <name val="Calibri"/>
      <family val="2"/>
      <scheme val="minor"/>
    </font>
    <font>
      <b/>
      <i/>
      <u val="doubleAccounting"/>
      <sz val="11"/>
      <color theme="0"/>
      <name val="Calibri"/>
      <family val="2"/>
      <scheme val="minor"/>
    </font>
    <font>
      <sz val="9"/>
      <color indexed="81"/>
      <name val="Tahoma"/>
      <family val="2"/>
    </font>
    <font>
      <b/>
      <sz val="9"/>
      <color indexed="81"/>
      <name val="Tahoma"/>
      <family val="2"/>
    </font>
    <font>
      <b/>
      <sz val="10"/>
      <color theme="3" tint="-0.249977111117893"/>
      <name val="Calibri"/>
      <family val="2"/>
      <scheme val="minor"/>
    </font>
    <font>
      <sz val="10"/>
      <name val="Calibri"/>
      <family val="2"/>
      <scheme val="minor"/>
    </font>
    <font>
      <sz val="10"/>
      <color indexed="8"/>
      <name val="MS Sans Serif"/>
      <family val="2"/>
    </font>
    <font>
      <sz val="10"/>
      <name val="Geneva"/>
      <family val="2"/>
    </font>
    <font>
      <b/>
      <u val="singleAccounting"/>
      <sz val="11"/>
      <color theme="1"/>
      <name val="Calibri"/>
      <family val="2"/>
      <scheme val="minor"/>
    </font>
    <font>
      <b/>
      <sz val="11"/>
      <color rgb="FFFF0000"/>
      <name val="Calibri"/>
      <family val="2"/>
      <scheme val="minor"/>
    </font>
    <font>
      <sz val="10"/>
      <color indexed="8"/>
      <name val="Arial"/>
      <family val="2"/>
    </font>
    <font>
      <u val="singleAccounting"/>
      <sz val="11"/>
      <name val="Calibri"/>
      <family val="2"/>
      <scheme val="minor"/>
    </font>
    <font>
      <b/>
      <sz val="14"/>
      <color theme="1"/>
      <name val="Copperplate Gothic Bold"/>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Geneva"/>
    </font>
    <font>
      <sz val="10"/>
      <name val="MS Sans Serif"/>
      <family val="2"/>
    </font>
    <font>
      <u/>
      <sz val="10"/>
      <color indexed="12"/>
      <name val="Arial"/>
      <family val="2"/>
    </font>
    <font>
      <sz val="10"/>
      <name val="Arial"/>
      <family val="2"/>
    </font>
    <font>
      <sz val="11"/>
      <color theme="1"/>
      <name val="Calibri"/>
      <family val="2"/>
    </font>
    <font>
      <b/>
      <sz val="11"/>
      <color theme="3" tint="-0.249977111117893"/>
      <name val="Calibri"/>
      <family val="2"/>
      <scheme val="minor"/>
    </font>
    <font>
      <b/>
      <sz val="12"/>
      <color theme="1"/>
      <name val="Calibri"/>
      <family val="2"/>
      <scheme val="minor"/>
    </font>
    <font>
      <strike/>
      <sz val="11"/>
      <color theme="1"/>
      <name val="Calibri"/>
      <family val="2"/>
      <scheme val="minor"/>
    </font>
    <font>
      <b/>
      <sz val="16"/>
      <color theme="1"/>
      <name val="Calibri"/>
      <family val="2"/>
      <scheme val="minor"/>
    </font>
    <font>
      <b/>
      <sz val="12"/>
      <color theme="3" tint="-0.249977111117893"/>
      <name val="Calibri"/>
      <family val="2"/>
      <scheme val="minor"/>
    </font>
    <font>
      <b/>
      <sz val="11"/>
      <color indexed="8"/>
      <name val="Calibri"/>
      <family val="2"/>
    </font>
    <font>
      <b/>
      <sz val="11"/>
      <name val="Calibri"/>
      <family val="2"/>
    </font>
    <font>
      <sz val="12"/>
      <color theme="1"/>
      <name val="Calibri"/>
      <family val="2"/>
      <scheme val="minor"/>
    </font>
    <font>
      <u/>
      <sz val="12"/>
      <color theme="10"/>
      <name val="Calibri"/>
      <family val="2"/>
      <scheme val="minor"/>
    </font>
    <font>
      <sz val="12"/>
      <color rgb="FFFF0000"/>
      <name val="Calibri"/>
      <family val="2"/>
      <scheme val="minor"/>
    </font>
    <font>
      <sz val="12"/>
      <name val="Calibri"/>
      <family val="2"/>
      <scheme val="minor"/>
    </font>
    <font>
      <u/>
      <sz val="12"/>
      <color rgb="FF0000FF"/>
      <name val="Calibri"/>
      <family val="2"/>
      <scheme val="minor"/>
    </font>
    <font>
      <sz val="12"/>
      <color rgb="FF3639B8"/>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u/>
      <sz val="12"/>
      <color theme="1"/>
      <name val="Calibri"/>
      <family val="2"/>
      <scheme val="minor"/>
    </font>
    <font>
      <b/>
      <u/>
      <sz val="12"/>
      <color theme="1"/>
      <name val="Calibri"/>
      <family val="2"/>
      <scheme val="minor"/>
    </font>
    <font>
      <u/>
      <sz val="11"/>
      <color rgb="FF0000FF"/>
      <name val="Calibri"/>
      <family val="2"/>
    </font>
    <font>
      <b/>
      <sz val="12"/>
      <color rgb="FF0000FF"/>
      <name val="Calibri"/>
      <family val="2"/>
      <scheme val="minor"/>
    </font>
    <font>
      <sz val="12"/>
      <color rgb="FF0000FF"/>
      <name val="Calibri"/>
      <family val="2"/>
      <scheme val="minor"/>
    </font>
    <font>
      <b/>
      <u/>
      <sz val="12"/>
      <color rgb="FF0000FF"/>
      <name val="Calibri"/>
      <family val="2"/>
      <scheme val="minor"/>
    </font>
    <font>
      <sz val="11"/>
      <color indexed="8"/>
      <name val="Calibri"/>
      <family val="2"/>
      <scheme val="minor"/>
    </font>
    <font>
      <sz val="9"/>
      <color theme="1"/>
      <name val="Arial"/>
      <family val="2"/>
    </font>
    <font>
      <sz val="10"/>
      <color rgb="FF000000"/>
      <name val="Calibri"/>
      <family val="2"/>
      <scheme val="minor"/>
    </font>
    <font>
      <u/>
      <sz val="10"/>
      <color rgb="FF000000"/>
      <name val="Calibri"/>
      <family val="2"/>
      <scheme val="minor"/>
    </font>
    <font>
      <sz val="10"/>
      <name val="Arial MT"/>
    </font>
    <font>
      <sz val="11"/>
      <color theme="1"/>
      <name val="Wingdings"/>
      <charset val="2"/>
    </font>
    <font>
      <i/>
      <strike/>
      <sz val="11"/>
      <color theme="1"/>
      <name val="Calibri"/>
      <family val="2"/>
      <scheme val="minor"/>
    </font>
    <font>
      <sz val="14"/>
      <color theme="1"/>
      <name val="Segoe UI"/>
      <family val="2"/>
    </font>
    <font>
      <b/>
      <u/>
      <sz val="14"/>
      <color theme="1"/>
      <name val="Segoe UI"/>
      <family val="2"/>
    </font>
    <font>
      <b/>
      <sz val="14"/>
      <color theme="1"/>
      <name val="Segoe UI"/>
      <family val="2"/>
    </font>
    <font>
      <b/>
      <sz val="14"/>
      <color rgb="FFC00000"/>
      <name val="Segoe UI"/>
      <family val="2"/>
    </font>
    <font>
      <b/>
      <sz val="8"/>
      <color theme="1"/>
      <name val="Calibri"/>
      <family val="2"/>
      <scheme val="minor"/>
    </font>
    <font>
      <sz val="10"/>
      <color rgb="FF000000"/>
      <name val="Arial"/>
      <family val="2"/>
    </font>
    <font>
      <sz val="9"/>
      <color indexed="81"/>
      <name val="Tahoma"/>
      <charset val="1"/>
    </font>
    <font>
      <b/>
      <sz val="9"/>
      <color indexed="81"/>
      <name val="Tahoma"/>
      <charset val="1"/>
    </font>
    <font>
      <b/>
      <sz val="14"/>
      <color theme="1"/>
      <name val="Calibri"/>
      <family val="2"/>
      <scheme val="minor"/>
    </font>
    <font>
      <b/>
      <i/>
      <sz val="14"/>
      <color theme="1"/>
      <name val="Calibri"/>
      <family val="2"/>
      <scheme val="minor"/>
    </font>
    <font>
      <b/>
      <u/>
      <sz val="14"/>
      <color theme="1"/>
      <name val="Calibri"/>
      <family val="2"/>
      <scheme val="minor"/>
    </font>
    <font>
      <b/>
      <sz val="12"/>
      <color theme="1"/>
      <name val="Segoe UI"/>
      <family val="2"/>
    </font>
    <font>
      <b/>
      <sz val="16"/>
      <color theme="1"/>
      <name val="Segoe UI"/>
      <family val="2"/>
    </font>
    <font>
      <b/>
      <sz val="10"/>
      <name val="Arial"/>
      <family val="2"/>
    </font>
    <font>
      <sz val="9"/>
      <color theme="1"/>
      <name val="Calibri"/>
      <family val="2"/>
      <scheme val="minor"/>
    </font>
    <font>
      <sz val="8"/>
      <color theme="8" tint="-0.249977111117893"/>
      <name val="Calibri"/>
      <family val="2"/>
      <scheme val="minor"/>
    </font>
  </fonts>
  <fills count="65">
    <fill>
      <patternFill patternType="none"/>
    </fill>
    <fill>
      <patternFill patternType="gray125"/>
    </fill>
    <fill>
      <patternFill patternType="solid">
        <fgColor rgb="FFF2F2F2"/>
      </patternFill>
    </fill>
    <fill>
      <patternFill patternType="solid">
        <fgColor theme="7"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00206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DEAD"/>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lightGray">
        <bgColor theme="5"/>
      </patternFill>
    </fill>
    <fill>
      <patternFill patternType="solid">
        <fgColor rgb="FFE9F54D"/>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FFC000"/>
        <bgColor indexed="0"/>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CCFF"/>
        <bgColor indexed="64"/>
      </patternFill>
    </fill>
    <fill>
      <patternFill patternType="solid">
        <fgColor rgb="FFFFE1FF"/>
        <bgColor indexed="64"/>
      </patternFill>
    </fill>
    <fill>
      <patternFill patternType="solid">
        <fgColor rgb="FFFFFFCC"/>
        <bgColor indexed="64"/>
      </patternFill>
    </fill>
    <fill>
      <patternFill patternType="solid">
        <fgColor rgb="FFFD8BF5"/>
        <bgColor indexed="64"/>
      </patternFill>
    </fill>
    <fill>
      <patternFill patternType="solid">
        <fgColor theme="9" tint="0.59999389629810485"/>
        <bgColor indexed="64"/>
      </patternFill>
    </fill>
    <fill>
      <patternFill patternType="solid">
        <fgColor rgb="FFFD8BF5"/>
        <bgColor indexed="0"/>
      </patternFill>
    </fill>
  </fills>
  <borders count="4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bottom/>
      <diagonal/>
    </border>
    <border>
      <left/>
      <right style="thin">
        <color rgb="FFB2B2B2"/>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top/>
      <bottom/>
      <diagonal/>
    </border>
    <border>
      <left style="thin">
        <color indexed="8"/>
      </left>
      <right/>
      <top/>
      <bottom/>
      <diagonal/>
    </border>
    <border>
      <left style="medium">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22"/>
      </left>
      <right style="thin">
        <color indexed="22"/>
      </right>
      <top/>
      <bottom style="thin">
        <color indexed="22"/>
      </bottom>
      <diagonal/>
    </border>
    <border>
      <left/>
      <right/>
      <top style="thin">
        <color indexed="64"/>
      </top>
      <bottom style="double">
        <color indexed="64"/>
      </bottom>
      <diagonal/>
    </border>
    <border>
      <left/>
      <right/>
      <top style="thin">
        <color indexed="64"/>
      </top>
      <bottom/>
      <diagonal/>
    </border>
  </borders>
  <cellStyleXfs count="5340">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2" fillId="3" borderId="0" applyNumberFormat="0" applyBorder="0" applyAlignment="0" applyProtection="0"/>
    <xf numFmtId="0" fontId="7"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9" fontId="28" fillId="0" borderId="0" applyFont="0" applyFill="0" applyBorder="0" applyAlignment="0" applyProtection="0"/>
    <xf numFmtId="0" fontId="31" fillId="0" borderId="0"/>
    <xf numFmtId="0" fontId="16" fillId="0" borderId="0"/>
    <xf numFmtId="0" fontId="34"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37" fillId="0" borderId="22" applyNumberFormat="0" applyFill="0" applyAlignment="0" applyProtection="0"/>
    <xf numFmtId="0" fontId="37" fillId="0" borderId="0" applyNumberFormat="0" applyFill="0" applyBorder="0" applyAlignment="0" applyProtection="0"/>
    <xf numFmtId="0" fontId="38" fillId="31" borderId="0" applyNumberFormat="0" applyBorder="0" applyAlignment="0" applyProtection="0"/>
    <xf numFmtId="0" fontId="39" fillId="32" borderId="0" applyNumberFormat="0" applyBorder="0" applyAlignment="0" applyProtection="0"/>
    <xf numFmtId="0" fontId="40" fillId="33" borderId="0" applyNumberFormat="0" applyBorder="0" applyAlignment="0" applyProtection="0"/>
    <xf numFmtId="0" fontId="41" fillId="34" borderId="23" applyNumberFormat="0" applyAlignment="0" applyProtection="0"/>
    <xf numFmtId="0" fontId="42" fillId="2" borderId="23" applyNumberFormat="0" applyAlignment="0" applyProtection="0"/>
    <xf numFmtId="0" fontId="43" fillId="0" borderId="24" applyNumberFormat="0" applyFill="0" applyAlignment="0" applyProtection="0"/>
    <xf numFmtId="0" fontId="4" fillId="35" borderId="25" applyNumberFormat="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1" fillId="0" borderId="26" applyNumberFormat="0" applyFill="0" applyAlignment="0" applyProtection="0"/>
    <xf numFmtId="0" fontId="45" fillId="3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2" fillId="2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5" fillId="47" borderId="0" applyNumberFormat="0" applyBorder="0" applyAlignment="0" applyProtection="0"/>
    <xf numFmtId="0" fontId="16" fillId="0" borderId="0"/>
    <xf numFmtId="0" fontId="46" fillId="0" borderId="0"/>
    <xf numFmtId="40" fontId="28"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18"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0" fontId="47" fillId="0" borderId="0"/>
    <xf numFmtId="0" fontId="47" fillId="0" borderId="0"/>
    <xf numFmtId="0" fontId="46"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0" fontId="48" fillId="0" borderId="0" applyNumberFormat="0" applyFill="0" applyBorder="0" applyAlignment="0" applyProtection="0">
      <alignment vertical="top"/>
      <protection locked="0"/>
    </xf>
    <xf numFmtId="0" fontId="2"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8" fillId="0" borderId="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18"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6" fillId="0" borderId="0"/>
    <xf numFmtId="40"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8" fillId="0" borderId="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49" fillId="0" borderId="0"/>
    <xf numFmtId="0" fontId="2" fillId="0" borderId="0"/>
    <xf numFmtId="0" fontId="2" fillId="0" borderId="0"/>
    <xf numFmtId="0" fontId="28" fillId="0" borderId="0"/>
    <xf numFmtId="0" fontId="28" fillId="0" borderId="0"/>
    <xf numFmtId="0" fontId="28" fillId="0" borderId="0"/>
    <xf numFmtId="0" fontId="18" fillId="0" borderId="0"/>
    <xf numFmtId="43" fontId="50" fillId="0" borderId="0" applyFont="0" applyFill="0" applyBorder="0" applyAlignment="0" applyProtection="0"/>
    <xf numFmtId="0" fontId="50"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7" applyNumberFormat="0" applyFont="0" applyAlignment="0" applyProtection="0"/>
    <xf numFmtId="0" fontId="2" fillId="15" borderId="7"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7"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0" fontId="2" fillId="15" borderId="7" applyNumberFormat="0" applyFont="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xf numFmtId="0" fontId="77" fillId="0" borderId="0"/>
    <xf numFmtId="0" fontId="85" fillId="0" borderId="0"/>
    <xf numFmtId="0" fontId="2" fillId="0" borderId="0"/>
    <xf numFmtId="0" fontId="2" fillId="0" borderId="0"/>
  </cellStyleXfs>
  <cellXfs count="454">
    <xf numFmtId="0" fontId="0" fillId="0" borderId="0" xfId="0"/>
    <xf numFmtId="44" fontId="0" fillId="4" borderId="0" xfId="1" applyFont="1" applyFill="1"/>
    <xf numFmtId="44" fontId="0" fillId="0" borderId="0" xfId="1" applyFont="1"/>
    <xf numFmtId="44" fontId="0" fillId="5" borderId="0" xfId="1" applyFont="1" applyFill="1"/>
    <xf numFmtId="0" fontId="0" fillId="0" borderId="0" xfId="0" applyAlignment="1">
      <alignment horizontal="left" indent="1"/>
    </xf>
    <xf numFmtId="44" fontId="0" fillId="0" borderId="0" xfId="0" applyNumberFormat="1"/>
    <xf numFmtId="0" fontId="7" fillId="0" borderId="0" xfId="5" applyAlignment="1" applyProtection="1"/>
    <xf numFmtId="0" fontId="1" fillId="0" borderId="0" xfId="0" applyFont="1"/>
    <xf numFmtId="0" fontId="1" fillId="0" borderId="0" xfId="0" applyFont="1" applyAlignment="1"/>
    <xf numFmtId="44" fontId="9" fillId="0" borderId="0" xfId="1" applyFont="1"/>
    <xf numFmtId="44" fontId="3" fillId="2" borderId="1" xfId="3" applyNumberFormat="1"/>
    <xf numFmtId="0" fontId="10" fillId="0" borderId="0" xfId="0" applyFont="1"/>
    <xf numFmtId="0" fontId="11" fillId="0" borderId="0" xfId="0" applyFont="1"/>
    <xf numFmtId="10" fontId="0" fillId="0" borderId="0" xfId="0" applyNumberFormat="1" applyFill="1"/>
    <xf numFmtId="44" fontId="2" fillId="3" borderId="0" xfId="4" applyNumberFormat="1"/>
    <xf numFmtId="44" fontId="0" fillId="4" borderId="0" xfId="0" applyNumberFormat="1" applyFill="1"/>
    <xf numFmtId="44" fontId="8" fillId="3" borderId="0" xfId="4" applyNumberFormat="1" applyFont="1"/>
    <xf numFmtId="44" fontId="4" fillId="7" borderId="0" xfId="1" applyFont="1" applyFill="1"/>
    <xf numFmtId="0" fontId="11" fillId="0" borderId="0" xfId="0" applyFont="1" applyAlignment="1">
      <alignment vertical="center" wrapText="1"/>
    </xf>
    <xf numFmtId="44" fontId="0" fillId="6" borderId="0" xfId="1" applyFont="1" applyFill="1"/>
    <xf numFmtId="44" fontId="1" fillId="8" borderId="0" xfId="1" applyFont="1" applyFill="1"/>
    <xf numFmtId="44" fontId="1" fillId="6" borderId="0" xfId="1" applyFont="1" applyFill="1"/>
    <xf numFmtId="44" fontId="1" fillId="0" borderId="0" xfId="1" applyFont="1"/>
    <xf numFmtId="0" fontId="0" fillId="8" borderId="0" xfId="0" applyFill="1"/>
    <xf numFmtId="44" fontId="13" fillId="4" borderId="0" xfId="1" applyFont="1" applyFill="1"/>
    <xf numFmtId="0" fontId="14" fillId="10" borderId="2" xfId="0" applyFont="1" applyFill="1" applyBorder="1" applyAlignment="1">
      <alignment horizontal="center"/>
    </xf>
    <xf numFmtId="0" fontId="15" fillId="0" borderId="0" xfId="0" applyFont="1" applyAlignment="1">
      <alignment horizontal="center"/>
    </xf>
    <xf numFmtId="0" fontId="15" fillId="0" borderId="0" xfId="0" applyFont="1"/>
    <xf numFmtId="10" fontId="0" fillId="11" borderId="0" xfId="0" applyNumberFormat="1" applyFill="1"/>
    <xf numFmtId="44" fontId="20" fillId="13" borderId="0" xfId="4" applyNumberFormat="1" applyFont="1" applyFill="1"/>
    <xf numFmtId="44" fontId="0" fillId="12" borderId="0" xfId="1" applyFont="1" applyFill="1"/>
    <xf numFmtId="44" fontId="8" fillId="13" borderId="0" xfId="4" applyNumberFormat="1" applyFont="1" applyFill="1"/>
    <xf numFmtId="44" fontId="8" fillId="13" borderId="0" xfId="1" applyFont="1" applyFill="1"/>
    <xf numFmtId="0" fontId="21" fillId="0" borderId="0" xfId="0" applyFont="1"/>
    <xf numFmtId="44" fontId="22" fillId="14" borderId="0" xfId="1" applyFont="1" applyFill="1"/>
    <xf numFmtId="0" fontId="0" fillId="0" borderId="0" xfId="0" applyAlignment="1"/>
    <xf numFmtId="0" fontId="0" fillId="0" borderId="0" xfId="0" applyFont="1" applyAlignment="1">
      <alignment vertical="center"/>
    </xf>
    <xf numFmtId="49" fontId="0" fillId="4" borderId="0" xfId="0" applyNumberFormat="1" applyFill="1"/>
    <xf numFmtId="0" fontId="11" fillId="0" borderId="11" xfId="0" applyFont="1" applyBorder="1"/>
    <xf numFmtId="0" fontId="0" fillId="0" borderId="12" xfId="0" applyBorder="1"/>
    <xf numFmtId="0" fontId="0" fillId="0" borderId="13" xfId="0" applyBorder="1"/>
    <xf numFmtId="44" fontId="0" fillId="4" borderId="14" xfId="1" applyFont="1" applyFill="1" applyBorder="1"/>
    <xf numFmtId="10" fontId="0" fillId="4" borderId="14" xfId="0" applyNumberFormat="1" applyFill="1" applyBorder="1"/>
    <xf numFmtId="44" fontId="0" fillId="0" borderId="14" xfId="0" applyNumberFormat="1" applyBorder="1"/>
    <xf numFmtId="0" fontId="0" fillId="0" borderId="15" xfId="0" applyBorder="1"/>
    <xf numFmtId="10" fontId="0" fillId="0" borderId="16" xfId="2" applyNumberFormat="1" applyFont="1" applyBorder="1"/>
    <xf numFmtId="9" fontId="0" fillId="4" borderId="14" xfId="0" applyNumberFormat="1" applyFill="1" applyBorder="1"/>
    <xf numFmtId="44" fontId="0" fillId="4" borderId="16" xfId="1" applyFont="1" applyFill="1" applyBorder="1"/>
    <xf numFmtId="44" fontId="0" fillId="15" borderId="7" xfId="8" applyNumberFormat="1" applyFont="1"/>
    <xf numFmtId="0" fontId="25" fillId="11" borderId="0" xfId="0" applyFont="1" applyFill="1"/>
    <xf numFmtId="0" fontId="12" fillId="0" borderId="0" xfId="0" applyFont="1"/>
    <xf numFmtId="0" fontId="0" fillId="0" borderId="0" xfId="0" applyFont="1"/>
    <xf numFmtId="49" fontId="0" fillId="27" borderId="0" xfId="0" applyNumberFormat="1" applyFont="1" applyFill="1"/>
    <xf numFmtId="0" fontId="1" fillId="0" borderId="0" xfId="0" applyFont="1" applyAlignment="1">
      <alignment vertical="center"/>
    </xf>
    <xf numFmtId="43" fontId="0" fillId="0" borderId="0" xfId="9" applyFont="1"/>
    <xf numFmtId="0" fontId="0" fillId="0" borderId="0" xfId="0" applyFont="1" applyAlignment="1">
      <alignment horizontal="center" wrapText="1"/>
    </xf>
    <xf numFmtId="44" fontId="0" fillId="0" borderId="0" xfId="0" applyNumberFormat="1" applyFont="1"/>
    <xf numFmtId="44" fontId="19" fillId="0" borderId="0" xfId="0" applyNumberFormat="1" applyFont="1"/>
    <xf numFmtId="10" fontId="0" fillId="0" borderId="0" xfId="2" applyNumberFormat="1" applyFont="1"/>
    <xf numFmtId="44" fontId="29" fillId="0" borderId="0" xfId="1" applyFont="1"/>
    <xf numFmtId="0" fontId="0" fillId="0" borderId="0" xfId="0" applyFont="1" applyAlignment="1">
      <alignment vertical="center" wrapText="1"/>
    </xf>
    <xf numFmtId="44" fontId="9" fillId="0" borderId="0" xfId="0" applyNumberFormat="1" applyFont="1"/>
    <xf numFmtId="0" fontId="30" fillId="0" borderId="0" xfId="0" applyFont="1"/>
    <xf numFmtId="44" fontId="30" fillId="0" borderId="0" xfId="1" applyFont="1"/>
    <xf numFmtId="43" fontId="0" fillId="4" borderId="0" xfId="9" applyFont="1" applyFill="1"/>
    <xf numFmtId="43" fontId="19" fillId="4" borderId="0" xfId="9" applyFont="1" applyFill="1"/>
    <xf numFmtId="0" fontId="0" fillId="0" borderId="0" xfId="0" applyAlignment="1">
      <alignment horizontal="left"/>
    </xf>
    <xf numFmtId="44" fontId="19" fillId="4" borderId="0" xfId="1" applyFont="1" applyFill="1"/>
    <xf numFmtId="44" fontId="19" fillId="12" borderId="0" xfId="1" applyFont="1" applyFill="1"/>
    <xf numFmtId="44" fontId="32" fillId="12" borderId="0" xfId="1" applyFont="1" applyFill="1"/>
    <xf numFmtId="44" fontId="9" fillId="28" borderId="0" xfId="1" applyFont="1" applyFill="1"/>
    <xf numFmtId="44" fontId="0" fillId="0" borderId="0" xfId="1" applyFont="1" applyFill="1"/>
    <xf numFmtId="0" fontId="11" fillId="0" borderId="19" xfId="0" applyFont="1" applyBorder="1"/>
    <xf numFmtId="44" fontId="11" fillId="29" borderId="0" xfId="1" applyFont="1" applyFill="1"/>
    <xf numFmtId="44" fontId="1" fillId="0" borderId="0" xfId="1" applyFont="1" applyFill="1"/>
    <xf numFmtId="0" fontId="25" fillId="11" borderId="0" xfId="0" applyFont="1" applyFill="1" applyAlignment="1">
      <alignment horizontal="center" vertical="center"/>
    </xf>
    <xf numFmtId="0" fontId="25" fillId="11" borderId="0" xfId="0" applyFont="1" applyFill="1" applyAlignment="1">
      <alignment horizontal="center" wrapText="1"/>
    </xf>
    <xf numFmtId="0" fontId="12" fillId="0" borderId="0" xfId="0" applyFont="1"/>
    <xf numFmtId="0" fontId="0" fillId="0" borderId="0" xfId="0" applyAlignment="1">
      <alignment horizontal="center"/>
    </xf>
    <xf numFmtId="43" fontId="12" fillId="0" borderId="0" xfId="0" applyNumberFormat="1" applyFont="1"/>
    <xf numFmtId="0" fontId="0" fillId="0" borderId="0" xfId="0"/>
    <xf numFmtId="0" fontId="0" fillId="0" borderId="0" xfId="0" applyAlignment="1">
      <alignment horizontal="center" vertical="center"/>
    </xf>
    <xf numFmtId="43" fontId="12" fillId="4" borderId="0" xfId="0" applyNumberFormat="1" applyFont="1" applyFill="1"/>
    <xf numFmtId="0" fontId="25" fillId="48" borderId="0" xfId="0" applyFont="1" applyFill="1"/>
    <xf numFmtId="0" fontId="12" fillId="48" borderId="0" xfId="0" applyFont="1" applyFill="1"/>
    <xf numFmtId="43" fontId="12" fillId="49" borderId="0" xfId="0" applyNumberFormat="1" applyFont="1" applyFill="1"/>
    <xf numFmtId="43" fontId="12" fillId="0" borderId="0" xfId="0" applyNumberFormat="1" applyFont="1" applyFill="1"/>
    <xf numFmtId="0" fontId="12" fillId="4" borderId="0" xfId="0" applyFont="1" applyFill="1"/>
    <xf numFmtId="0" fontId="25" fillId="11" borderId="0" xfId="0" applyFont="1" applyFill="1" applyAlignment="1">
      <alignment horizontal="center" vertical="center" wrapText="1"/>
    </xf>
    <xf numFmtId="0" fontId="49" fillId="0" borderId="0" xfId="3920"/>
    <xf numFmtId="41" fontId="49" fillId="0" borderId="0" xfId="7" applyNumberFormat="1" applyFont="1"/>
    <xf numFmtId="0" fontId="15" fillId="0" borderId="0" xfId="3920" applyFont="1" applyFill="1"/>
    <xf numFmtId="49" fontId="0" fillId="4" borderId="0" xfId="0" applyNumberFormat="1" applyFont="1" applyFill="1" applyAlignment="1">
      <alignment horizontal="center" vertical="center"/>
    </xf>
    <xf numFmtId="0" fontId="0" fillId="0" borderId="2" xfId="0" applyBorder="1"/>
    <xf numFmtId="0" fontId="0" fillId="0" borderId="0" xfId="0"/>
    <xf numFmtId="49" fontId="15" fillId="0" borderId="0" xfId="0" applyNumberFormat="1" applyFont="1"/>
    <xf numFmtId="0" fontId="15" fillId="0" borderId="0" xfId="0" applyFont="1" applyFill="1" applyBorder="1" applyAlignment="1">
      <alignment horizontal="left"/>
    </xf>
    <xf numFmtId="0" fontId="14" fillId="10" borderId="0" xfId="0" applyFont="1" applyFill="1" applyAlignment="1">
      <alignment horizontal="center"/>
    </xf>
    <xf numFmtId="0" fontId="15" fillId="0" borderId="0" xfId="0" applyFont="1" applyAlignment="1">
      <alignment horizontal="center"/>
    </xf>
    <xf numFmtId="0" fontId="0" fillId="0" borderId="0" xfId="0" applyFont="1" applyAlignment="1">
      <alignment vertical="center"/>
    </xf>
    <xf numFmtId="0" fontId="26" fillId="0" borderId="0" xfId="0" applyNumberFormat="1" applyFont="1" applyFill="1" applyBorder="1" applyAlignment="1">
      <alignment horizontal="center"/>
    </xf>
    <xf numFmtId="0" fontId="26" fillId="0" borderId="0" xfId="0" applyFont="1" applyFill="1"/>
    <xf numFmtId="43" fontId="12" fillId="0" borderId="0" xfId="0" applyNumberFormat="1" applyFont="1"/>
    <xf numFmtId="0" fontId="26" fillId="0" borderId="0" xfId="0" applyFont="1" applyFill="1" applyAlignment="1">
      <alignment horizontal="center"/>
    </xf>
    <xf numFmtId="0" fontId="15" fillId="0" borderId="0" xfId="0" applyFont="1" applyFill="1" applyAlignment="1">
      <alignment horizontal="center"/>
    </xf>
    <xf numFmtId="0" fontId="51" fillId="11" borderId="0" xfId="0" applyFont="1" applyFill="1" applyAlignment="1">
      <alignment horizontal="center" vertical="center"/>
    </xf>
    <xf numFmtId="0" fontId="25" fillId="51" borderId="0" xfId="0" applyFont="1" applyFill="1" applyAlignment="1">
      <alignment horizontal="center" vertical="center"/>
    </xf>
    <xf numFmtId="0" fontId="25" fillId="51" borderId="0" xfId="0" applyFont="1" applyFill="1" applyAlignment="1">
      <alignment vertical="center"/>
    </xf>
    <xf numFmtId="0" fontId="25" fillId="0" borderId="0" xfId="0" applyFont="1" applyFill="1"/>
    <xf numFmtId="10" fontId="30" fillId="0" borderId="0" xfId="2" applyNumberFormat="1" applyFont="1"/>
    <xf numFmtId="0" fontId="51" fillId="11" borderId="0" xfId="0" applyFont="1" applyFill="1"/>
    <xf numFmtId="0" fontId="6" fillId="0" borderId="0" xfId="0" applyFont="1" applyFill="1"/>
    <xf numFmtId="0" fontId="6" fillId="0" borderId="0" xfId="0" applyFont="1" applyFill="1" applyAlignment="1">
      <alignment horizontal="center"/>
    </xf>
    <xf numFmtId="0" fontId="6" fillId="0" borderId="0" xfId="0" applyNumberFormat="1" applyFont="1" applyFill="1" applyBorder="1" applyAlignment="1">
      <alignment horizontal="center"/>
    </xf>
    <xf numFmtId="0" fontId="0" fillId="0" borderId="0" xfId="0"/>
    <xf numFmtId="40" fontId="0" fillId="0" borderId="0" xfId="0" applyNumberFormat="1"/>
    <xf numFmtId="10" fontId="0" fillId="0" borderId="0" xfId="2" applyNumberFormat="1" applyFont="1"/>
    <xf numFmtId="40" fontId="0" fillId="0" borderId="0" xfId="0" applyNumberFormat="1" applyFont="1"/>
    <xf numFmtId="40" fontId="0" fillId="0" borderId="0" xfId="0" applyNumberFormat="1" applyFont="1" applyFill="1"/>
    <xf numFmtId="0" fontId="0" fillId="0" borderId="0" xfId="0"/>
    <xf numFmtId="0" fontId="0" fillId="0" borderId="0" xfId="0" applyFill="1"/>
    <xf numFmtId="0" fontId="52" fillId="0" borderId="0" xfId="0" applyFont="1"/>
    <xf numFmtId="0" fontId="0" fillId="0" borderId="0" xfId="0" applyFont="1"/>
    <xf numFmtId="165" fontId="26" fillId="0" borderId="0" xfId="7" applyNumberFormat="1" applyFont="1"/>
    <xf numFmtId="0" fontId="10" fillId="0" borderId="0" xfId="0" applyFont="1" applyFill="1"/>
    <xf numFmtId="44" fontId="19" fillId="5" borderId="0" xfId="4" applyNumberFormat="1" applyFont="1" applyFill="1"/>
    <xf numFmtId="0" fontId="55" fillId="11" borderId="0" xfId="0" applyFont="1" applyFill="1" applyAlignment="1">
      <alignment horizontal="center"/>
    </xf>
    <xf numFmtId="40" fontId="0" fillId="0" borderId="0" xfId="9" applyNumberFormat="1" applyFont="1" applyFill="1"/>
    <xf numFmtId="40" fontId="1" fillId="0" borderId="0" xfId="0" applyNumberFormat="1" applyFont="1"/>
    <xf numFmtId="40" fontId="0" fillId="0" borderId="0" xfId="9" applyNumberFormat="1" applyFont="1"/>
    <xf numFmtId="40" fontId="0" fillId="4" borderId="0" xfId="0" applyNumberFormat="1" applyFill="1"/>
    <xf numFmtId="40" fontId="0" fillId="4" borderId="0" xfId="0" applyNumberFormat="1" applyFont="1" applyFill="1"/>
    <xf numFmtId="40" fontId="0" fillId="53" borderId="0" xfId="0" applyNumberFormat="1" applyFill="1"/>
    <xf numFmtId="40" fontId="0" fillId="0" borderId="0" xfId="0" applyNumberFormat="1" applyFill="1"/>
    <xf numFmtId="40" fontId="0" fillId="4" borderId="0" xfId="9" applyNumberFormat="1" applyFont="1" applyFill="1"/>
    <xf numFmtId="40" fontId="0" fillId="28" borderId="0" xfId="0" applyNumberFormat="1" applyFont="1" applyFill="1"/>
    <xf numFmtId="40" fontId="0" fillId="28" borderId="0" xfId="9" applyNumberFormat="1" applyFont="1" applyFill="1"/>
    <xf numFmtId="40" fontId="0" fillId="28" borderId="0" xfId="0" applyNumberFormat="1" applyFill="1"/>
    <xf numFmtId="0" fontId="0" fillId="50" borderId="0" xfId="0" applyFill="1"/>
    <xf numFmtId="0" fontId="1" fillId="52" borderId="29" xfId="0" applyFont="1" applyFill="1" applyBorder="1" applyAlignment="1">
      <alignment horizontal="center" vertical="center"/>
    </xf>
    <xf numFmtId="0" fontId="1" fillId="0" borderId="30" xfId="0" applyFont="1" applyFill="1" applyBorder="1" applyAlignment="1">
      <alignment horizontal="left" vertical="center"/>
    </xf>
    <xf numFmtId="0" fontId="1" fillId="52" borderId="30" xfId="0" applyFont="1" applyFill="1" applyBorder="1" applyAlignment="1">
      <alignment horizontal="center" vertical="center"/>
    </xf>
    <xf numFmtId="0" fontId="1" fillId="52" borderId="31" xfId="0" applyFont="1" applyFill="1" applyBorder="1" applyAlignment="1">
      <alignment horizontal="center" vertical="center"/>
    </xf>
    <xf numFmtId="0" fontId="0" fillId="0" borderId="0" xfId="0" applyFill="1" applyBorder="1"/>
    <xf numFmtId="0" fontId="0" fillId="0" borderId="0" xfId="0" applyBorder="1" applyAlignment="1">
      <alignment horizontal="center" vertical="center"/>
    </xf>
    <xf numFmtId="0" fontId="17" fillId="0" borderId="32" xfId="42" applyFont="1" applyFill="1" applyBorder="1" applyAlignment="1">
      <alignment horizontal="center" vertical="center" wrapText="1"/>
    </xf>
    <xf numFmtId="49" fontId="0" fillId="0" borderId="32" xfId="0" quotePrefix="1" applyNumberFormat="1" applyFont="1" applyBorder="1" applyAlignment="1">
      <alignment horizontal="center" vertical="center"/>
    </xf>
    <xf numFmtId="0" fontId="0" fillId="0" borderId="0" xfId="0" applyFont="1" applyFill="1" applyBorder="1"/>
    <xf numFmtId="0" fontId="57" fillId="54" borderId="8" xfId="42" applyFont="1" applyFill="1" applyBorder="1" applyAlignment="1">
      <alignment horizontal="left" vertical="center"/>
    </xf>
    <xf numFmtId="0" fontId="57" fillId="54" borderId="37" xfId="42" applyFont="1" applyFill="1" applyBorder="1" applyAlignment="1">
      <alignment horizontal="left" vertical="center"/>
    </xf>
    <xf numFmtId="0" fontId="13" fillId="50" borderId="9" xfId="0" applyFont="1" applyFill="1" applyBorder="1"/>
    <xf numFmtId="0" fontId="13" fillId="50" borderId="10" xfId="0" applyFont="1" applyFill="1" applyBorder="1"/>
    <xf numFmtId="0" fontId="0" fillId="4" borderId="32" xfId="0" applyFill="1" applyBorder="1"/>
    <xf numFmtId="0" fontId="0" fillId="4" borderId="0" xfId="0" applyFill="1" applyBorder="1"/>
    <xf numFmtId="0" fontId="58" fillId="0" borderId="0" xfId="0" applyFont="1"/>
    <xf numFmtId="44" fontId="58" fillId="4" borderId="0" xfId="1" applyFont="1" applyFill="1"/>
    <xf numFmtId="44" fontId="58" fillId="5" borderId="0" xfId="1" applyFont="1" applyFill="1"/>
    <xf numFmtId="44" fontId="58" fillId="0" borderId="0" xfId="1" applyFont="1"/>
    <xf numFmtId="44" fontId="58" fillId="9" borderId="0" xfId="1" applyFont="1" applyFill="1"/>
    <xf numFmtId="0" fontId="59" fillId="0" borderId="0" xfId="5" applyFont="1" applyAlignment="1" applyProtection="1">
      <alignment horizontal="left" indent="1"/>
    </xf>
    <xf numFmtId="44" fontId="60" fillId="0" borderId="0" xfId="1" applyFont="1"/>
    <xf numFmtId="44" fontId="61" fillId="9" borderId="0" xfId="1" applyFont="1" applyFill="1"/>
    <xf numFmtId="0" fontId="58" fillId="0" borderId="0" xfId="0" applyFont="1" applyAlignment="1">
      <alignment horizontal="left" indent="1"/>
    </xf>
    <xf numFmtId="44" fontId="58" fillId="0" borderId="0" xfId="1" applyFont="1" applyFill="1"/>
    <xf numFmtId="44" fontId="58" fillId="12" borderId="0" xfId="1" applyFont="1" applyFill="1"/>
    <xf numFmtId="44" fontId="61" fillId="12" borderId="0" xfId="1" applyFont="1" applyFill="1"/>
    <xf numFmtId="0" fontId="62" fillId="0" borderId="0" xfId="5" applyFont="1" applyAlignment="1" applyProtection="1">
      <alignment horizontal="left" indent="1"/>
    </xf>
    <xf numFmtId="0" fontId="58" fillId="0" borderId="0" xfId="0" applyFont="1" applyAlignment="1">
      <alignment horizontal="left"/>
    </xf>
    <xf numFmtId="0" fontId="62" fillId="0" borderId="0" xfId="5" applyFont="1" applyFill="1" applyAlignment="1" applyProtection="1">
      <alignment horizontal="left" indent="1"/>
    </xf>
    <xf numFmtId="0" fontId="63" fillId="0" borderId="0" xfId="0" applyFont="1" applyFill="1"/>
    <xf numFmtId="0" fontId="61" fillId="0" borderId="0" xfId="0" applyFont="1" applyAlignment="1">
      <alignment horizontal="left" indent="1"/>
    </xf>
    <xf numFmtId="44" fontId="61" fillId="0" borderId="0" xfId="1" applyFont="1" applyFill="1"/>
    <xf numFmtId="44" fontId="61" fillId="4" borderId="0" xfId="1" applyFont="1" applyFill="1"/>
    <xf numFmtId="164" fontId="58" fillId="9" borderId="0" xfId="1" applyNumberFormat="1" applyFont="1" applyFill="1"/>
    <xf numFmtId="164" fontId="58" fillId="12" borderId="0" xfId="1" applyNumberFormat="1" applyFont="1" applyFill="1"/>
    <xf numFmtId="44" fontId="58" fillId="9" borderId="0" xfId="0" applyNumberFormat="1" applyFont="1" applyFill="1"/>
    <xf numFmtId="164" fontId="58" fillId="9" borderId="0" xfId="0" applyNumberFormat="1" applyFont="1" applyFill="1"/>
    <xf numFmtId="0" fontId="64" fillId="0" borderId="0" xfId="0" applyFont="1" applyAlignment="1">
      <alignment horizontal="center" vertical="center"/>
    </xf>
    <xf numFmtId="0" fontId="65" fillId="0" borderId="0" xfId="0" applyFont="1"/>
    <xf numFmtId="0" fontId="66" fillId="0" borderId="0" xfId="0" applyFont="1" applyAlignment="1">
      <alignment horizontal="center" vertical="center"/>
    </xf>
    <xf numFmtId="0" fontId="65" fillId="0" borderId="0" xfId="0" applyFont="1" applyAlignment="1">
      <alignment horizontal="left" vertical="center"/>
    </xf>
    <xf numFmtId="0" fontId="33" fillId="0" borderId="0" xfId="0" applyFont="1" applyBorder="1" applyAlignment="1"/>
    <xf numFmtId="0" fontId="0" fillId="0" borderId="0" xfId="0" applyBorder="1"/>
    <xf numFmtId="0" fontId="58" fillId="55" borderId="13" xfId="0" applyFont="1" applyFill="1" applyBorder="1"/>
    <xf numFmtId="0" fontId="58" fillId="55" borderId="15" xfId="0" applyFont="1" applyFill="1" applyBorder="1"/>
    <xf numFmtId="0" fontId="58" fillId="55" borderId="14" xfId="0" applyFont="1" applyFill="1" applyBorder="1" applyAlignment="1">
      <alignment vertical="center" wrapText="1"/>
    </xf>
    <xf numFmtId="0" fontId="69" fillId="0" borderId="0" xfId="5" applyFont="1" applyAlignment="1" applyProtection="1"/>
    <xf numFmtId="43" fontId="0" fillId="13" borderId="38" xfId="9" quotePrefix="1" applyFont="1" applyFill="1" applyBorder="1"/>
    <xf numFmtId="44" fontId="20" fillId="0" borderId="0" xfId="4" applyNumberFormat="1" applyFont="1" applyFill="1"/>
    <xf numFmtId="44" fontId="0" fillId="50" borderId="0" xfId="1" applyFont="1" applyFill="1"/>
    <xf numFmtId="44" fontId="20" fillId="4" borderId="0" xfId="1" applyFont="1" applyFill="1"/>
    <xf numFmtId="0" fontId="11" fillId="50" borderId="0" xfId="0" applyFont="1" applyFill="1"/>
    <xf numFmtId="0" fontId="10" fillId="50" borderId="0" xfId="0" applyFont="1" applyFill="1"/>
    <xf numFmtId="0" fontId="0" fillId="30" borderId="32" xfId="0" applyFill="1" applyBorder="1"/>
    <xf numFmtId="0" fontId="0" fillId="30" borderId="0" xfId="0" applyFill="1" applyBorder="1"/>
    <xf numFmtId="0" fontId="25" fillId="50" borderId="0" xfId="0" applyFont="1" applyFill="1" applyAlignment="1">
      <alignment horizontal="center" vertical="center"/>
    </xf>
    <xf numFmtId="43" fontId="0" fillId="0" borderId="0" xfId="0" applyNumberFormat="1"/>
    <xf numFmtId="0" fontId="6" fillId="0" borderId="0" xfId="0" applyFont="1" applyFill="1" applyBorder="1"/>
    <xf numFmtId="40" fontId="6" fillId="0" borderId="0" xfId="0" applyNumberFormat="1" applyFont="1" applyFill="1" applyBorder="1"/>
    <xf numFmtId="0" fontId="6" fillId="0" borderId="0" xfId="0" applyFont="1" applyFill="1" applyBorder="1" applyAlignment="1">
      <alignment horizontal="center"/>
    </xf>
    <xf numFmtId="0" fontId="73" fillId="0" borderId="0" xfId="81" applyFont="1" applyFill="1" applyBorder="1" applyAlignment="1">
      <alignment horizontal="center" wrapText="1"/>
    </xf>
    <xf numFmtId="0" fontId="73" fillId="0" borderId="0" xfId="41" applyFont="1" applyFill="1" applyBorder="1" applyAlignment="1"/>
    <xf numFmtId="40" fontId="73" fillId="0" borderId="0" xfId="41" applyNumberFormat="1" applyFont="1" applyFill="1" applyBorder="1" applyAlignment="1"/>
    <xf numFmtId="0" fontId="6" fillId="0" borderId="0" xfId="3928" applyFont="1" applyFill="1" applyBorder="1"/>
    <xf numFmtId="40" fontId="6" fillId="0" borderId="0" xfId="3928" applyNumberFormat="1" applyFont="1" applyFill="1" applyBorder="1"/>
    <xf numFmtId="49" fontId="0" fillId="0" borderId="0" xfId="0" applyNumberFormat="1" applyAlignment="1">
      <alignment horizontal="center"/>
    </xf>
    <xf numFmtId="0" fontId="74" fillId="0" borderId="0" xfId="0" applyFont="1"/>
    <xf numFmtId="0" fontId="74" fillId="50" borderId="0" xfId="0" applyFont="1" applyFill="1"/>
    <xf numFmtId="0" fontId="74" fillId="0" borderId="0" xfId="0" applyFont="1" applyFill="1"/>
    <xf numFmtId="0" fontId="0" fillId="4" borderId="0" xfId="0" applyFill="1"/>
    <xf numFmtId="49" fontId="0" fillId="0" borderId="0" xfId="0" applyNumberFormat="1" applyAlignment="1">
      <alignment horizontal="center" vertical="center"/>
    </xf>
    <xf numFmtId="49" fontId="15" fillId="50" borderId="0" xfId="0" applyNumberFormat="1" applyFont="1" applyFill="1"/>
    <xf numFmtId="0" fontId="15" fillId="50" borderId="0" xfId="0" applyFont="1" applyFill="1" applyBorder="1" applyAlignment="1">
      <alignment horizontal="left"/>
    </xf>
    <xf numFmtId="49" fontId="53" fillId="50" borderId="0" xfId="0" applyNumberFormat="1" applyFont="1" applyFill="1"/>
    <xf numFmtId="0" fontId="53" fillId="50" borderId="0" xfId="0" applyFont="1" applyFill="1"/>
    <xf numFmtId="49" fontId="0" fillId="50" borderId="0" xfId="0" applyNumberFormat="1" applyFill="1"/>
    <xf numFmtId="0" fontId="15" fillId="50" borderId="0" xfId="3920" applyFont="1" applyFill="1"/>
    <xf numFmtId="49" fontId="15" fillId="50" borderId="0" xfId="3920" applyNumberFormat="1" applyFont="1" applyFill="1"/>
    <xf numFmtId="49" fontId="14" fillId="0" borderId="2" xfId="0" applyNumberFormat="1" applyFont="1" applyFill="1" applyBorder="1" applyAlignment="1">
      <alignment horizontal="center"/>
    </xf>
    <xf numFmtId="0" fontId="14" fillId="0" borderId="2" xfId="0" applyFont="1" applyFill="1" applyBorder="1" applyAlignment="1">
      <alignment horizontal="center"/>
    </xf>
    <xf numFmtId="49" fontId="0" fillId="0" borderId="0" xfId="0" applyNumberFormat="1" applyFill="1" applyAlignment="1">
      <alignment horizontal="center" vertical="center"/>
    </xf>
    <xf numFmtId="49" fontId="15" fillId="0" borderId="0" xfId="0" applyNumberFormat="1" applyFont="1" applyFill="1"/>
    <xf numFmtId="49" fontId="15" fillId="0" borderId="0" xfId="3920" applyNumberFormat="1" applyFont="1" applyFill="1"/>
    <xf numFmtId="49" fontId="0" fillId="0" borderId="0" xfId="0" applyNumberFormat="1" applyFill="1"/>
    <xf numFmtId="44" fontId="0" fillId="56" borderId="0" xfId="1" applyFont="1" applyFill="1"/>
    <xf numFmtId="0" fontId="6" fillId="0" borderId="0" xfId="0" applyFont="1" applyFill="1" applyBorder="1" applyAlignment="1">
      <alignment horizontal="right"/>
    </xf>
    <xf numFmtId="0" fontId="75" fillId="0" borderId="0" xfId="0" applyFont="1"/>
    <xf numFmtId="49" fontId="14" fillId="10" borderId="39" xfId="0" applyNumberFormat="1" applyFont="1" applyFill="1" applyBorder="1" applyAlignment="1">
      <alignment horizontal="center"/>
    </xf>
    <xf numFmtId="49" fontId="15" fillId="0" borderId="0" xfId="0" applyNumberFormat="1" applyFont="1" applyBorder="1" applyAlignment="1">
      <alignment horizontal="left"/>
    </xf>
    <xf numFmtId="49" fontId="0" fillId="0" borderId="0" xfId="0" applyNumberFormat="1" applyBorder="1" applyAlignment="1">
      <alignment horizontal="left" vertical="center"/>
    </xf>
    <xf numFmtId="0" fontId="0" fillId="30" borderId="0" xfId="0" applyFill="1" applyBorder="1" applyAlignment="1">
      <alignment horizontal="left" vertical="center"/>
    </xf>
    <xf numFmtId="49" fontId="15" fillId="29" borderId="0" xfId="3928" applyNumberFormat="1" applyFont="1" applyFill="1" applyBorder="1" applyAlignment="1">
      <alignment horizontal="left"/>
    </xf>
    <xf numFmtId="0" fontId="15" fillId="0" borderId="0" xfId="3928" applyFont="1" applyFill="1"/>
    <xf numFmtId="0" fontId="15" fillId="0" borderId="6" xfId="0" applyFont="1" applyFill="1" applyBorder="1" applyAlignment="1">
      <alignment horizontal="left"/>
    </xf>
    <xf numFmtId="49" fontId="0" fillId="29" borderId="0" xfId="0" applyNumberFormat="1" applyFill="1" applyBorder="1" applyAlignment="1">
      <alignment horizontal="left"/>
    </xf>
    <xf numFmtId="0" fontId="74" fillId="29" borderId="0" xfId="0" applyFont="1" applyFill="1" applyBorder="1" applyAlignment="1">
      <alignment horizontal="left"/>
    </xf>
    <xf numFmtId="0" fontId="0" fillId="0" borderId="0" xfId="0" applyBorder="1" applyAlignment="1">
      <alignment horizontal="left" vertical="center"/>
    </xf>
    <xf numFmtId="166" fontId="26" fillId="0" borderId="0" xfId="7" applyNumberFormat="1" applyFont="1"/>
    <xf numFmtId="0" fontId="26" fillId="0" borderId="0" xfId="0" applyFont="1"/>
    <xf numFmtId="0" fontId="26" fillId="0" borderId="0" xfId="0" applyFont="1" applyAlignment="1">
      <alignment horizontal="center"/>
    </xf>
    <xf numFmtId="43" fontId="26" fillId="0" borderId="0" xfId="0" applyNumberFormat="1" applyFont="1"/>
    <xf numFmtId="0" fontId="58" fillId="0" borderId="44" xfId="0" applyFont="1" applyBorder="1" applyAlignment="1">
      <alignment horizontal="center" vertical="center"/>
    </xf>
    <xf numFmtId="0" fontId="58" fillId="0" borderId="45" xfId="0" applyFont="1" applyBorder="1" applyAlignment="1">
      <alignment horizontal="center" vertical="center"/>
    </xf>
    <xf numFmtId="167" fontId="58" fillId="0" borderId="41" xfId="1" applyNumberFormat="1" applyFont="1" applyBorder="1"/>
    <xf numFmtId="167" fontId="58" fillId="0" borderId="42" xfId="1" applyNumberFormat="1" applyFont="1" applyBorder="1"/>
    <xf numFmtId="167" fontId="58" fillId="0" borderId="43" xfId="1" applyNumberFormat="1" applyFont="1" applyBorder="1"/>
    <xf numFmtId="167" fontId="58" fillId="0" borderId="32" xfId="1" applyNumberFormat="1" applyFont="1" applyBorder="1"/>
    <xf numFmtId="167" fontId="58" fillId="0" borderId="0" xfId="1" applyNumberFormat="1" applyFont="1" applyBorder="1"/>
    <xf numFmtId="167" fontId="58" fillId="0" borderId="33" xfId="1" applyNumberFormat="1" applyFont="1" applyBorder="1"/>
    <xf numFmtId="167" fontId="58" fillId="0" borderId="32" xfId="1" applyNumberFormat="1" applyFont="1" applyFill="1" applyBorder="1"/>
    <xf numFmtId="167" fontId="58" fillId="0" borderId="0" xfId="1" applyNumberFormat="1" applyFont="1" applyFill="1" applyBorder="1"/>
    <xf numFmtId="167" fontId="58" fillId="57" borderId="32" xfId="1" applyNumberFormat="1" applyFont="1" applyFill="1" applyBorder="1"/>
    <xf numFmtId="167" fontId="58" fillId="57" borderId="0" xfId="1" applyNumberFormat="1" applyFont="1" applyFill="1" applyBorder="1"/>
    <xf numFmtId="167" fontId="58" fillId="9" borderId="0" xfId="1" applyNumberFormat="1" applyFont="1" applyFill="1" applyBorder="1"/>
    <xf numFmtId="167" fontId="58" fillId="4" borderId="32" xfId="1" applyNumberFormat="1" applyFont="1" applyFill="1" applyBorder="1"/>
    <xf numFmtId="167" fontId="58" fillId="4" borderId="0" xfId="1" applyNumberFormat="1" applyFont="1" applyFill="1" applyBorder="1"/>
    <xf numFmtId="167" fontId="58" fillId="30" borderId="34" xfId="1" applyNumberFormat="1" applyFont="1" applyFill="1" applyBorder="1"/>
    <xf numFmtId="167" fontId="58" fillId="30" borderId="35" xfId="1" applyNumberFormat="1" applyFont="1" applyFill="1" applyBorder="1"/>
    <xf numFmtId="167" fontId="58" fillId="9" borderId="35" xfId="1" applyNumberFormat="1" applyFont="1" applyFill="1" applyBorder="1"/>
    <xf numFmtId="0" fontId="58" fillId="55" borderId="14" xfId="0" applyFont="1" applyFill="1" applyBorder="1" applyAlignment="1">
      <alignment vertical="top" wrapText="1"/>
    </xf>
    <xf numFmtId="0" fontId="68" fillId="55" borderId="14" xfId="0" applyFont="1" applyFill="1" applyBorder="1" applyAlignment="1">
      <alignment vertical="center" wrapText="1"/>
    </xf>
    <xf numFmtId="0" fontId="52" fillId="55" borderId="14" xfId="0" applyFont="1" applyFill="1" applyBorder="1" applyAlignment="1">
      <alignment vertical="center" wrapText="1"/>
    </xf>
    <xf numFmtId="0" fontId="26" fillId="5" borderId="0" xfId="0" applyFont="1" applyFill="1" applyAlignment="1">
      <alignment horizontal="center"/>
    </xf>
    <xf numFmtId="0" fontId="26" fillId="5" borderId="0" xfId="0" applyFont="1" applyFill="1"/>
    <xf numFmtId="41" fontId="26" fillId="0" borderId="0" xfId="0" applyNumberFormat="1" applyFont="1"/>
    <xf numFmtId="166" fontId="26" fillId="0" borderId="0" xfId="0" applyNumberFormat="1" applyFont="1"/>
    <xf numFmtId="41" fontId="26" fillId="0" borderId="0" xfId="7" applyNumberFormat="1" applyFont="1"/>
    <xf numFmtId="0" fontId="26" fillId="29" borderId="0" xfId="0" applyFont="1" applyFill="1"/>
    <xf numFmtId="0" fontId="26" fillId="0" borderId="0" xfId="0" quotePrefix="1" applyFont="1"/>
    <xf numFmtId="0" fontId="26" fillId="0" borderId="0" xfId="0" applyFont="1" applyAlignment="1">
      <alignment horizontal="center" vertical="center"/>
    </xf>
    <xf numFmtId="44" fontId="20" fillId="12" borderId="0" xfId="4" applyNumberFormat="1" applyFont="1" applyFill="1"/>
    <xf numFmtId="44" fontId="0" fillId="13" borderId="0" xfId="1" applyFont="1" applyFill="1"/>
    <xf numFmtId="44" fontId="0" fillId="12" borderId="2" xfId="1" applyFont="1" applyFill="1" applyBorder="1"/>
    <xf numFmtId="0" fontId="73" fillId="0" borderId="3" xfId="81" applyFont="1" applyFill="1" applyBorder="1" applyAlignment="1">
      <alignment horizontal="center" vertical="center" wrapText="1"/>
    </xf>
    <xf numFmtId="0" fontId="6" fillId="0" borderId="0" xfId="0" applyFont="1" applyFill="1" applyAlignment="1">
      <alignment horizontal="left"/>
    </xf>
    <xf numFmtId="0" fontId="0" fillId="0" borderId="0" xfId="0" applyFill="1" applyBorder="1" applyAlignment="1">
      <alignment horizontal="left" vertical="center"/>
    </xf>
    <xf numFmtId="0" fontId="73" fillId="0" borderId="46" xfId="81" applyFont="1" applyFill="1" applyBorder="1" applyAlignment="1">
      <alignment horizontal="center" vertical="center" wrapText="1"/>
    </xf>
    <xf numFmtId="0" fontId="0" fillId="0" borderId="3" xfId="0" applyBorder="1" applyAlignment="1">
      <alignment horizontal="center" vertical="center"/>
    </xf>
    <xf numFmtId="0" fontId="25" fillId="59" borderId="0" xfId="0" applyFont="1" applyFill="1" applyAlignment="1">
      <alignment horizontal="center" vertical="center"/>
    </xf>
    <xf numFmtId="40" fontId="0" fillId="58" borderId="0" xfId="0" applyNumberFormat="1" applyFont="1" applyFill="1"/>
    <xf numFmtId="44" fontId="6" fillId="0" borderId="0" xfId="5336" quotePrefix="1" applyNumberFormat="1" applyFont="1" applyBorder="1" applyAlignment="1" applyProtection="1">
      <alignment horizontal="right"/>
    </xf>
    <xf numFmtId="44" fontId="13" fillId="13" borderId="47" xfId="0" quotePrefix="1" applyNumberFormat="1" applyFont="1" applyFill="1" applyBorder="1" applyProtection="1"/>
    <xf numFmtId="0" fontId="1" fillId="0" borderId="0" xfId="0" applyFont="1" applyAlignment="1">
      <alignment horizontal="center" vertical="center" wrapText="1"/>
    </xf>
    <xf numFmtId="0" fontId="58" fillId="4" borderId="14" xfId="0" applyFont="1" applyFill="1" applyBorder="1" applyAlignment="1">
      <alignment vertical="center" wrapText="1"/>
    </xf>
    <xf numFmtId="167" fontId="58" fillId="12" borderId="33" xfId="1" applyNumberFormat="1" applyFont="1" applyFill="1" applyBorder="1"/>
    <xf numFmtId="167" fontId="58" fillId="12" borderId="36" xfId="1" applyNumberFormat="1" applyFont="1" applyFill="1" applyBorder="1"/>
    <xf numFmtId="0" fontId="10" fillId="60" borderId="0" xfId="0" applyFont="1" applyFill="1" applyAlignment="1">
      <alignment wrapText="1"/>
    </xf>
    <xf numFmtId="0" fontId="1" fillId="0" borderId="0" xfId="0" applyFont="1" applyAlignment="1">
      <alignment horizontal="left" indent="1"/>
    </xf>
    <xf numFmtId="0" fontId="79" fillId="0" borderId="0" xfId="0" applyFont="1" applyAlignment="1">
      <alignment horizontal="left" indent="1"/>
    </xf>
    <xf numFmtId="44" fontId="0" fillId="61" borderId="0" xfId="1" applyFont="1" applyFill="1"/>
    <xf numFmtId="44" fontId="0" fillId="61" borderId="2" xfId="1" applyFont="1" applyFill="1" applyBorder="1"/>
    <xf numFmtId="0" fontId="0" fillId="61" borderId="0" xfId="0" applyFill="1"/>
    <xf numFmtId="0" fontId="0" fillId="8" borderId="0" xfId="0" applyFill="1" applyAlignment="1">
      <alignment horizontal="right"/>
    </xf>
    <xf numFmtId="44" fontId="1" fillId="8" borderId="0" xfId="0" applyNumberFormat="1" applyFont="1" applyFill="1"/>
    <xf numFmtId="0" fontId="10" fillId="0" borderId="0" xfId="0" applyFont="1" applyAlignment="1">
      <alignment horizontal="center"/>
    </xf>
    <xf numFmtId="0" fontId="11" fillId="61" borderId="0" xfId="0" applyFont="1" applyFill="1"/>
    <xf numFmtId="44" fontId="19" fillId="5" borderId="0" xfId="1" applyFont="1" applyFill="1"/>
    <xf numFmtId="0" fontId="0" fillId="50" borderId="3" xfId="0" applyFill="1" applyBorder="1" applyAlignment="1">
      <alignment horizontal="center" vertical="center"/>
    </xf>
    <xf numFmtId="0" fontId="0" fillId="50" borderId="3" xfId="0" applyFill="1" applyBorder="1" applyAlignment="1">
      <alignment horizontal="left" vertical="center"/>
    </xf>
    <xf numFmtId="10" fontId="0" fillId="60" borderId="0" xfId="2" applyNumberFormat="1" applyFont="1" applyFill="1" applyAlignment="1">
      <alignment horizontal="center" vertical="center"/>
    </xf>
    <xf numFmtId="10" fontId="0" fillId="50" borderId="0" xfId="2" applyNumberFormat="1" applyFont="1" applyFill="1" applyAlignment="1">
      <alignment horizontal="center" vertical="center"/>
    </xf>
    <xf numFmtId="0" fontId="0" fillId="50" borderId="4" xfId="0" applyFill="1" applyBorder="1" applyAlignment="1">
      <alignment horizontal="center" vertical="center"/>
    </xf>
    <xf numFmtId="0" fontId="0" fillId="50" borderId="2" xfId="0" applyFill="1" applyBorder="1" applyAlignment="1">
      <alignment horizontal="left" vertical="center"/>
    </xf>
    <xf numFmtId="49" fontId="0" fillId="50" borderId="0" xfId="0" applyNumberFormat="1" applyFill="1" applyBorder="1" applyAlignment="1">
      <alignment horizontal="center" vertical="center"/>
    </xf>
    <xf numFmtId="0" fontId="0" fillId="50" borderId="0" xfId="0" applyFill="1" applyBorder="1" applyAlignment="1">
      <alignment horizontal="left" vertical="center"/>
    </xf>
    <xf numFmtId="49" fontId="0" fillId="50" borderId="0" xfId="0" applyNumberFormat="1" applyFill="1" applyBorder="1" applyAlignment="1">
      <alignment horizontal="left" vertical="center"/>
    </xf>
    <xf numFmtId="10" fontId="6" fillId="0" borderId="0" xfId="2" applyNumberFormat="1" applyFont="1" applyFill="1" applyBorder="1" applyAlignment="1">
      <alignment horizontal="center" vertical="center"/>
    </xf>
    <xf numFmtId="0" fontId="6" fillId="0" borderId="0" xfId="0" quotePrefix="1" applyFont="1" applyFill="1" applyBorder="1" applyAlignment="1">
      <alignment horizontal="center"/>
    </xf>
    <xf numFmtId="0" fontId="65" fillId="0" borderId="0" xfId="5337" quotePrefix="1" applyFont="1" applyFill="1" applyBorder="1" applyAlignment="1">
      <alignment horizontal="center" wrapText="1"/>
    </xf>
    <xf numFmtId="0" fontId="65" fillId="0" borderId="0" xfId="5337" applyFont="1" applyFill="1" applyBorder="1" applyAlignment="1">
      <alignment horizontal="center" wrapText="1"/>
    </xf>
    <xf numFmtId="0" fontId="65" fillId="0" borderId="0" xfId="5337" applyFont="1" applyFill="1" applyBorder="1" applyAlignment="1">
      <alignment horizontal="center"/>
    </xf>
    <xf numFmtId="10" fontId="6" fillId="60" borderId="0" xfId="2" applyNumberFormat="1" applyFont="1" applyFill="1" applyBorder="1" applyAlignment="1">
      <alignment horizontal="center" vertical="center"/>
    </xf>
    <xf numFmtId="0" fontId="56" fillId="62" borderId="27" xfId="81" applyFont="1" applyFill="1" applyBorder="1" applyAlignment="1">
      <alignment horizontal="center" vertical="center" wrapText="1"/>
    </xf>
    <xf numFmtId="40" fontId="0" fillId="53" borderId="0" xfId="0" applyNumberFormat="1" applyFont="1" applyFill="1"/>
    <xf numFmtId="43" fontId="14" fillId="0" borderId="0" xfId="9" applyFont="1" applyFill="1" applyBorder="1" applyAlignment="1">
      <alignment horizontal="center"/>
    </xf>
    <xf numFmtId="43" fontId="15" fillId="0" borderId="0" xfId="9" applyFont="1" applyFill="1" applyBorder="1" applyAlignment="1">
      <alignment horizontal="left"/>
    </xf>
    <xf numFmtId="43" fontId="74" fillId="0" borderId="0" xfId="9" applyFont="1" applyFill="1"/>
    <xf numFmtId="43" fontId="15" fillId="0" borderId="0" xfId="9" applyFont="1" applyFill="1"/>
    <xf numFmtId="43" fontId="0" fillId="0" borderId="0" xfId="9" applyFont="1" applyFill="1"/>
    <xf numFmtId="43" fontId="15" fillId="63" borderId="0" xfId="9" applyFont="1" applyFill="1" applyBorder="1" applyAlignment="1">
      <alignment horizontal="left"/>
    </xf>
    <xf numFmtId="43" fontId="15" fillId="58" borderId="0" xfId="9" applyFont="1" applyFill="1" applyBorder="1" applyAlignment="1">
      <alignment horizontal="left"/>
    </xf>
    <xf numFmtId="43" fontId="15" fillId="53" borderId="0" xfId="9" applyFont="1" applyFill="1" applyBorder="1" applyAlignment="1">
      <alignment horizontal="left"/>
    </xf>
    <xf numFmtId="43" fontId="15" fillId="58" borderId="0" xfId="9" applyFont="1" applyFill="1"/>
    <xf numFmtId="43" fontId="0" fillId="58" borderId="0" xfId="9" applyFont="1" applyFill="1"/>
    <xf numFmtId="40" fontId="15" fillId="0" borderId="0" xfId="9" applyNumberFormat="1" applyFont="1" applyFill="1" applyBorder="1" applyAlignment="1">
      <alignment horizontal="right"/>
    </xf>
    <xf numFmtId="40" fontId="15" fillId="63" borderId="0" xfId="9" applyNumberFormat="1" applyFont="1" applyFill="1" applyBorder="1" applyAlignment="1">
      <alignment horizontal="right"/>
    </xf>
    <xf numFmtId="40" fontId="15" fillId="58" borderId="0" xfId="9" applyNumberFormat="1" applyFont="1" applyFill="1" applyBorder="1" applyAlignment="1">
      <alignment horizontal="right"/>
    </xf>
    <xf numFmtId="40" fontId="74" fillId="0" borderId="0" xfId="9" applyNumberFormat="1" applyFont="1" applyFill="1" applyAlignment="1">
      <alignment horizontal="right"/>
    </xf>
    <xf numFmtId="40" fontId="15" fillId="53" borderId="0" xfId="9" applyNumberFormat="1" applyFont="1" applyFill="1" applyBorder="1" applyAlignment="1">
      <alignment horizontal="right"/>
    </xf>
    <xf numFmtId="40" fontId="15" fillId="0" borderId="0" xfId="9" applyNumberFormat="1" applyFont="1" applyFill="1" applyAlignment="1">
      <alignment horizontal="right"/>
    </xf>
    <xf numFmtId="40" fontId="15" fillId="58" borderId="0" xfId="9" applyNumberFormat="1" applyFont="1" applyFill="1" applyAlignment="1">
      <alignment horizontal="right"/>
    </xf>
    <xf numFmtId="40" fontId="0" fillId="0" borderId="0" xfId="9" applyNumberFormat="1" applyFont="1" applyFill="1" applyAlignment="1">
      <alignment horizontal="right"/>
    </xf>
    <xf numFmtId="40" fontId="0" fillId="0" borderId="0" xfId="9" applyNumberFormat="1" applyFont="1" applyAlignment="1">
      <alignment horizontal="right"/>
    </xf>
    <xf numFmtId="40" fontId="0" fillId="58" borderId="0" xfId="9" applyNumberFormat="1" applyFont="1" applyFill="1" applyAlignment="1">
      <alignment horizontal="right"/>
    </xf>
    <xf numFmtId="0" fontId="88" fillId="30" borderId="0" xfId="0" quotePrefix="1" applyNumberFormat="1" applyFont="1" applyFill="1" applyAlignment="1">
      <alignment horizontal="center" vertical="center"/>
    </xf>
    <xf numFmtId="0" fontId="88" fillId="0" borderId="0" xfId="0" applyFont="1" applyAlignment="1">
      <alignment horizontal="right"/>
    </xf>
    <xf numFmtId="0" fontId="17" fillId="64" borderId="28" xfId="81" applyFont="1" applyFill="1" applyBorder="1" applyAlignment="1">
      <alignment horizontal="center" vertical="center" wrapText="1"/>
    </xf>
    <xf numFmtId="0" fontId="58" fillId="55" borderId="11" xfId="0" applyFont="1" applyFill="1" applyBorder="1"/>
    <xf numFmtId="0" fontId="58" fillId="55" borderId="12" xfId="0" applyFont="1" applyFill="1" applyBorder="1" applyAlignment="1">
      <alignment vertical="center" wrapText="1"/>
    </xf>
    <xf numFmtId="0" fontId="58" fillId="55" borderId="16" xfId="0" applyFont="1" applyFill="1" applyBorder="1" applyAlignment="1">
      <alignment vertical="center" wrapText="1"/>
    </xf>
    <xf numFmtId="0" fontId="88" fillId="0" borderId="40" xfId="0" applyFont="1" applyBorder="1" applyAlignment="1">
      <alignment horizontal="center" vertical="center"/>
    </xf>
    <xf numFmtId="0" fontId="88" fillId="0" borderId="8" xfId="0" applyFont="1" applyBorder="1" applyAlignment="1">
      <alignment horizontal="center" vertical="center"/>
    </xf>
    <xf numFmtId="0" fontId="82" fillId="0" borderId="0" xfId="0" applyFont="1" applyAlignment="1">
      <alignment horizontal="center" vertical="center"/>
    </xf>
    <xf numFmtId="0" fontId="92" fillId="0" borderId="34" xfId="0" applyFont="1" applyBorder="1" applyAlignment="1">
      <alignment horizontal="center" vertical="center"/>
    </xf>
    <xf numFmtId="0" fontId="93" fillId="0" borderId="2" xfId="0" applyFont="1" applyFill="1" applyBorder="1" applyAlignment="1">
      <alignment horizontal="center"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249" applyNumberFormat="1" applyFont="1" applyFill="1" applyBorder="1" applyAlignment="1">
      <alignment horizontal="center" vertical="center"/>
    </xf>
    <xf numFmtId="0" fontId="15" fillId="0" borderId="0" xfId="249" applyNumberFormat="1" applyFont="1" applyFill="1" applyAlignment="1">
      <alignment horizontal="center" vertical="center"/>
    </xf>
    <xf numFmtId="0" fontId="15" fillId="0" borderId="0" xfId="0" applyNumberFormat="1" applyFont="1" applyFill="1" applyAlignment="1">
      <alignment horizontal="center" vertical="center"/>
    </xf>
    <xf numFmtId="0" fontId="15" fillId="0" borderId="48" xfId="0" applyNumberFormat="1" applyFont="1" applyFill="1" applyBorder="1" applyAlignment="1">
      <alignment horizontal="center" vertical="center"/>
    </xf>
    <xf numFmtId="0" fontId="94" fillId="0" borderId="0" xfId="0" applyFont="1"/>
    <xf numFmtId="0" fontId="15" fillId="0" borderId="0" xfId="0" applyFont="1" applyAlignment="1">
      <alignment horizontal="center" vertical="center"/>
    </xf>
    <xf numFmtId="0" fontId="15" fillId="0" borderId="0" xfId="0" applyNumberFormat="1" applyFont="1" applyFill="1" applyBorder="1" applyAlignment="1">
      <alignment horizontal="center" vertical="center"/>
    </xf>
    <xf numFmtId="0" fontId="15" fillId="50" borderId="0" xfId="0" applyNumberFormat="1" applyFont="1" applyFill="1" applyBorder="1" applyAlignment="1">
      <alignment horizontal="center" vertical="center"/>
    </xf>
    <xf numFmtId="0" fontId="15" fillId="4" borderId="0" xfId="0" applyNumberFormat="1" applyFont="1" applyFill="1" applyBorder="1" applyAlignment="1">
      <alignment horizontal="center" vertical="center"/>
    </xf>
    <xf numFmtId="0" fontId="94" fillId="0" borderId="0" xfId="0" applyFont="1" applyFill="1"/>
    <xf numFmtId="0" fontId="12" fillId="0" borderId="0" xfId="0" applyFont="1" applyAlignment="1">
      <alignment horizontal="center" vertical="center"/>
    </xf>
    <xf numFmtId="43" fontId="26" fillId="0" borderId="0" xfId="7" applyFont="1"/>
    <xf numFmtId="0" fontId="0" fillId="58" borderId="0" xfId="0" applyFill="1"/>
    <xf numFmtId="0" fontId="12" fillId="0" borderId="0" xfId="5338" applyFont="1" applyAlignment="1">
      <alignment horizontal="center" vertical="center"/>
    </xf>
    <xf numFmtId="0" fontId="12" fillId="0" borderId="0" xfId="5338" applyFont="1" applyAlignment="1">
      <alignment horizontal="center" vertical="center" wrapText="1"/>
    </xf>
    <xf numFmtId="0" fontId="0" fillId="53" borderId="0" xfId="0" applyFill="1" applyAlignment="1">
      <alignment horizontal="center" vertical="center"/>
    </xf>
    <xf numFmtId="0" fontId="95" fillId="0" borderId="0" xfId="3922" applyFont="1"/>
    <xf numFmtId="0" fontId="26" fillId="5" borderId="0" xfId="0" quotePrefix="1" applyFont="1" applyFill="1" applyAlignment="1">
      <alignment horizontal="center"/>
    </xf>
    <xf numFmtId="0" fontId="26" fillId="8" borderId="0" xfId="0" applyFont="1" applyFill="1"/>
    <xf numFmtId="0" fontId="26" fillId="8" borderId="0" xfId="0" applyFont="1" applyFill="1" applyAlignment="1">
      <alignment horizontal="center"/>
    </xf>
    <xf numFmtId="0" fontId="26" fillId="4" borderId="0" xfId="0" applyFont="1" applyFill="1" applyAlignment="1">
      <alignment horizontal="center"/>
    </xf>
    <xf numFmtId="43" fontId="26" fillId="0" borderId="0" xfId="0" applyNumberFormat="1" applyFont="1" applyAlignment="1">
      <alignment horizontal="center"/>
    </xf>
    <xf numFmtId="0" fontId="26" fillId="0" borderId="0" xfId="0" quotePrefix="1" applyFont="1" applyAlignment="1">
      <alignment horizontal="center"/>
    </xf>
    <xf numFmtId="0" fontId="26" fillId="0" borderId="0" xfId="0" applyFont="1" applyAlignment="1">
      <alignment wrapText="1"/>
    </xf>
    <xf numFmtId="168" fontId="12" fillId="0" borderId="0" xfId="9" applyNumberFormat="1" applyFont="1"/>
    <xf numFmtId="168" fontId="26" fillId="0" borderId="0" xfId="0" applyNumberFormat="1" applyFont="1"/>
    <xf numFmtId="168" fontId="12" fillId="0" borderId="0" xfId="5339" applyNumberFormat="1" applyFont="1"/>
    <xf numFmtId="0" fontId="58" fillId="4" borderId="14" xfId="0" applyFont="1" applyFill="1" applyBorder="1" applyAlignment="1">
      <alignment vertical="center"/>
    </xf>
    <xf numFmtId="0" fontId="52" fillId="58" borderId="16" xfId="0" applyFont="1" applyFill="1" applyBorder="1" applyAlignment="1">
      <alignment vertical="center" wrapText="1"/>
    </xf>
    <xf numFmtId="40" fontId="12" fillId="0" borderId="0" xfId="9" applyNumberFormat="1" applyFont="1"/>
    <xf numFmtId="0" fontId="0" fillId="0" borderId="0" xfId="0" applyFont="1" applyAlignment="1">
      <alignment horizontal="center" vertical="center"/>
    </xf>
    <xf numFmtId="40" fontId="2" fillId="0" borderId="0" xfId="9" applyNumberFormat="1" applyFont="1"/>
    <xf numFmtId="0" fontId="67" fillId="55" borderId="11" xfId="0" applyFont="1" applyFill="1" applyBorder="1" applyAlignment="1">
      <alignment horizontal="left" vertical="center" wrapText="1"/>
    </xf>
    <xf numFmtId="0" fontId="67" fillId="55" borderId="12" xfId="0" applyFont="1" applyFill="1" applyBorder="1" applyAlignment="1">
      <alignment horizontal="left" vertical="center" wrapText="1"/>
    </xf>
    <xf numFmtId="0" fontId="10" fillId="0" borderId="0" xfId="0" applyFont="1" applyFill="1" applyAlignment="1">
      <alignment horizontal="left" vertical="center" wrapText="1"/>
    </xf>
    <xf numFmtId="0" fontId="52" fillId="55" borderId="11" xfId="0" applyFont="1" applyFill="1" applyBorder="1" applyAlignment="1">
      <alignment horizontal="left" vertical="center" wrapText="1"/>
    </xf>
    <xf numFmtId="0" fontId="52" fillId="55" borderId="12" xfId="0" applyFont="1" applyFill="1" applyBorder="1" applyAlignment="1">
      <alignment horizontal="left" vertical="center" wrapText="1"/>
    </xf>
    <xf numFmtId="0" fontId="58" fillId="50" borderId="13" xfId="0" applyFont="1" applyFill="1" applyBorder="1" applyAlignment="1">
      <alignment horizontal="left" vertical="center" wrapText="1"/>
    </xf>
    <xf numFmtId="0" fontId="58" fillId="50" borderId="14" xfId="0" applyFont="1" applyFill="1" applyBorder="1" applyAlignment="1">
      <alignment horizontal="left" vertical="center" wrapText="1"/>
    </xf>
    <xf numFmtId="0" fontId="58" fillId="55" borderId="15" xfId="0" applyFont="1" applyFill="1" applyBorder="1" applyAlignment="1">
      <alignment horizontal="left" vertical="center" wrapText="1"/>
    </xf>
    <xf numFmtId="0" fontId="58" fillId="55" borderId="16" xfId="0" applyFont="1" applyFill="1" applyBorder="1" applyAlignment="1">
      <alignment horizontal="left" vertical="center" wrapText="1"/>
    </xf>
    <xf numFmtId="0" fontId="10" fillId="60" borderId="13" xfId="0" applyFont="1" applyFill="1" applyBorder="1" applyAlignment="1">
      <alignment horizontal="left" vertical="center" wrapText="1"/>
    </xf>
    <xf numFmtId="0" fontId="10" fillId="60" borderId="14" xfId="0" applyFont="1" applyFill="1" applyBorder="1" applyAlignment="1">
      <alignment horizontal="left" vertical="center" wrapText="1"/>
    </xf>
    <xf numFmtId="0" fontId="58" fillId="4" borderId="13" xfId="0" applyFont="1" applyFill="1" applyBorder="1" applyAlignment="1">
      <alignment horizontal="left" vertical="center" wrapText="1"/>
    </xf>
    <xf numFmtId="0" fontId="58" fillId="4" borderId="14" xfId="0" applyFont="1" applyFill="1" applyBorder="1" applyAlignment="1">
      <alignment horizontal="left" vertical="center" wrapText="1"/>
    </xf>
    <xf numFmtId="0" fontId="58" fillId="55" borderId="13" xfId="0" applyFont="1" applyFill="1" applyBorder="1" applyAlignment="1">
      <alignment horizontal="left" vertical="center" wrapText="1"/>
    </xf>
    <xf numFmtId="0" fontId="58" fillId="55" borderId="14" xfId="0" applyFont="1" applyFill="1" applyBorder="1" applyAlignment="1">
      <alignment horizontal="left" vertical="center" wrapText="1"/>
    </xf>
    <xf numFmtId="0" fontId="90" fillId="55" borderId="13" xfId="0" applyFont="1" applyFill="1" applyBorder="1" applyAlignment="1">
      <alignment horizontal="left" vertical="center" wrapText="1"/>
    </xf>
    <xf numFmtId="0" fontId="90" fillId="55" borderId="14" xfId="0" applyFont="1" applyFill="1" applyBorder="1" applyAlignment="1">
      <alignment horizontal="left" vertical="center" wrapText="1"/>
    </xf>
    <xf numFmtId="0" fontId="54" fillId="55" borderId="8" xfId="0" applyFont="1" applyFill="1" applyBorder="1" applyAlignment="1">
      <alignment horizontal="center" vertical="center"/>
    </xf>
    <xf numFmtId="0" fontId="54" fillId="55" borderId="10" xfId="0" applyFont="1" applyFill="1" applyBorder="1" applyAlignment="1">
      <alignment horizontal="center" vertical="center"/>
    </xf>
    <xf numFmtId="0" fontId="80" fillId="0" borderId="11" xfId="0" applyFont="1" applyBorder="1" applyAlignment="1">
      <alignment horizontal="left" vertical="top" wrapText="1"/>
    </xf>
    <xf numFmtId="0" fontId="80" fillId="0" borderId="12" xfId="0" applyFont="1" applyBorder="1" applyAlignment="1">
      <alignment horizontal="left" vertical="top" wrapText="1"/>
    </xf>
    <xf numFmtId="0" fontId="80" fillId="0" borderId="13" xfId="0" applyFont="1" applyBorder="1" applyAlignment="1">
      <alignment horizontal="left" vertical="top" wrapText="1"/>
    </xf>
    <xf numFmtId="0" fontId="80" fillId="0" borderId="14" xfId="0" applyFont="1" applyBorder="1" applyAlignment="1">
      <alignment horizontal="left" vertical="top" wrapText="1"/>
    </xf>
    <xf numFmtId="0" fontId="80" fillId="0" borderId="15" xfId="0" applyFont="1" applyBorder="1" applyAlignment="1">
      <alignment horizontal="left" vertical="top" wrapText="1"/>
    </xf>
    <xf numFmtId="0" fontId="80" fillId="0" borderId="16" xfId="0" applyFont="1" applyBorder="1" applyAlignment="1">
      <alignment horizontal="left" vertical="top" wrapText="1"/>
    </xf>
    <xf numFmtId="0" fontId="92" fillId="4" borderId="0" xfId="0" applyFont="1" applyFill="1" applyAlignment="1">
      <alignment horizontal="center"/>
    </xf>
    <xf numFmtId="0" fontId="88" fillId="0" borderId="41" xfId="0" applyFont="1" applyBorder="1" applyAlignment="1">
      <alignment horizontal="center" vertical="center"/>
    </xf>
    <xf numFmtId="0" fontId="88" fillId="0" borderId="42" xfId="0" applyFont="1" applyBorder="1" applyAlignment="1">
      <alignment horizontal="center" vertical="center"/>
    </xf>
    <xf numFmtId="0" fontId="91" fillId="0" borderId="41" xfId="0" applyFont="1" applyBorder="1" applyAlignment="1">
      <alignment horizontal="center"/>
    </xf>
    <xf numFmtId="0" fontId="91" fillId="0" borderId="42" xfId="0" applyFont="1" applyBorder="1" applyAlignment="1">
      <alignment horizontal="center"/>
    </xf>
    <xf numFmtId="0" fontId="91" fillId="0" borderId="43" xfId="0" applyFont="1" applyBorder="1" applyAlignment="1">
      <alignment horizontal="center"/>
    </xf>
    <xf numFmtId="0" fontId="54" fillId="0" borderId="3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36" xfId="0" applyFont="1" applyBorder="1" applyAlignment="1">
      <alignment horizontal="center" vertical="center" wrapText="1"/>
    </xf>
    <xf numFmtId="0" fontId="84" fillId="12" borderId="44" xfId="0" applyFont="1" applyFill="1" applyBorder="1" applyAlignment="1">
      <alignment horizontal="center" vertical="top" wrapText="1"/>
    </xf>
    <xf numFmtId="0" fontId="84" fillId="12" borderId="45" xfId="0" applyFont="1" applyFill="1" applyBorder="1" applyAlignment="1">
      <alignment horizontal="center" vertical="top" wrapText="1"/>
    </xf>
    <xf numFmtId="0" fontId="1" fillId="0" borderId="0" xfId="0" applyFont="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1" fillId="15" borderId="17" xfId="8" applyFont="1" applyBorder="1" applyAlignment="1">
      <alignment horizontal="left"/>
    </xf>
    <xf numFmtId="0" fontId="11" fillId="15" borderId="18" xfId="8" applyFont="1" applyBorder="1" applyAlignment="1">
      <alignment horizontal="left"/>
    </xf>
    <xf numFmtId="0" fontId="0" fillId="50" borderId="0" xfId="0" applyFill="1" applyAlignment="1">
      <alignment horizontal="left" vertical="top" wrapText="1"/>
    </xf>
    <xf numFmtId="0" fontId="0" fillId="60" borderId="32" xfId="0" applyFont="1" applyFill="1" applyBorder="1" applyAlignment="1">
      <alignment horizontal="left" vertical="center" wrapText="1"/>
    </xf>
    <xf numFmtId="0" fontId="0" fillId="60" borderId="0" xfId="0" applyFont="1" applyFill="1" applyBorder="1" applyAlignment="1">
      <alignment horizontal="left" vertical="center" wrapText="1"/>
    </xf>
    <xf numFmtId="0" fontId="0" fillId="60" borderId="33" xfId="0" applyFont="1" applyFill="1" applyBorder="1" applyAlignment="1">
      <alignment horizontal="left" vertical="center" wrapText="1"/>
    </xf>
    <xf numFmtId="0" fontId="0" fillId="60" borderId="34" xfId="0" applyFont="1" applyFill="1" applyBorder="1" applyAlignment="1">
      <alignment horizontal="left" vertical="center" wrapText="1"/>
    </xf>
    <xf numFmtId="0" fontId="0" fillId="60" borderId="35" xfId="0" applyFont="1" applyFill="1" applyBorder="1" applyAlignment="1">
      <alignment horizontal="left" vertical="center" wrapText="1"/>
    </xf>
    <xf numFmtId="0" fontId="0" fillId="60" borderId="36" xfId="0" applyFont="1" applyFill="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Border="1" applyAlignment="1">
      <alignment horizontal="left" vertical="center" wrapText="1"/>
    </xf>
    <xf numFmtId="0" fontId="0" fillId="0" borderId="33" xfId="0" applyFont="1" applyBorder="1" applyAlignment="1">
      <alignment horizontal="left" vertical="center" wrapText="1"/>
    </xf>
    <xf numFmtId="0" fontId="0" fillId="0" borderId="0" xfId="0" applyFont="1" applyAlignment="1">
      <alignment horizontal="left"/>
    </xf>
    <xf numFmtId="0" fontId="52" fillId="0" borderId="41" xfId="0" applyFont="1" applyBorder="1" applyAlignment="1">
      <alignment horizontal="left" vertical="top" wrapText="1"/>
    </xf>
    <xf numFmtId="0" fontId="52" fillId="0" borderId="42" xfId="0" applyFont="1" applyBorder="1" applyAlignment="1">
      <alignment horizontal="left" vertical="top" wrapText="1"/>
    </xf>
    <xf numFmtId="0" fontId="52" fillId="0" borderId="43" xfId="0" applyFont="1" applyBorder="1" applyAlignment="1">
      <alignment horizontal="left" vertical="top" wrapText="1"/>
    </xf>
    <xf numFmtId="0" fontId="1" fillId="0" borderId="32" xfId="0" applyFont="1" applyBorder="1" applyAlignment="1">
      <alignment horizontal="left" vertical="top" wrapText="1"/>
    </xf>
    <xf numFmtId="0" fontId="1" fillId="0" borderId="0" xfId="0" applyFont="1" applyBorder="1" applyAlignment="1">
      <alignment horizontal="left" vertical="top" wrapText="1"/>
    </xf>
    <xf numFmtId="0" fontId="1" fillId="0" borderId="33" xfId="0" applyFont="1" applyBorder="1" applyAlignment="1">
      <alignment horizontal="left" vertical="top" wrapText="1"/>
    </xf>
    <xf numFmtId="0" fontId="0" fillId="0" borderId="32"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1" fillId="0" borderId="32" xfId="0" applyFont="1" applyBorder="1" applyAlignment="1">
      <alignment horizontal="left" vertical="center" wrapText="1"/>
    </xf>
    <xf numFmtId="0" fontId="1" fillId="0" borderId="0" xfId="0" applyFont="1" applyBorder="1" applyAlignment="1">
      <alignment horizontal="left" vertical="center" wrapText="1"/>
    </xf>
    <xf numFmtId="0" fontId="1" fillId="0" borderId="33" xfId="0" applyFont="1" applyBorder="1" applyAlignment="1">
      <alignment horizontal="left" vertical="center" wrapText="1"/>
    </xf>
    <xf numFmtId="0" fontId="6" fillId="0" borderId="32" xfId="0" applyFont="1" applyBorder="1" applyAlignment="1">
      <alignment horizontal="left" wrapText="1"/>
    </xf>
    <xf numFmtId="0" fontId="6" fillId="0" borderId="0" xfId="0" applyFont="1" applyBorder="1" applyAlignment="1">
      <alignment horizontal="left" wrapText="1"/>
    </xf>
    <xf numFmtId="0" fontId="6" fillId="0" borderId="33" xfId="0" applyFont="1" applyBorder="1" applyAlignment="1">
      <alignment horizontal="left" wrapText="1"/>
    </xf>
    <xf numFmtId="0" fontId="0" fillId="0" borderId="0" xfId="0"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center" wrapText="1"/>
    </xf>
    <xf numFmtId="0" fontId="13" fillId="0" borderId="0" xfId="0" applyFont="1" applyAlignment="1">
      <alignment horizontal="center"/>
    </xf>
    <xf numFmtId="0" fontId="0" fillId="0" borderId="0" xfId="0" applyAlignment="1">
      <alignment horizontal="center"/>
    </xf>
    <xf numFmtId="0" fontId="11" fillId="0" borderId="0" xfId="0" applyFont="1" applyAlignment="1">
      <alignment horizontal="center" vertical="center" wrapText="1"/>
    </xf>
    <xf numFmtId="0" fontId="0" fillId="0" borderId="0" xfId="0" applyAlignment="1">
      <alignment horizontal="left"/>
    </xf>
  </cellXfs>
  <cellStyles count="5340">
    <cellStyle name="20% - Accent1" xfId="59" builtinId="30" customBuiltin="1"/>
    <cellStyle name="20% - Accent1 10" xfId="924"/>
    <cellStyle name="20% - Accent1 10 2" xfId="2216"/>
    <cellStyle name="20% - Accent1 10 3" xfId="3494"/>
    <cellStyle name="20% - Accent1 10 4" xfId="4781"/>
    <cellStyle name="20% - Accent1 11" xfId="1364"/>
    <cellStyle name="20% - Accent1 12" xfId="2642"/>
    <cellStyle name="20% - Accent1 13" xfId="3929"/>
    <cellStyle name="20% - Accent1 14" xfId="5207"/>
    <cellStyle name="20% - Accent1 2" xfId="10"/>
    <cellStyle name="20% - Accent1 2 10" xfId="1365"/>
    <cellStyle name="20% - Accent1 2 11" xfId="2643"/>
    <cellStyle name="20% - Accent1 2 12" xfId="3930"/>
    <cellStyle name="20% - Accent1 2 13" xfId="5208"/>
    <cellStyle name="20% - Accent1 2 2" xfId="84"/>
    <cellStyle name="20% - Accent1 2 2 2" xfId="85"/>
    <cellStyle name="20% - Accent1 2 2 2 2" xfId="288"/>
    <cellStyle name="20% - Accent1 2 2 2 2 2" xfId="714"/>
    <cellStyle name="20% - Accent1 2 2 2 2 2 2" xfId="2006"/>
    <cellStyle name="20% - Accent1 2 2 2 2 2 3" xfId="3284"/>
    <cellStyle name="20% - Accent1 2 2 2 2 2 4" xfId="4571"/>
    <cellStyle name="20% - Accent1 2 2 2 2 3" xfId="1140"/>
    <cellStyle name="20% - Accent1 2 2 2 2 3 2" xfId="2432"/>
    <cellStyle name="20% - Accent1 2 2 2 2 3 3" xfId="3710"/>
    <cellStyle name="20% - Accent1 2 2 2 2 3 4" xfId="4997"/>
    <cellStyle name="20% - Accent1 2 2 2 2 4" xfId="1580"/>
    <cellStyle name="20% - Accent1 2 2 2 2 5" xfId="2858"/>
    <cellStyle name="20% - Accent1 2 2 2 2 6" xfId="4145"/>
    <cellStyle name="20% - Accent1 2 2 2 3" xfId="501"/>
    <cellStyle name="20% - Accent1 2 2 2 3 2" xfId="1793"/>
    <cellStyle name="20% - Accent1 2 2 2 3 3" xfId="3071"/>
    <cellStyle name="20% - Accent1 2 2 2 3 4" xfId="4358"/>
    <cellStyle name="20% - Accent1 2 2 2 4" xfId="927"/>
    <cellStyle name="20% - Accent1 2 2 2 4 2" xfId="2219"/>
    <cellStyle name="20% - Accent1 2 2 2 4 3" xfId="3497"/>
    <cellStyle name="20% - Accent1 2 2 2 4 4" xfId="4784"/>
    <cellStyle name="20% - Accent1 2 2 2 5" xfId="1367"/>
    <cellStyle name="20% - Accent1 2 2 2 6" xfId="2645"/>
    <cellStyle name="20% - Accent1 2 2 2 7" xfId="3932"/>
    <cellStyle name="20% - Accent1 2 2 2 8" xfId="5210"/>
    <cellStyle name="20% - Accent1 2 2 3" xfId="287"/>
    <cellStyle name="20% - Accent1 2 2 3 2" xfId="713"/>
    <cellStyle name="20% - Accent1 2 2 3 2 2" xfId="2005"/>
    <cellStyle name="20% - Accent1 2 2 3 2 3" xfId="3283"/>
    <cellStyle name="20% - Accent1 2 2 3 2 4" xfId="4570"/>
    <cellStyle name="20% - Accent1 2 2 3 3" xfId="1139"/>
    <cellStyle name="20% - Accent1 2 2 3 3 2" xfId="2431"/>
    <cellStyle name="20% - Accent1 2 2 3 3 3" xfId="3709"/>
    <cellStyle name="20% - Accent1 2 2 3 3 4" xfId="4996"/>
    <cellStyle name="20% - Accent1 2 2 3 4" xfId="1579"/>
    <cellStyle name="20% - Accent1 2 2 3 5" xfId="2857"/>
    <cellStyle name="20% - Accent1 2 2 3 6" xfId="4144"/>
    <cellStyle name="20% - Accent1 2 2 4" xfId="500"/>
    <cellStyle name="20% - Accent1 2 2 4 2" xfId="1792"/>
    <cellStyle name="20% - Accent1 2 2 4 3" xfId="3070"/>
    <cellStyle name="20% - Accent1 2 2 4 4" xfId="4357"/>
    <cellStyle name="20% - Accent1 2 2 5" xfId="926"/>
    <cellStyle name="20% - Accent1 2 2 5 2" xfId="2218"/>
    <cellStyle name="20% - Accent1 2 2 5 3" xfId="3496"/>
    <cellStyle name="20% - Accent1 2 2 5 4" xfId="4783"/>
    <cellStyle name="20% - Accent1 2 2 6" xfId="1366"/>
    <cellStyle name="20% - Accent1 2 2 7" xfId="2644"/>
    <cellStyle name="20% - Accent1 2 2 8" xfId="3931"/>
    <cellStyle name="20% - Accent1 2 2 9" xfId="5209"/>
    <cellStyle name="20% - Accent1 2 3" xfId="86"/>
    <cellStyle name="20% - Accent1 2 3 2" xfId="289"/>
    <cellStyle name="20% - Accent1 2 3 2 2" xfId="715"/>
    <cellStyle name="20% - Accent1 2 3 2 2 2" xfId="2007"/>
    <cellStyle name="20% - Accent1 2 3 2 2 3" xfId="3285"/>
    <cellStyle name="20% - Accent1 2 3 2 2 4" xfId="4572"/>
    <cellStyle name="20% - Accent1 2 3 2 3" xfId="1141"/>
    <cellStyle name="20% - Accent1 2 3 2 3 2" xfId="2433"/>
    <cellStyle name="20% - Accent1 2 3 2 3 3" xfId="3711"/>
    <cellStyle name="20% - Accent1 2 3 2 3 4" xfId="4998"/>
    <cellStyle name="20% - Accent1 2 3 2 4" xfId="1581"/>
    <cellStyle name="20% - Accent1 2 3 2 5" xfId="2859"/>
    <cellStyle name="20% - Accent1 2 3 2 6" xfId="4146"/>
    <cellStyle name="20% - Accent1 2 3 3" xfId="502"/>
    <cellStyle name="20% - Accent1 2 3 3 2" xfId="1794"/>
    <cellStyle name="20% - Accent1 2 3 3 3" xfId="3072"/>
    <cellStyle name="20% - Accent1 2 3 3 4" xfId="4359"/>
    <cellStyle name="20% - Accent1 2 3 4" xfId="928"/>
    <cellStyle name="20% - Accent1 2 3 4 2" xfId="2220"/>
    <cellStyle name="20% - Accent1 2 3 4 3" xfId="3498"/>
    <cellStyle name="20% - Accent1 2 3 4 4" xfId="4785"/>
    <cellStyle name="20% - Accent1 2 3 5" xfId="1368"/>
    <cellStyle name="20% - Accent1 2 3 6" xfId="2646"/>
    <cellStyle name="20% - Accent1 2 3 7" xfId="3933"/>
    <cellStyle name="20% - Accent1 2 3 8" xfId="5211"/>
    <cellStyle name="20% - Accent1 2 4" xfId="87"/>
    <cellStyle name="20% - Accent1 2 4 2" xfId="290"/>
    <cellStyle name="20% - Accent1 2 4 2 2" xfId="716"/>
    <cellStyle name="20% - Accent1 2 4 2 2 2" xfId="2008"/>
    <cellStyle name="20% - Accent1 2 4 2 2 3" xfId="3286"/>
    <cellStyle name="20% - Accent1 2 4 2 2 4" xfId="4573"/>
    <cellStyle name="20% - Accent1 2 4 2 3" xfId="1142"/>
    <cellStyle name="20% - Accent1 2 4 2 3 2" xfId="2434"/>
    <cellStyle name="20% - Accent1 2 4 2 3 3" xfId="3712"/>
    <cellStyle name="20% - Accent1 2 4 2 3 4" xfId="4999"/>
    <cellStyle name="20% - Accent1 2 4 2 4" xfId="1582"/>
    <cellStyle name="20% - Accent1 2 4 2 5" xfId="2860"/>
    <cellStyle name="20% - Accent1 2 4 2 6" xfId="4147"/>
    <cellStyle name="20% - Accent1 2 4 3" xfId="503"/>
    <cellStyle name="20% - Accent1 2 4 3 2" xfId="1795"/>
    <cellStyle name="20% - Accent1 2 4 3 3" xfId="3073"/>
    <cellStyle name="20% - Accent1 2 4 3 4" xfId="4360"/>
    <cellStyle name="20% - Accent1 2 4 4" xfId="929"/>
    <cellStyle name="20% - Accent1 2 4 4 2" xfId="2221"/>
    <cellStyle name="20% - Accent1 2 4 4 3" xfId="3499"/>
    <cellStyle name="20% - Accent1 2 4 4 4" xfId="4786"/>
    <cellStyle name="20% - Accent1 2 4 5" xfId="1369"/>
    <cellStyle name="20% - Accent1 2 4 6" xfId="2647"/>
    <cellStyle name="20% - Accent1 2 4 7" xfId="3934"/>
    <cellStyle name="20% - Accent1 2 5" xfId="88"/>
    <cellStyle name="20% - Accent1 2 5 2" xfId="291"/>
    <cellStyle name="20% - Accent1 2 5 2 2" xfId="717"/>
    <cellStyle name="20% - Accent1 2 5 2 2 2" xfId="2009"/>
    <cellStyle name="20% - Accent1 2 5 2 2 3" xfId="3287"/>
    <cellStyle name="20% - Accent1 2 5 2 2 4" xfId="4574"/>
    <cellStyle name="20% - Accent1 2 5 2 3" xfId="1143"/>
    <cellStyle name="20% - Accent1 2 5 2 3 2" xfId="2435"/>
    <cellStyle name="20% - Accent1 2 5 2 3 3" xfId="3713"/>
    <cellStyle name="20% - Accent1 2 5 2 3 4" xfId="5000"/>
    <cellStyle name="20% - Accent1 2 5 2 4" xfId="1583"/>
    <cellStyle name="20% - Accent1 2 5 2 5" xfId="2861"/>
    <cellStyle name="20% - Accent1 2 5 2 6" xfId="4148"/>
    <cellStyle name="20% - Accent1 2 5 3" xfId="504"/>
    <cellStyle name="20% - Accent1 2 5 3 2" xfId="1796"/>
    <cellStyle name="20% - Accent1 2 5 3 3" xfId="3074"/>
    <cellStyle name="20% - Accent1 2 5 3 4" xfId="4361"/>
    <cellStyle name="20% - Accent1 2 5 4" xfId="930"/>
    <cellStyle name="20% - Accent1 2 5 4 2" xfId="2222"/>
    <cellStyle name="20% - Accent1 2 5 4 3" xfId="3500"/>
    <cellStyle name="20% - Accent1 2 5 4 4" xfId="4787"/>
    <cellStyle name="20% - Accent1 2 5 5" xfId="1370"/>
    <cellStyle name="20% - Accent1 2 5 6" xfId="2648"/>
    <cellStyle name="20% - Accent1 2 5 7" xfId="3935"/>
    <cellStyle name="20% - Accent1 2 6" xfId="270"/>
    <cellStyle name="20% - Accent1 2 6 2" xfId="483"/>
    <cellStyle name="20% - Accent1 2 6 2 2" xfId="908"/>
    <cellStyle name="20% - Accent1 2 6 2 2 2" xfId="2200"/>
    <cellStyle name="20% - Accent1 2 6 2 2 3" xfId="3478"/>
    <cellStyle name="20% - Accent1 2 6 2 2 4" xfId="4765"/>
    <cellStyle name="20% - Accent1 2 6 2 3" xfId="1334"/>
    <cellStyle name="20% - Accent1 2 6 2 3 2" xfId="2626"/>
    <cellStyle name="20% - Accent1 2 6 2 3 3" xfId="3904"/>
    <cellStyle name="20% - Accent1 2 6 2 3 4" xfId="5191"/>
    <cellStyle name="20% - Accent1 2 6 2 4" xfId="1774"/>
    <cellStyle name="20% - Accent1 2 6 2 5" xfId="3052"/>
    <cellStyle name="20% - Accent1 2 6 2 6" xfId="4339"/>
    <cellStyle name="20% - Accent1 2 6 3" xfId="695"/>
    <cellStyle name="20% - Accent1 2 6 3 2" xfId="1987"/>
    <cellStyle name="20% - Accent1 2 6 3 3" xfId="3265"/>
    <cellStyle name="20% - Accent1 2 6 3 4" xfId="4552"/>
    <cellStyle name="20% - Accent1 2 6 4" xfId="1121"/>
    <cellStyle name="20% - Accent1 2 6 4 2" xfId="2413"/>
    <cellStyle name="20% - Accent1 2 6 4 3" xfId="3691"/>
    <cellStyle name="20% - Accent1 2 6 4 4" xfId="4978"/>
    <cellStyle name="20% - Accent1 2 6 5" xfId="1561"/>
    <cellStyle name="20% - Accent1 2 6 6" xfId="2839"/>
    <cellStyle name="20% - Accent1 2 6 7" xfId="4126"/>
    <cellStyle name="20% - Accent1 2 7" xfId="286"/>
    <cellStyle name="20% - Accent1 2 7 2" xfId="712"/>
    <cellStyle name="20% - Accent1 2 7 2 2" xfId="2004"/>
    <cellStyle name="20% - Accent1 2 7 2 3" xfId="3282"/>
    <cellStyle name="20% - Accent1 2 7 2 4" xfId="4569"/>
    <cellStyle name="20% - Accent1 2 7 3" xfId="1138"/>
    <cellStyle name="20% - Accent1 2 7 3 2" xfId="2430"/>
    <cellStyle name="20% - Accent1 2 7 3 3" xfId="3708"/>
    <cellStyle name="20% - Accent1 2 7 3 4" xfId="4995"/>
    <cellStyle name="20% - Accent1 2 7 4" xfId="1578"/>
    <cellStyle name="20% - Accent1 2 7 5" xfId="2856"/>
    <cellStyle name="20% - Accent1 2 7 6" xfId="4143"/>
    <cellStyle name="20% - Accent1 2 8" xfId="499"/>
    <cellStyle name="20% - Accent1 2 8 2" xfId="1791"/>
    <cellStyle name="20% - Accent1 2 8 3" xfId="3069"/>
    <cellStyle name="20% - Accent1 2 8 4" xfId="4356"/>
    <cellStyle name="20% - Accent1 2 9" xfId="925"/>
    <cellStyle name="20% - Accent1 2 9 2" xfId="2217"/>
    <cellStyle name="20% - Accent1 2 9 3" xfId="3495"/>
    <cellStyle name="20% - Accent1 2 9 4" xfId="4782"/>
    <cellStyle name="20% - Accent1 3" xfId="89"/>
    <cellStyle name="20% - Accent1 3 2" xfId="90"/>
    <cellStyle name="20% - Accent1 3 2 2" xfId="293"/>
    <cellStyle name="20% - Accent1 3 2 2 2" xfId="719"/>
    <cellStyle name="20% - Accent1 3 2 2 2 2" xfId="2011"/>
    <cellStyle name="20% - Accent1 3 2 2 2 3" xfId="3289"/>
    <cellStyle name="20% - Accent1 3 2 2 2 4" xfId="4576"/>
    <cellStyle name="20% - Accent1 3 2 2 3" xfId="1145"/>
    <cellStyle name="20% - Accent1 3 2 2 3 2" xfId="2437"/>
    <cellStyle name="20% - Accent1 3 2 2 3 3" xfId="3715"/>
    <cellStyle name="20% - Accent1 3 2 2 3 4" xfId="5002"/>
    <cellStyle name="20% - Accent1 3 2 2 4" xfId="1585"/>
    <cellStyle name="20% - Accent1 3 2 2 5" xfId="2863"/>
    <cellStyle name="20% - Accent1 3 2 2 6" xfId="4150"/>
    <cellStyle name="20% - Accent1 3 2 3" xfId="506"/>
    <cellStyle name="20% - Accent1 3 2 3 2" xfId="1798"/>
    <cellStyle name="20% - Accent1 3 2 3 3" xfId="3076"/>
    <cellStyle name="20% - Accent1 3 2 3 4" xfId="4363"/>
    <cellStyle name="20% - Accent1 3 2 4" xfId="932"/>
    <cellStyle name="20% - Accent1 3 2 4 2" xfId="2224"/>
    <cellStyle name="20% - Accent1 3 2 4 3" xfId="3502"/>
    <cellStyle name="20% - Accent1 3 2 4 4" xfId="4789"/>
    <cellStyle name="20% - Accent1 3 2 5" xfId="1372"/>
    <cellStyle name="20% - Accent1 3 2 6" xfId="2650"/>
    <cellStyle name="20% - Accent1 3 2 7" xfId="3937"/>
    <cellStyle name="20% - Accent1 3 2 8" xfId="5213"/>
    <cellStyle name="20% - Accent1 3 3" xfId="292"/>
    <cellStyle name="20% - Accent1 3 3 2" xfId="718"/>
    <cellStyle name="20% - Accent1 3 3 2 2" xfId="2010"/>
    <cellStyle name="20% - Accent1 3 3 2 3" xfId="3288"/>
    <cellStyle name="20% - Accent1 3 3 2 4" xfId="4575"/>
    <cellStyle name="20% - Accent1 3 3 3" xfId="1144"/>
    <cellStyle name="20% - Accent1 3 3 3 2" xfId="2436"/>
    <cellStyle name="20% - Accent1 3 3 3 3" xfId="3714"/>
    <cellStyle name="20% - Accent1 3 3 3 4" xfId="5001"/>
    <cellStyle name="20% - Accent1 3 3 4" xfId="1584"/>
    <cellStyle name="20% - Accent1 3 3 5" xfId="2862"/>
    <cellStyle name="20% - Accent1 3 3 6" xfId="4149"/>
    <cellStyle name="20% - Accent1 3 4" xfId="505"/>
    <cellStyle name="20% - Accent1 3 4 2" xfId="1797"/>
    <cellStyle name="20% - Accent1 3 4 3" xfId="3075"/>
    <cellStyle name="20% - Accent1 3 4 4" xfId="4362"/>
    <cellStyle name="20% - Accent1 3 5" xfId="931"/>
    <cellStyle name="20% - Accent1 3 5 2" xfId="2223"/>
    <cellStyle name="20% - Accent1 3 5 3" xfId="3501"/>
    <cellStyle name="20% - Accent1 3 5 4" xfId="4788"/>
    <cellStyle name="20% - Accent1 3 6" xfId="1371"/>
    <cellStyle name="20% - Accent1 3 7" xfId="2649"/>
    <cellStyle name="20% - Accent1 3 8" xfId="3936"/>
    <cellStyle name="20% - Accent1 3 9" xfId="5212"/>
    <cellStyle name="20% - Accent1 4" xfId="91"/>
    <cellStyle name="20% - Accent1 4 2" xfId="294"/>
    <cellStyle name="20% - Accent1 4 2 2" xfId="720"/>
    <cellStyle name="20% - Accent1 4 2 2 2" xfId="2012"/>
    <cellStyle name="20% - Accent1 4 2 2 3" xfId="3290"/>
    <cellStyle name="20% - Accent1 4 2 2 4" xfId="4577"/>
    <cellStyle name="20% - Accent1 4 2 3" xfId="1146"/>
    <cellStyle name="20% - Accent1 4 2 3 2" xfId="2438"/>
    <cellStyle name="20% - Accent1 4 2 3 3" xfId="3716"/>
    <cellStyle name="20% - Accent1 4 2 3 4" xfId="5003"/>
    <cellStyle name="20% - Accent1 4 2 4" xfId="1586"/>
    <cellStyle name="20% - Accent1 4 2 5" xfId="2864"/>
    <cellStyle name="20% - Accent1 4 2 6" xfId="4151"/>
    <cellStyle name="20% - Accent1 4 3" xfId="507"/>
    <cellStyle name="20% - Accent1 4 3 2" xfId="1799"/>
    <cellStyle name="20% - Accent1 4 3 3" xfId="3077"/>
    <cellStyle name="20% - Accent1 4 3 4" xfId="4364"/>
    <cellStyle name="20% - Accent1 4 4" xfId="933"/>
    <cellStyle name="20% - Accent1 4 4 2" xfId="2225"/>
    <cellStyle name="20% - Accent1 4 4 3" xfId="3503"/>
    <cellStyle name="20% - Accent1 4 4 4" xfId="4790"/>
    <cellStyle name="20% - Accent1 4 5" xfId="1373"/>
    <cellStyle name="20% - Accent1 4 6" xfId="2651"/>
    <cellStyle name="20% - Accent1 4 7" xfId="3938"/>
    <cellStyle name="20% - Accent1 4 8" xfId="5214"/>
    <cellStyle name="20% - Accent1 5" xfId="92"/>
    <cellStyle name="20% - Accent1 5 2" xfId="295"/>
    <cellStyle name="20% - Accent1 5 2 2" xfId="721"/>
    <cellStyle name="20% - Accent1 5 2 2 2" xfId="2013"/>
    <cellStyle name="20% - Accent1 5 2 2 3" xfId="3291"/>
    <cellStyle name="20% - Accent1 5 2 2 4" xfId="4578"/>
    <cellStyle name="20% - Accent1 5 2 3" xfId="1147"/>
    <cellStyle name="20% - Accent1 5 2 3 2" xfId="2439"/>
    <cellStyle name="20% - Accent1 5 2 3 3" xfId="3717"/>
    <cellStyle name="20% - Accent1 5 2 3 4" xfId="5004"/>
    <cellStyle name="20% - Accent1 5 2 4" xfId="1587"/>
    <cellStyle name="20% - Accent1 5 2 5" xfId="2865"/>
    <cellStyle name="20% - Accent1 5 2 6" xfId="4152"/>
    <cellStyle name="20% - Accent1 5 3" xfId="508"/>
    <cellStyle name="20% - Accent1 5 3 2" xfId="1800"/>
    <cellStyle name="20% - Accent1 5 3 3" xfId="3078"/>
    <cellStyle name="20% - Accent1 5 3 4" xfId="4365"/>
    <cellStyle name="20% - Accent1 5 4" xfId="934"/>
    <cellStyle name="20% - Accent1 5 4 2" xfId="2226"/>
    <cellStyle name="20% - Accent1 5 4 3" xfId="3504"/>
    <cellStyle name="20% - Accent1 5 4 4" xfId="4791"/>
    <cellStyle name="20% - Accent1 5 5" xfId="1374"/>
    <cellStyle name="20% - Accent1 5 6" xfId="2652"/>
    <cellStyle name="20% - Accent1 5 7" xfId="3939"/>
    <cellStyle name="20% - Accent1 6" xfId="93"/>
    <cellStyle name="20% - Accent1 6 2" xfId="296"/>
    <cellStyle name="20% - Accent1 6 2 2" xfId="722"/>
    <cellStyle name="20% - Accent1 6 2 2 2" xfId="2014"/>
    <cellStyle name="20% - Accent1 6 2 2 3" xfId="3292"/>
    <cellStyle name="20% - Accent1 6 2 2 4" xfId="4579"/>
    <cellStyle name="20% - Accent1 6 2 3" xfId="1148"/>
    <cellStyle name="20% - Accent1 6 2 3 2" xfId="2440"/>
    <cellStyle name="20% - Accent1 6 2 3 3" xfId="3718"/>
    <cellStyle name="20% - Accent1 6 2 3 4" xfId="5005"/>
    <cellStyle name="20% - Accent1 6 2 4" xfId="1588"/>
    <cellStyle name="20% - Accent1 6 2 5" xfId="2866"/>
    <cellStyle name="20% - Accent1 6 2 6" xfId="4153"/>
    <cellStyle name="20% - Accent1 6 3" xfId="509"/>
    <cellStyle name="20% - Accent1 6 3 2" xfId="1801"/>
    <cellStyle name="20% - Accent1 6 3 3" xfId="3079"/>
    <cellStyle name="20% - Accent1 6 3 4" xfId="4366"/>
    <cellStyle name="20% - Accent1 6 4" xfId="935"/>
    <cellStyle name="20% - Accent1 6 4 2" xfId="2227"/>
    <cellStyle name="20% - Accent1 6 4 3" xfId="3505"/>
    <cellStyle name="20% - Accent1 6 4 4" xfId="4792"/>
    <cellStyle name="20% - Accent1 6 5" xfId="1375"/>
    <cellStyle name="20% - Accent1 6 6" xfId="2653"/>
    <cellStyle name="20% - Accent1 6 7" xfId="3940"/>
    <cellStyle name="20% - Accent1 7" xfId="255"/>
    <cellStyle name="20% - Accent1 7 2" xfId="468"/>
    <cellStyle name="20% - Accent1 7 2 2" xfId="893"/>
    <cellStyle name="20% - Accent1 7 2 2 2" xfId="2185"/>
    <cellStyle name="20% - Accent1 7 2 2 3" xfId="3463"/>
    <cellStyle name="20% - Accent1 7 2 2 4" xfId="4750"/>
    <cellStyle name="20% - Accent1 7 2 3" xfId="1319"/>
    <cellStyle name="20% - Accent1 7 2 3 2" xfId="2611"/>
    <cellStyle name="20% - Accent1 7 2 3 3" xfId="3889"/>
    <cellStyle name="20% - Accent1 7 2 3 4" xfId="5176"/>
    <cellStyle name="20% - Accent1 7 2 4" xfId="1759"/>
    <cellStyle name="20% - Accent1 7 2 5" xfId="3037"/>
    <cellStyle name="20% - Accent1 7 2 6" xfId="4324"/>
    <cellStyle name="20% - Accent1 7 3" xfId="680"/>
    <cellStyle name="20% - Accent1 7 3 2" xfId="1972"/>
    <cellStyle name="20% - Accent1 7 3 3" xfId="3250"/>
    <cellStyle name="20% - Accent1 7 3 4" xfId="4537"/>
    <cellStyle name="20% - Accent1 7 4" xfId="1106"/>
    <cellStyle name="20% - Accent1 7 4 2" xfId="2398"/>
    <cellStyle name="20% - Accent1 7 4 3" xfId="3676"/>
    <cellStyle name="20% - Accent1 7 4 4" xfId="4963"/>
    <cellStyle name="20% - Accent1 7 5" xfId="1546"/>
    <cellStyle name="20% - Accent1 7 6" xfId="2824"/>
    <cellStyle name="20% - Accent1 7 7" xfId="4111"/>
    <cellStyle name="20% - Accent1 8" xfId="285"/>
    <cellStyle name="20% - Accent1 8 2" xfId="711"/>
    <cellStyle name="20% - Accent1 8 2 2" xfId="2003"/>
    <cellStyle name="20% - Accent1 8 2 3" xfId="3281"/>
    <cellStyle name="20% - Accent1 8 2 4" xfId="4568"/>
    <cellStyle name="20% - Accent1 8 3" xfId="1137"/>
    <cellStyle name="20% - Accent1 8 3 2" xfId="2429"/>
    <cellStyle name="20% - Accent1 8 3 3" xfId="3707"/>
    <cellStyle name="20% - Accent1 8 3 4" xfId="4994"/>
    <cellStyle name="20% - Accent1 8 4" xfId="1577"/>
    <cellStyle name="20% - Accent1 8 5" xfId="2855"/>
    <cellStyle name="20% - Accent1 8 6" xfId="4142"/>
    <cellStyle name="20% - Accent1 9" xfId="498"/>
    <cellStyle name="20% - Accent1 9 2" xfId="1790"/>
    <cellStyle name="20% - Accent1 9 3" xfId="3068"/>
    <cellStyle name="20% - Accent1 9 4" xfId="4355"/>
    <cellStyle name="20% - Accent2" xfId="63" builtinId="34" customBuiltin="1"/>
    <cellStyle name="20% - Accent2 10" xfId="936"/>
    <cellStyle name="20% - Accent2 10 2" xfId="2228"/>
    <cellStyle name="20% - Accent2 10 3" xfId="3506"/>
    <cellStyle name="20% - Accent2 10 4" xfId="4793"/>
    <cellStyle name="20% - Accent2 11" xfId="1376"/>
    <cellStyle name="20% - Accent2 12" xfId="2654"/>
    <cellStyle name="20% - Accent2 13" xfId="3941"/>
    <cellStyle name="20% - Accent2 14" xfId="5215"/>
    <cellStyle name="20% - Accent2 2" xfId="11"/>
    <cellStyle name="20% - Accent2 2 10" xfId="1377"/>
    <cellStyle name="20% - Accent2 2 11" xfId="2655"/>
    <cellStyle name="20% - Accent2 2 12" xfId="3942"/>
    <cellStyle name="20% - Accent2 2 13" xfId="5216"/>
    <cellStyle name="20% - Accent2 2 2" xfId="94"/>
    <cellStyle name="20% - Accent2 2 2 2" xfId="95"/>
    <cellStyle name="20% - Accent2 2 2 2 2" xfId="300"/>
    <cellStyle name="20% - Accent2 2 2 2 2 2" xfId="726"/>
    <cellStyle name="20% - Accent2 2 2 2 2 2 2" xfId="2018"/>
    <cellStyle name="20% - Accent2 2 2 2 2 2 3" xfId="3296"/>
    <cellStyle name="20% - Accent2 2 2 2 2 2 4" xfId="4583"/>
    <cellStyle name="20% - Accent2 2 2 2 2 3" xfId="1152"/>
    <cellStyle name="20% - Accent2 2 2 2 2 3 2" xfId="2444"/>
    <cellStyle name="20% - Accent2 2 2 2 2 3 3" xfId="3722"/>
    <cellStyle name="20% - Accent2 2 2 2 2 3 4" xfId="5009"/>
    <cellStyle name="20% - Accent2 2 2 2 2 4" xfId="1592"/>
    <cellStyle name="20% - Accent2 2 2 2 2 5" xfId="2870"/>
    <cellStyle name="20% - Accent2 2 2 2 2 6" xfId="4157"/>
    <cellStyle name="20% - Accent2 2 2 2 3" xfId="513"/>
    <cellStyle name="20% - Accent2 2 2 2 3 2" xfId="1805"/>
    <cellStyle name="20% - Accent2 2 2 2 3 3" xfId="3083"/>
    <cellStyle name="20% - Accent2 2 2 2 3 4" xfId="4370"/>
    <cellStyle name="20% - Accent2 2 2 2 4" xfId="939"/>
    <cellStyle name="20% - Accent2 2 2 2 4 2" xfId="2231"/>
    <cellStyle name="20% - Accent2 2 2 2 4 3" xfId="3509"/>
    <cellStyle name="20% - Accent2 2 2 2 4 4" xfId="4796"/>
    <cellStyle name="20% - Accent2 2 2 2 5" xfId="1379"/>
    <cellStyle name="20% - Accent2 2 2 2 6" xfId="2657"/>
    <cellStyle name="20% - Accent2 2 2 2 7" xfId="3944"/>
    <cellStyle name="20% - Accent2 2 2 2 8" xfId="5218"/>
    <cellStyle name="20% - Accent2 2 2 3" xfId="299"/>
    <cellStyle name="20% - Accent2 2 2 3 2" xfId="725"/>
    <cellStyle name="20% - Accent2 2 2 3 2 2" xfId="2017"/>
    <cellStyle name="20% - Accent2 2 2 3 2 3" xfId="3295"/>
    <cellStyle name="20% - Accent2 2 2 3 2 4" xfId="4582"/>
    <cellStyle name="20% - Accent2 2 2 3 3" xfId="1151"/>
    <cellStyle name="20% - Accent2 2 2 3 3 2" xfId="2443"/>
    <cellStyle name="20% - Accent2 2 2 3 3 3" xfId="3721"/>
    <cellStyle name="20% - Accent2 2 2 3 3 4" xfId="5008"/>
    <cellStyle name="20% - Accent2 2 2 3 4" xfId="1591"/>
    <cellStyle name="20% - Accent2 2 2 3 5" xfId="2869"/>
    <cellStyle name="20% - Accent2 2 2 3 6" xfId="4156"/>
    <cellStyle name="20% - Accent2 2 2 4" xfId="512"/>
    <cellStyle name="20% - Accent2 2 2 4 2" xfId="1804"/>
    <cellStyle name="20% - Accent2 2 2 4 3" xfId="3082"/>
    <cellStyle name="20% - Accent2 2 2 4 4" xfId="4369"/>
    <cellStyle name="20% - Accent2 2 2 5" xfId="938"/>
    <cellStyle name="20% - Accent2 2 2 5 2" xfId="2230"/>
    <cellStyle name="20% - Accent2 2 2 5 3" xfId="3508"/>
    <cellStyle name="20% - Accent2 2 2 5 4" xfId="4795"/>
    <cellStyle name="20% - Accent2 2 2 6" xfId="1378"/>
    <cellStyle name="20% - Accent2 2 2 7" xfId="2656"/>
    <cellStyle name="20% - Accent2 2 2 8" xfId="3943"/>
    <cellStyle name="20% - Accent2 2 2 9" xfId="5217"/>
    <cellStyle name="20% - Accent2 2 3" xfId="96"/>
    <cellStyle name="20% - Accent2 2 3 2" xfId="301"/>
    <cellStyle name="20% - Accent2 2 3 2 2" xfId="727"/>
    <cellStyle name="20% - Accent2 2 3 2 2 2" xfId="2019"/>
    <cellStyle name="20% - Accent2 2 3 2 2 3" xfId="3297"/>
    <cellStyle name="20% - Accent2 2 3 2 2 4" xfId="4584"/>
    <cellStyle name="20% - Accent2 2 3 2 3" xfId="1153"/>
    <cellStyle name="20% - Accent2 2 3 2 3 2" xfId="2445"/>
    <cellStyle name="20% - Accent2 2 3 2 3 3" xfId="3723"/>
    <cellStyle name="20% - Accent2 2 3 2 3 4" xfId="5010"/>
    <cellStyle name="20% - Accent2 2 3 2 4" xfId="1593"/>
    <cellStyle name="20% - Accent2 2 3 2 5" xfId="2871"/>
    <cellStyle name="20% - Accent2 2 3 2 6" xfId="4158"/>
    <cellStyle name="20% - Accent2 2 3 3" xfId="514"/>
    <cellStyle name="20% - Accent2 2 3 3 2" xfId="1806"/>
    <cellStyle name="20% - Accent2 2 3 3 3" xfId="3084"/>
    <cellStyle name="20% - Accent2 2 3 3 4" xfId="4371"/>
    <cellStyle name="20% - Accent2 2 3 4" xfId="940"/>
    <cellStyle name="20% - Accent2 2 3 4 2" xfId="2232"/>
    <cellStyle name="20% - Accent2 2 3 4 3" xfId="3510"/>
    <cellStyle name="20% - Accent2 2 3 4 4" xfId="4797"/>
    <cellStyle name="20% - Accent2 2 3 5" xfId="1380"/>
    <cellStyle name="20% - Accent2 2 3 6" xfId="2658"/>
    <cellStyle name="20% - Accent2 2 3 7" xfId="3945"/>
    <cellStyle name="20% - Accent2 2 3 8" xfId="5219"/>
    <cellStyle name="20% - Accent2 2 4" xfId="97"/>
    <cellStyle name="20% - Accent2 2 4 2" xfId="302"/>
    <cellStyle name="20% - Accent2 2 4 2 2" xfId="728"/>
    <cellStyle name="20% - Accent2 2 4 2 2 2" xfId="2020"/>
    <cellStyle name="20% - Accent2 2 4 2 2 3" xfId="3298"/>
    <cellStyle name="20% - Accent2 2 4 2 2 4" xfId="4585"/>
    <cellStyle name="20% - Accent2 2 4 2 3" xfId="1154"/>
    <cellStyle name="20% - Accent2 2 4 2 3 2" xfId="2446"/>
    <cellStyle name="20% - Accent2 2 4 2 3 3" xfId="3724"/>
    <cellStyle name="20% - Accent2 2 4 2 3 4" xfId="5011"/>
    <cellStyle name="20% - Accent2 2 4 2 4" xfId="1594"/>
    <cellStyle name="20% - Accent2 2 4 2 5" xfId="2872"/>
    <cellStyle name="20% - Accent2 2 4 2 6" xfId="4159"/>
    <cellStyle name="20% - Accent2 2 4 3" xfId="515"/>
    <cellStyle name="20% - Accent2 2 4 3 2" xfId="1807"/>
    <cellStyle name="20% - Accent2 2 4 3 3" xfId="3085"/>
    <cellStyle name="20% - Accent2 2 4 3 4" xfId="4372"/>
    <cellStyle name="20% - Accent2 2 4 4" xfId="941"/>
    <cellStyle name="20% - Accent2 2 4 4 2" xfId="2233"/>
    <cellStyle name="20% - Accent2 2 4 4 3" xfId="3511"/>
    <cellStyle name="20% - Accent2 2 4 4 4" xfId="4798"/>
    <cellStyle name="20% - Accent2 2 4 5" xfId="1381"/>
    <cellStyle name="20% - Accent2 2 4 6" xfId="2659"/>
    <cellStyle name="20% - Accent2 2 4 7" xfId="3946"/>
    <cellStyle name="20% - Accent2 2 5" xfId="98"/>
    <cellStyle name="20% - Accent2 2 5 2" xfId="303"/>
    <cellStyle name="20% - Accent2 2 5 2 2" xfId="729"/>
    <cellStyle name="20% - Accent2 2 5 2 2 2" xfId="2021"/>
    <cellStyle name="20% - Accent2 2 5 2 2 3" xfId="3299"/>
    <cellStyle name="20% - Accent2 2 5 2 2 4" xfId="4586"/>
    <cellStyle name="20% - Accent2 2 5 2 3" xfId="1155"/>
    <cellStyle name="20% - Accent2 2 5 2 3 2" xfId="2447"/>
    <cellStyle name="20% - Accent2 2 5 2 3 3" xfId="3725"/>
    <cellStyle name="20% - Accent2 2 5 2 3 4" xfId="5012"/>
    <cellStyle name="20% - Accent2 2 5 2 4" xfId="1595"/>
    <cellStyle name="20% - Accent2 2 5 2 5" xfId="2873"/>
    <cellStyle name="20% - Accent2 2 5 2 6" xfId="4160"/>
    <cellStyle name="20% - Accent2 2 5 3" xfId="516"/>
    <cellStyle name="20% - Accent2 2 5 3 2" xfId="1808"/>
    <cellStyle name="20% - Accent2 2 5 3 3" xfId="3086"/>
    <cellStyle name="20% - Accent2 2 5 3 4" xfId="4373"/>
    <cellStyle name="20% - Accent2 2 5 4" xfId="942"/>
    <cellStyle name="20% - Accent2 2 5 4 2" xfId="2234"/>
    <cellStyle name="20% - Accent2 2 5 4 3" xfId="3512"/>
    <cellStyle name="20% - Accent2 2 5 4 4" xfId="4799"/>
    <cellStyle name="20% - Accent2 2 5 5" xfId="1382"/>
    <cellStyle name="20% - Accent2 2 5 6" xfId="2660"/>
    <cellStyle name="20% - Accent2 2 5 7" xfId="3947"/>
    <cellStyle name="20% - Accent2 2 6" xfId="272"/>
    <cellStyle name="20% - Accent2 2 6 2" xfId="485"/>
    <cellStyle name="20% - Accent2 2 6 2 2" xfId="910"/>
    <cellStyle name="20% - Accent2 2 6 2 2 2" xfId="2202"/>
    <cellStyle name="20% - Accent2 2 6 2 2 3" xfId="3480"/>
    <cellStyle name="20% - Accent2 2 6 2 2 4" xfId="4767"/>
    <cellStyle name="20% - Accent2 2 6 2 3" xfId="1336"/>
    <cellStyle name="20% - Accent2 2 6 2 3 2" xfId="2628"/>
    <cellStyle name="20% - Accent2 2 6 2 3 3" xfId="3906"/>
    <cellStyle name="20% - Accent2 2 6 2 3 4" xfId="5193"/>
    <cellStyle name="20% - Accent2 2 6 2 4" xfId="1776"/>
    <cellStyle name="20% - Accent2 2 6 2 5" xfId="3054"/>
    <cellStyle name="20% - Accent2 2 6 2 6" xfId="4341"/>
    <cellStyle name="20% - Accent2 2 6 3" xfId="697"/>
    <cellStyle name="20% - Accent2 2 6 3 2" xfId="1989"/>
    <cellStyle name="20% - Accent2 2 6 3 3" xfId="3267"/>
    <cellStyle name="20% - Accent2 2 6 3 4" xfId="4554"/>
    <cellStyle name="20% - Accent2 2 6 4" xfId="1123"/>
    <cellStyle name="20% - Accent2 2 6 4 2" xfId="2415"/>
    <cellStyle name="20% - Accent2 2 6 4 3" xfId="3693"/>
    <cellStyle name="20% - Accent2 2 6 4 4" xfId="4980"/>
    <cellStyle name="20% - Accent2 2 6 5" xfId="1563"/>
    <cellStyle name="20% - Accent2 2 6 6" xfId="2841"/>
    <cellStyle name="20% - Accent2 2 6 7" xfId="4128"/>
    <cellStyle name="20% - Accent2 2 7" xfId="298"/>
    <cellStyle name="20% - Accent2 2 7 2" xfId="724"/>
    <cellStyle name="20% - Accent2 2 7 2 2" xfId="2016"/>
    <cellStyle name="20% - Accent2 2 7 2 3" xfId="3294"/>
    <cellStyle name="20% - Accent2 2 7 2 4" xfId="4581"/>
    <cellStyle name="20% - Accent2 2 7 3" xfId="1150"/>
    <cellStyle name="20% - Accent2 2 7 3 2" xfId="2442"/>
    <cellStyle name="20% - Accent2 2 7 3 3" xfId="3720"/>
    <cellStyle name="20% - Accent2 2 7 3 4" xfId="5007"/>
    <cellStyle name="20% - Accent2 2 7 4" xfId="1590"/>
    <cellStyle name="20% - Accent2 2 7 5" xfId="2868"/>
    <cellStyle name="20% - Accent2 2 7 6" xfId="4155"/>
    <cellStyle name="20% - Accent2 2 8" xfId="511"/>
    <cellStyle name="20% - Accent2 2 8 2" xfId="1803"/>
    <cellStyle name="20% - Accent2 2 8 3" xfId="3081"/>
    <cellStyle name="20% - Accent2 2 8 4" xfId="4368"/>
    <cellStyle name="20% - Accent2 2 9" xfId="937"/>
    <cellStyle name="20% - Accent2 2 9 2" xfId="2229"/>
    <cellStyle name="20% - Accent2 2 9 3" xfId="3507"/>
    <cellStyle name="20% - Accent2 2 9 4" xfId="4794"/>
    <cellStyle name="20% - Accent2 3" xfId="99"/>
    <cellStyle name="20% - Accent2 3 2" xfId="100"/>
    <cellStyle name="20% - Accent2 3 2 2" xfId="305"/>
    <cellStyle name="20% - Accent2 3 2 2 2" xfId="731"/>
    <cellStyle name="20% - Accent2 3 2 2 2 2" xfId="2023"/>
    <cellStyle name="20% - Accent2 3 2 2 2 3" xfId="3301"/>
    <cellStyle name="20% - Accent2 3 2 2 2 4" xfId="4588"/>
    <cellStyle name="20% - Accent2 3 2 2 3" xfId="1157"/>
    <cellStyle name="20% - Accent2 3 2 2 3 2" xfId="2449"/>
    <cellStyle name="20% - Accent2 3 2 2 3 3" xfId="3727"/>
    <cellStyle name="20% - Accent2 3 2 2 3 4" xfId="5014"/>
    <cellStyle name="20% - Accent2 3 2 2 4" xfId="1597"/>
    <cellStyle name="20% - Accent2 3 2 2 5" xfId="2875"/>
    <cellStyle name="20% - Accent2 3 2 2 6" xfId="4162"/>
    <cellStyle name="20% - Accent2 3 2 3" xfId="518"/>
    <cellStyle name="20% - Accent2 3 2 3 2" xfId="1810"/>
    <cellStyle name="20% - Accent2 3 2 3 3" xfId="3088"/>
    <cellStyle name="20% - Accent2 3 2 3 4" xfId="4375"/>
    <cellStyle name="20% - Accent2 3 2 4" xfId="944"/>
    <cellStyle name="20% - Accent2 3 2 4 2" xfId="2236"/>
    <cellStyle name="20% - Accent2 3 2 4 3" xfId="3514"/>
    <cellStyle name="20% - Accent2 3 2 4 4" xfId="4801"/>
    <cellStyle name="20% - Accent2 3 2 5" xfId="1384"/>
    <cellStyle name="20% - Accent2 3 2 6" xfId="2662"/>
    <cellStyle name="20% - Accent2 3 2 7" xfId="3949"/>
    <cellStyle name="20% - Accent2 3 2 8" xfId="5221"/>
    <cellStyle name="20% - Accent2 3 3" xfId="304"/>
    <cellStyle name="20% - Accent2 3 3 2" xfId="730"/>
    <cellStyle name="20% - Accent2 3 3 2 2" xfId="2022"/>
    <cellStyle name="20% - Accent2 3 3 2 3" xfId="3300"/>
    <cellStyle name="20% - Accent2 3 3 2 4" xfId="4587"/>
    <cellStyle name="20% - Accent2 3 3 3" xfId="1156"/>
    <cellStyle name="20% - Accent2 3 3 3 2" xfId="2448"/>
    <cellStyle name="20% - Accent2 3 3 3 3" xfId="3726"/>
    <cellStyle name="20% - Accent2 3 3 3 4" xfId="5013"/>
    <cellStyle name="20% - Accent2 3 3 4" xfId="1596"/>
    <cellStyle name="20% - Accent2 3 3 5" xfId="2874"/>
    <cellStyle name="20% - Accent2 3 3 6" xfId="4161"/>
    <cellStyle name="20% - Accent2 3 4" xfId="517"/>
    <cellStyle name="20% - Accent2 3 4 2" xfId="1809"/>
    <cellStyle name="20% - Accent2 3 4 3" xfId="3087"/>
    <cellStyle name="20% - Accent2 3 4 4" xfId="4374"/>
    <cellStyle name="20% - Accent2 3 5" xfId="943"/>
    <cellStyle name="20% - Accent2 3 5 2" xfId="2235"/>
    <cellStyle name="20% - Accent2 3 5 3" xfId="3513"/>
    <cellStyle name="20% - Accent2 3 5 4" xfId="4800"/>
    <cellStyle name="20% - Accent2 3 6" xfId="1383"/>
    <cellStyle name="20% - Accent2 3 7" xfId="2661"/>
    <cellStyle name="20% - Accent2 3 8" xfId="3948"/>
    <cellStyle name="20% - Accent2 3 9" xfId="5220"/>
    <cellStyle name="20% - Accent2 4" xfId="101"/>
    <cellStyle name="20% - Accent2 4 2" xfId="306"/>
    <cellStyle name="20% - Accent2 4 2 2" xfId="732"/>
    <cellStyle name="20% - Accent2 4 2 2 2" xfId="2024"/>
    <cellStyle name="20% - Accent2 4 2 2 3" xfId="3302"/>
    <cellStyle name="20% - Accent2 4 2 2 4" xfId="4589"/>
    <cellStyle name="20% - Accent2 4 2 3" xfId="1158"/>
    <cellStyle name="20% - Accent2 4 2 3 2" xfId="2450"/>
    <cellStyle name="20% - Accent2 4 2 3 3" xfId="3728"/>
    <cellStyle name="20% - Accent2 4 2 3 4" xfId="5015"/>
    <cellStyle name="20% - Accent2 4 2 4" xfId="1598"/>
    <cellStyle name="20% - Accent2 4 2 5" xfId="2876"/>
    <cellStyle name="20% - Accent2 4 2 6" xfId="4163"/>
    <cellStyle name="20% - Accent2 4 3" xfId="519"/>
    <cellStyle name="20% - Accent2 4 3 2" xfId="1811"/>
    <cellStyle name="20% - Accent2 4 3 3" xfId="3089"/>
    <cellStyle name="20% - Accent2 4 3 4" xfId="4376"/>
    <cellStyle name="20% - Accent2 4 4" xfId="945"/>
    <cellStyle name="20% - Accent2 4 4 2" xfId="2237"/>
    <cellStyle name="20% - Accent2 4 4 3" xfId="3515"/>
    <cellStyle name="20% - Accent2 4 4 4" xfId="4802"/>
    <cellStyle name="20% - Accent2 4 5" xfId="1385"/>
    <cellStyle name="20% - Accent2 4 6" xfId="2663"/>
    <cellStyle name="20% - Accent2 4 7" xfId="3950"/>
    <cellStyle name="20% - Accent2 4 8" xfId="5222"/>
    <cellStyle name="20% - Accent2 5" xfId="102"/>
    <cellStyle name="20% - Accent2 5 2" xfId="307"/>
    <cellStyle name="20% - Accent2 5 2 2" xfId="733"/>
    <cellStyle name="20% - Accent2 5 2 2 2" xfId="2025"/>
    <cellStyle name="20% - Accent2 5 2 2 3" xfId="3303"/>
    <cellStyle name="20% - Accent2 5 2 2 4" xfId="4590"/>
    <cellStyle name="20% - Accent2 5 2 3" xfId="1159"/>
    <cellStyle name="20% - Accent2 5 2 3 2" xfId="2451"/>
    <cellStyle name="20% - Accent2 5 2 3 3" xfId="3729"/>
    <cellStyle name="20% - Accent2 5 2 3 4" xfId="5016"/>
    <cellStyle name="20% - Accent2 5 2 4" xfId="1599"/>
    <cellStyle name="20% - Accent2 5 2 5" xfId="2877"/>
    <cellStyle name="20% - Accent2 5 2 6" xfId="4164"/>
    <cellStyle name="20% - Accent2 5 3" xfId="520"/>
    <cellStyle name="20% - Accent2 5 3 2" xfId="1812"/>
    <cellStyle name="20% - Accent2 5 3 3" xfId="3090"/>
    <cellStyle name="20% - Accent2 5 3 4" xfId="4377"/>
    <cellStyle name="20% - Accent2 5 4" xfId="946"/>
    <cellStyle name="20% - Accent2 5 4 2" xfId="2238"/>
    <cellStyle name="20% - Accent2 5 4 3" xfId="3516"/>
    <cellStyle name="20% - Accent2 5 4 4" xfId="4803"/>
    <cellStyle name="20% - Accent2 5 5" xfId="1386"/>
    <cellStyle name="20% - Accent2 5 6" xfId="2664"/>
    <cellStyle name="20% - Accent2 5 7" xfId="3951"/>
    <cellStyle name="20% - Accent2 6" xfId="103"/>
    <cellStyle name="20% - Accent2 6 2" xfId="308"/>
    <cellStyle name="20% - Accent2 6 2 2" xfId="734"/>
    <cellStyle name="20% - Accent2 6 2 2 2" xfId="2026"/>
    <cellStyle name="20% - Accent2 6 2 2 3" xfId="3304"/>
    <cellStyle name="20% - Accent2 6 2 2 4" xfId="4591"/>
    <cellStyle name="20% - Accent2 6 2 3" xfId="1160"/>
    <cellStyle name="20% - Accent2 6 2 3 2" xfId="2452"/>
    <cellStyle name="20% - Accent2 6 2 3 3" xfId="3730"/>
    <cellStyle name="20% - Accent2 6 2 3 4" xfId="5017"/>
    <cellStyle name="20% - Accent2 6 2 4" xfId="1600"/>
    <cellStyle name="20% - Accent2 6 2 5" xfId="2878"/>
    <cellStyle name="20% - Accent2 6 2 6" xfId="4165"/>
    <cellStyle name="20% - Accent2 6 3" xfId="521"/>
    <cellStyle name="20% - Accent2 6 3 2" xfId="1813"/>
    <cellStyle name="20% - Accent2 6 3 3" xfId="3091"/>
    <cellStyle name="20% - Accent2 6 3 4" xfId="4378"/>
    <cellStyle name="20% - Accent2 6 4" xfId="947"/>
    <cellStyle name="20% - Accent2 6 4 2" xfId="2239"/>
    <cellStyle name="20% - Accent2 6 4 3" xfId="3517"/>
    <cellStyle name="20% - Accent2 6 4 4" xfId="4804"/>
    <cellStyle name="20% - Accent2 6 5" xfId="1387"/>
    <cellStyle name="20% - Accent2 6 6" xfId="2665"/>
    <cellStyle name="20% - Accent2 6 7" xfId="3952"/>
    <cellStyle name="20% - Accent2 7" xfId="256"/>
    <cellStyle name="20% - Accent2 7 2" xfId="469"/>
    <cellStyle name="20% - Accent2 7 2 2" xfId="894"/>
    <cellStyle name="20% - Accent2 7 2 2 2" xfId="2186"/>
    <cellStyle name="20% - Accent2 7 2 2 3" xfId="3464"/>
    <cellStyle name="20% - Accent2 7 2 2 4" xfId="4751"/>
    <cellStyle name="20% - Accent2 7 2 3" xfId="1320"/>
    <cellStyle name="20% - Accent2 7 2 3 2" xfId="2612"/>
    <cellStyle name="20% - Accent2 7 2 3 3" xfId="3890"/>
    <cellStyle name="20% - Accent2 7 2 3 4" xfId="5177"/>
    <cellStyle name="20% - Accent2 7 2 4" xfId="1760"/>
    <cellStyle name="20% - Accent2 7 2 5" xfId="3038"/>
    <cellStyle name="20% - Accent2 7 2 6" xfId="4325"/>
    <cellStyle name="20% - Accent2 7 3" xfId="681"/>
    <cellStyle name="20% - Accent2 7 3 2" xfId="1973"/>
    <cellStyle name="20% - Accent2 7 3 3" xfId="3251"/>
    <cellStyle name="20% - Accent2 7 3 4" xfId="4538"/>
    <cellStyle name="20% - Accent2 7 4" xfId="1107"/>
    <cellStyle name="20% - Accent2 7 4 2" xfId="2399"/>
    <cellStyle name="20% - Accent2 7 4 3" xfId="3677"/>
    <cellStyle name="20% - Accent2 7 4 4" xfId="4964"/>
    <cellStyle name="20% - Accent2 7 5" xfId="1547"/>
    <cellStyle name="20% - Accent2 7 6" xfId="2825"/>
    <cellStyle name="20% - Accent2 7 7" xfId="4112"/>
    <cellStyle name="20% - Accent2 8" xfId="297"/>
    <cellStyle name="20% - Accent2 8 2" xfId="723"/>
    <cellStyle name="20% - Accent2 8 2 2" xfId="2015"/>
    <cellStyle name="20% - Accent2 8 2 3" xfId="3293"/>
    <cellStyle name="20% - Accent2 8 2 4" xfId="4580"/>
    <cellStyle name="20% - Accent2 8 3" xfId="1149"/>
    <cellStyle name="20% - Accent2 8 3 2" xfId="2441"/>
    <cellStyle name="20% - Accent2 8 3 3" xfId="3719"/>
    <cellStyle name="20% - Accent2 8 3 4" xfId="5006"/>
    <cellStyle name="20% - Accent2 8 4" xfId="1589"/>
    <cellStyle name="20% - Accent2 8 5" xfId="2867"/>
    <cellStyle name="20% - Accent2 8 6" xfId="4154"/>
    <cellStyle name="20% - Accent2 9" xfId="510"/>
    <cellStyle name="20% - Accent2 9 2" xfId="1802"/>
    <cellStyle name="20% - Accent2 9 3" xfId="3080"/>
    <cellStyle name="20% - Accent2 9 4" xfId="4367"/>
    <cellStyle name="20% - Accent3" xfId="67" builtinId="38" customBuiltin="1"/>
    <cellStyle name="20% - Accent3 10" xfId="948"/>
    <cellStyle name="20% - Accent3 10 2" xfId="2240"/>
    <cellStyle name="20% - Accent3 10 3" xfId="3518"/>
    <cellStyle name="20% - Accent3 10 4" xfId="4805"/>
    <cellStyle name="20% - Accent3 11" xfId="1388"/>
    <cellStyle name="20% - Accent3 12" xfId="2666"/>
    <cellStyle name="20% - Accent3 13" xfId="3953"/>
    <cellStyle name="20% - Accent3 14" xfId="5223"/>
    <cellStyle name="20% - Accent3 2" xfId="12"/>
    <cellStyle name="20% - Accent3 2 10" xfId="1389"/>
    <cellStyle name="20% - Accent3 2 11" xfId="2667"/>
    <cellStyle name="20% - Accent3 2 12" xfId="3954"/>
    <cellStyle name="20% - Accent3 2 13" xfId="5224"/>
    <cellStyle name="20% - Accent3 2 2" xfId="104"/>
    <cellStyle name="20% - Accent3 2 2 2" xfId="105"/>
    <cellStyle name="20% - Accent3 2 2 2 2" xfId="312"/>
    <cellStyle name="20% - Accent3 2 2 2 2 2" xfId="738"/>
    <cellStyle name="20% - Accent3 2 2 2 2 2 2" xfId="2030"/>
    <cellStyle name="20% - Accent3 2 2 2 2 2 3" xfId="3308"/>
    <cellStyle name="20% - Accent3 2 2 2 2 2 4" xfId="4595"/>
    <cellStyle name="20% - Accent3 2 2 2 2 3" xfId="1164"/>
    <cellStyle name="20% - Accent3 2 2 2 2 3 2" xfId="2456"/>
    <cellStyle name="20% - Accent3 2 2 2 2 3 3" xfId="3734"/>
    <cellStyle name="20% - Accent3 2 2 2 2 3 4" xfId="5021"/>
    <cellStyle name="20% - Accent3 2 2 2 2 4" xfId="1604"/>
    <cellStyle name="20% - Accent3 2 2 2 2 5" xfId="2882"/>
    <cellStyle name="20% - Accent3 2 2 2 2 6" xfId="4169"/>
    <cellStyle name="20% - Accent3 2 2 2 3" xfId="525"/>
    <cellStyle name="20% - Accent3 2 2 2 3 2" xfId="1817"/>
    <cellStyle name="20% - Accent3 2 2 2 3 3" xfId="3095"/>
    <cellStyle name="20% - Accent3 2 2 2 3 4" xfId="4382"/>
    <cellStyle name="20% - Accent3 2 2 2 4" xfId="951"/>
    <cellStyle name="20% - Accent3 2 2 2 4 2" xfId="2243"/>
    <cellStyle name="20% - Accent3 2 2 2 4 3" xfId="3521"/>
    <cellStyle name="20% - Accent3 2 2 2 4 4" xfId="4808"/>
    <cellStyle name="20% - Accent3 2 2 2 5" xfId="1391"/>
    <cellStyle name="20% - Accent3 2 2 2 6" xfId="2669"/>
    <cellStyle name="20% - Accent3 2 2 2 7" xfId="3956"/>
    <cellStyle name="20% - Accent3 2 2 2 8" xfId="5226"/>
    <cellStyle name="20% - Accent3 2 2 3" xfId="311"/>
    <cellStyle name="20% - Accent3 2 2 3 2" xfId="737"/>
    <cellStyle name="20% - Accent3 2 2 3 2 2" xfId="2029"/>
    <cellStyle name="20% - Accent3 2 2 3 2 3" xfId="3307"/>
    <cellStyle name="20% - Accent3 2 2 3 2 4" xfId="4594"/>
    <cellStyle name="20% - Accent3 2 2 3 3" xfId="1163"/>
    <cellStyle name="20% - Accent3 2 2 3 3 2" xfId="2455"/>
    <cellStyle name="20% - Accent3 2 2 3 3 3" xfId="3733"/>
    <cellStyle name="20% - Accent3 2 2 3 3 4" xfId="5020"/>
    <cellStyle name="20% - Accent3 2 2 3 4" xfId="1603"/>
    <cellStyle name="20% - Accent3 2 2 3 5" xfId="2881"/>
    <cellStyle name="20% - Accent3 2 2 3 6" xfId="4168"/>
    <cellStyle name="20% - Accent3 2 2 4" xfId="524"/>
    <cellStyle name="20% - Accent3 2 2 4 2" xfId="1816"/>
    <cellStyle name="20% - Accent3 2 2 4 3" xfId="3094"/>
    <cellStyle name="20% - Accent3 2 2 4 4" xfId="4381"/>
    <cellStyle name="20% - Accent3 2 2 5" xfId="950"/>
    <cellStyle name="20% - Accent3 2 2 5 2" xfId="2242"/>
    <cellStyle name="20% - Accent3 2 2 5 3" xfId="3520"/>
    <cellStyle name="20% - Accent3 2 2 5 4" xfId="4807"/>
    <cellStyle name="20% - Accent3 2 2 6" xfId="1390"/>
    <cellStyle name="20% - Accent3 2 2 7" xfId="2668"/>
    <cellStyle name="20% - Accent3 2 2 8" xfId="3955"/>
    <cellStyle name="20% - Accent3 2 2 9" xfId="5225"/>
    <cellStyle name="20% - Accent3 2 3" xfId="106"/>
    <cellStyle name="20% - Accent3 2 3 2" xfId="313"/>
    <cellStyle name="20% - Accent3 2 3 2 2" xfId="739"/>
    <cellStyle name="20% - Accent3 2 3 2 2 2" xfId="2031"/>
    <cellStyle name="20% - Accent3 2 3 2 2 3" xfId="3309"/>
    <cellStyle name="20% - Accent3 2 3 2 2 4" xfId="4596"/>
    <cellStyle name="20% - Accent3 2 3 2 3" xfId="1165"/>
    <cellStyle name="20% - Accent3 2 3 2 3 2" xfId="2457"/>
    <cellStyle name="20% - Accent3 2 3 2 3 3" xfId="3735"/>
    <cellStyle name="20% - Accent3 2 3 2 3 4" xfId="5022"/>
    <cellStyle name="20% - Accent3 2 3 2 4" xfId="1605"/>
    <cellStyle name="20% - Accent3 2 3 2 5" xfId="2883"/>
    <cellStyle name="20% - Accent3 2 3 2 6" xfId="4170"/>
    <cellStyle name="20% - Accent3 2 3 3" xfId="526"/>
    <cellStyle name="20% - Accent3 2 3 3 2" xfId="1818"/>
    <cellStyle name="20% - Accent3 2 3 3 3" xfId="3096"/>
    <cellStyle name="20% - Accent3 2 3 3 4" xfId="4383"/>
    <cellStyle name="20% - Accent3 2 3 4" xfId="952"/>
    <cellStyle name="20% - Accent3 2 3 4 2" xfId="2244"/>
    <cellStyle name="20% - Accent3 2 3 4 3" xfId="3522"/>
    <cellStyle name="20% - Accent3 2 3 4 4" xfId="4809"/>
    <cellStyle name="20% - Accent3 2 3 5" xfId="1392"/>
    <cellStyle name="20% - Accent3 2 3 6" xfId="2670"/>
    <cellStyle name="20% - Accent3 2 3 7" xfId="3957"/>
    <cellStyle name="20% - Accent3 2 3 8" xfId="5227"/>
    <cellStyle name="20% - Accent3 2 4" xfId="107"/>
    <cellStyle name="20% - Accent3 2 4 2" xfId="314"/>
    <cellStyle name="20% - Accent3 2 4 2 2" xfId="740"/>
    <cellStyle name="20% - Accent3 2 4 2 2 2" xfId="2032"/>
    <cellStyle name="20% - Accent3 2 4 2 2 3" xfId="3310"/>
    <cellStyle name="20% - Accent3 2 4 2 2 4" xfId="4597"/>
    <cellStyle name="20% - Accent3 2 4 2 3" xfId="1166"/>
    <cellStyle name="20% - Accent3 2 4 2 3 2" xfId="2458"/>
    <cellStyle name="20% - Accent3 2 4 2 3 3" xfId="3736"/>
    <cellStyle name="20% - Accent3 2 4 2 3 4" xfId="5023"/>
    <cellStyle name="20% - Accent3 2 4 2 4" xfId="1606"/>
    <cellStyle name="20% - Accent3 2 4 2 5" xfId="2884"/>
    <cellStyle name="20% - Accent3 2 4 2 6" xfId="4171"/>
    <cellStyle name="20% - Accent3 2 4 3" xfId="527"/>
    <cellStyle name="20% - Accent3 2 4 3 2" xfId="1819"/>
    <cellStyle name="20% - Accent3 2 4 3 3" xfId="3097"/>
    <cellStyle name="20% - Accent3 2 4 3 4" xfId="4384"/>
    <cellStyle name="20% - Accent3 2 4 4" xfId="953"/>
    <cellStyle name="20% - Accent3 2 4 4 2" xfId="2245"/>
    <cellStyle name="20% - Accent3 2 4 4 3" xfId="3523"/>
    <cellStyle name="20% - Accent3 2 4 4 4" xfId="4810"/>
    <cellStyle name="20% - Accent3 2 4 5" xfId="1393"/>
    <cellStyle name="20% - Accent3 2 4 6" xfId="2671"/>
    <cellStyle name="20% - Accent3 2 4 7" xfId="3958"/>
    <cellStyle name="20% - Accent3 2 5" xfId="108"/>
    <cellStyle name="20% - Accent3 2 5 2" xfId="315"/>
    <cellStyle name="20% - Accent3 2 5 2 2" xfId="741"/>
    <cellStyle name="20% - Accent3 2 5 2 2 2" xfId="2033"/>
    <cellStyle name="20% - Accent3 2 5 2 2 3" xfId="3311"/>
    <cellStyle name="20% - Accent3 2 5 2 2 4" xfId="4598"/>
    <cellStyle name="20% - Accent3 2 5 2 3" xfId="1167"/>
    <cellStyle name="20% - Accent3 2 5 2 3 2" xfId="2459"/>
    <cellStyle name="20% - Accent3 2 5 2 3 3" xfId="3737"/>
    <cellStyle name="20% - Accent3 2 5 2 3 4" xfId="5024"/>
    <cellStyle name="20% - Accent3 2 5 2 4" xfId="1607"/>
    <cellStyle name="20% - Accent3 2 5 2 5" xfId="2885"/>
    <cellStyle name="20% - Accent3 2 5 2 6" xfId="4172"/>
    <cellStyle name="20% - Accent3 2 5 3" xfId="528"/>
    <cellStyle name="20% - Accent3 2 5 3 2" xfId="1820"/>
    <cellStyle name="20% - Accent3 2 5 3 3" xfId="3098"/>
    <cellStyle name="20% - Accent3 2 5 3 4" xfId="4385"/>
    <cellStyle name="20% - Accent3 2 5 4" xfId="954"/>
    <cellStyle name="20% - Accent3 2 5 4 2" xfId="2246"/>
    <cellStyle name="20% - Accent3 2 5 4 3" xfId="3524"/>
    <cellStyle name="20% - Accent3 2 5 4 4" xfId="4811"/>
    <cellStyle name="20% - Accent3 2 5 5" xfId="1394"/>
    <cellStyle name="20% - Accent3 2 5 6" xfId="2672"/>
    <cellStyle name="20% - Accent3 2 5 7" xfId="3959"/>
    <cellStyle name="20% - Accent3 2 6" xfId="274"/>
    <cellStyle name="20% - Accent3 2 6 2" xfId="487"/>
    <cellStyle name="20% - Accent3 2 6 2 2" xfId="912"/>
    <cellStyle name="20% - Accent3 2 6 2 2 2" xfId="2204"/>
    <cellStyle name="20% - Accent3 2 6 2 2 3" xfId="3482"/>
    <cellStyle name="20% - Accent3 2 6 2 2 4" xfId="4769"/>
    <cellStyle name="20% - Accent3 2 6 2 3" xfId="1338"/>
    <cellStyle name="20% - Accent3 2 6 2 3 2" xfId="2630"/>
    <cellStyle name="20% - Accent3 2 6 2 3 3" xfId="3908"/>
    <cellStyle name="20% - Accent3 2 6 2 3 4" xfId="5195"/>
    <cellStyle name="20% - Accent3 2 6 2 4" xfId="1778"/>
    <cellStyle name="20% - Accent3 2 6 2 5" xfId="3056"/>
    <cellStyle name="20% - Accent3 2 6 2 6" xfId="4343"/>
    <cellStyle name="20% - Accent3 2 6 3" xfId="699"/>
    <cellStyle name="20% - Accent3 2 6 3 2" xfId="1991"/>
    <cellStyle name="20% - Accent3 2 6 3 3" xfId="3269"/>
    <cellStyle name="20% - Accent3 2 6 3 4" xfId="4556"/>
    <cellStyle name="20% - Accent3 2 6 4" xfId="1125"/>
    <cellStyle name="20% - Accent3 2 6 4 2" xfId="2417"/>
    <cellStyle name="20% - Accent3 2 6 4 3" xfId="3695"/>
    <cellStyle name="20% - Accent3 2 6 4 4" xfId="4982"/>
    <cellStyle name="20% - Accent3 2 6 5" xfId="1565"/>
    <cellStyle name="20% - Accent3 2 6 6" xfId="2843"/>
    <cellStyle name="20% - Accent3 2 6 7" xfId="4130"/>
    <cellStyle name="20% - Accent3 2 7" xfId="310"/>
    <cellStyle name="20% - Accent3 2 7 2" xfId="736"/>
    <cellStyle name="20% - Accent3 2 7 2 2" xfId="2028"/>
    <cellStyle name="20% - Accent3 2 7 2 3" xfId="3306"/>
    <cellStyle name="20% - Accent3 2 7 2 4" xfId="4593"/>
    <cellStyle name="20% - Accent3 2 7 3" xfId="1162"/>
    <cellStyle name="20% - Accent3 2 7 3 2" xfId="2454"/>
    <cellStyle name="20% - Accent3 2 7 3 3" xfId="3732"/>
    <cellStyle name="20% - Accent3 2 7 3 4" xfId="5019"/>
    <cellStyle name="20% - Accent3 2 7 4" xfId="1602"/>
    <cellStyle name="20% - Accent3 2 7 5" xfId="2880"/>
    <cellStyle name="20% - Accent3 2 7 6" xfId="4167"/>
    <cellStyle name="20% - Accent3 2 8" xfId="523"/>
    <cellStyle name="20% - Accent3 2 8 2" xfId="1815"/>
    <cellStyle name="20% - Accent3 2 8 3" xfId="3093"/>
    <cellStyle name="20% - Accent3 2 8 4" xfId="4380"/>
    <cellStyle name="20% - Accent3 2 9" xfId="949"/>
    <cellStyle name="20% - Accent3 2 9 2" xfId="2241"/>
    <cellStyle name="20% - Accent3 2 9 3" xfId="3519"/>
    <cellStyle name="20% - Accent3 2 9 4" xfId="4806"/>
    <cellStyle name="20% - Accent3 3" xfId="109"/>
    <cellStyle name="20% - Accent3 3 2" xfId="110"/>
    <cellStyle name="20% - Accent3 3 2 2" xfId="317"/>
    <cellStyle name="20% - Accent3 3 2 2 2" xfId="743"/>
    <cellStyle name="20% - Accent3 3 2 2 2 2" xfId="2035"/>
    <cellStyle name="20% - Accent3 3 2 2 2 3" xfId="3313"/>
    <cellStyle name="20% - Accent3 3 2 2 2 4" xfId="4600"/>
    <cellStyle name="20% - Accent3 3 2 2 3" xfId="1169"/>
    <cellStyle name="20% - Accent3 3 2 2 3 2" xfId="2461"/>
    <cellStyle name="20% - Accent3 3 2 2 3 3" xfId="3739"/>
    <cellStyle name="20% - Accent3 3 2 2 3 4" xfId="5026"/>
    <cellStyle name="20% - Accent3 3 2 2 4" xfId="1609"/>
    <cellStyle name="20% - Accent3 3 2 2 5" xfId="2887"/>
    <cellStyle name="20% - Accent3 3 2 2 6" xfId="4174"/>
    <cellStyle name="20% - Accent3 3 2 3" xfId="530"/>
    <cellStyle name="20% - Accent3 3 2 3 2" xfId="1822"/>
    <cellStyle name="20% - Accent3 3 2 3 3" xfId="3100"/>
    <cellStyle name="20% - Accent3 3 2 3 4" xfId="4387"/>
    <cellStyle name="20% - Accent3 3 2 4" xfId="956"/>
    <cellStyle name="20% - Accent3 3 2 4 2" xfId="2248"/>
    <cellStyle name="20% - Accent3 3 2 4 3" xfId="3526"/>
    <cellStyle name="20% - Accent3 3 2 4 4" xfId="4813"/>
    <cellStyle name="20% - Accent3 3 2 5" xfId="1396"/>
    <cellStyle name="20% - Accent3 3 2 6" xfId="2674"/>
    <cellStyle name="20% - Accent3 3 2 7" xfId="3961"/>
    <cellStyle name="20% - Accent3 3 2 8" xfId="5229"/>
    <cellStyle name="20% - Accent3 3 3" xfId="316"/>
    <cellStyle name="20% - Accent3 3 3 2" xfId="742"/>
    <cellStyle name="20% - Accent3 3 3 2 2" xfId="2034"/>
    <cellStyle name="20% - Accent3 3 3 2 3" xfId="3312"/>
    <cellStyle name="20% - Accent3 3 3 2 4" xfId="4599"/>
    <cellStyle name="20% - Accent3 3 3 3" xfId="1168"/>
    <cellStyle name="20% - Accent3 3 3 3 2" xfId="2460"/>
    <cellStyle name="20% - Accent3 3 3 3 3" xfId="3738"/>
    <cellStyle name="20% - Accent3 3 3 3 4" xfId="5025"/>
    <cellStyle name="20% - Accent3 3 3 4" xfId="1608"/>
    <cellStyle name="20% - Accent3 3 3 5" xfId="2886"/>
    <cellStyle name="20% - Accent3 3 3 6" xfId="4173"/>
    <cellStyle name="20% - Accent3 3 4" xfId="529"/>
    <cellStyle name="20% - Accent3 3 4 2" xfId="1821"/>
    <cellStyle name="20% - Accent3 3 4 3" xfId="3099"/>
    <cellStyle name="20% - Accent3 3 4 4" xfId="4386"/>
    <cellStyle name="20% - Accent3 3 5" xfId="955"/>
    <cellStyle name="20% - Accent3 3 5 2" xfId="2247"/>
    <cellStyle name="20% - Accent3 3 5 3" xfId="3525"/>
    <cellStyle name="20% - Accent3 3 5 4" xfId="4812"/>
    <cellStyle name="20% - Accent3 3 6" xfId="1395"/>
    <cellStyle name="20% - Accent3 3 7" xfId="2673"/>
    <cellStyle name="20% - Accent3 3 8" xfId="3960"/>
    <cellStyle name="20% - Accent3 3 9" xfId="5228"/>
    <cellStyle name="20% - Accent3 4" xfId="111"/>
    <cellStyle name="20% - Accent3 4 2" xfId="318"/>
    <cellStyle name="20% - Accent3 4 2 2" xfId="744"/>
    <cellStyle name="20% - Accent3 4 2 2 2" xfId="2036"/>
    <cellStyle name="20% - Accent3 4 2 2 3" xfId="3314"/>
    <cellStyle name="20% - Accent3 4 2 2 4" xfId="4601"/>
    <cellStyle name="20% - Accent3 4 2 3" xfId="1170"/>
    <cellStyle name="20% - Accent3 4 2 3 2" xfId="2462"/>
    <cellStyle name="20% - Accent3 4 2 3 3" xfId="3740"/>
    <cellStyle name="20% - Accent3 4 2 3 4" xfId="5027"/>
    <cellStyle name="20% - Accent3 4 2 4" xfId="1610"/>
    <cellStyle name="20% - Accent3 4 2 5" xfId="2888"/>
    <cellStyle name="20% - Accent3 4 2 6" xfId="4175"/>
    <cellStyle name="20% - Accent3 4 3" xfId="531"/>
    <cellStyle name="20% - Accent3 4 3 2" xfId="1823"/>
    <cellStyle name="20% - Accent3 4 3 3" xfId="3101"/>
    <cellStyle name="20% - Accent3 4 3 4" xfId="4388"/>
    <cellStyle name="20% - Accent3 4 4" xfId="957"/>
    <cellStyle name="20% - Accent3 4 4 2" xfId="2249"/>
    <cellStyle name="20% - Accent3 4 4 3" xfId="3527"/>
    <cellStyle name="20% - Accent3 4 4 4" xfId="4814"/>
    <cellStyle name="20% - Accent3 4 5" xfId="1397"/>
    <cellStyle name="20% - Accent3 4 6" xfId="2675"/>
    <cellStyle name="20% - Accent3 4 7" xfId="3962"/>
    <cellStyle name="20% - Accent3 4 8" xfId="5230"/>
    <cellStyle name="20% - Accent3 5" xfId="112"/>
    <cellStyle name="20% - Accent3 5 2" xfId="319"/>
    <cellStyle name="20% - Accent3 5 2 2" xfId="745"/>
    <cellStyle name="20% - Accent3 5 2 2 2" xfId="2037"/>
    <cellStyle name="20% - Accent3 5 2 2 3" xfId="3315"/>
    <cellStyle name="20% - Accent3 5 2 2 4" xfId="4602"/>
    <cellStyle name="20% - Accent3 5 2 3" xfId="1171"/>
    <cellStyle name="20% - Accent3 5 2 3 2" xfId="2463"/>
    <cellStyle name="20% - Accent3 5 2 3 3" xfId="3741"/>
    <cellStyle name="20% - Accent3 5 2 3 4" xfId="5028"/>
    <cellStyle name="20% - Accent3 5 2 4" xfId="1611"/>
    <cellStyle name="20% - Accent3 5 2 5" xfId="2889"/>
    <cellStyle name="20% - Accent3 5 2 6" xfId="4176"/>
    <cellStyle name="20% - Accent3 5 3" xfId="532"/>
    <cellStyle name="20% - Accent3 5 3 2" xfId="1824"/>
    <cellStyle name="20% - Accent3 5 3 3" xfId="3102"/>
    <cellStyle name="20% - Accent3 5 3 4" xfId="4389"/>
    <cellStyle name="20% - Accent3 5 4" xfId="958"/>
    <cellStyle name="20% - Accent3 5 4 2" xfId="2250"/>
    <cellStyle name="20% - Accent3 5 4 3" xfId="3528"/>
    <cellStyle name="20% - Accent3 5 4 4" xfId="4815"/>
    <cellStyle name="20% - Accent3 5 5" xfId="1398"/>
    <cellStyle name="20% - Accent3 5 6" xfId="2676"/>
    <cellStyle name="20% - Accent3 5 7" xfId="3963"/>
    <cellStyle name="20% - Accent3 6" xfId="113"/>
    <cellStyle name="20% - Accent3 6 2" xfId="320"/>
    <cellStyle name="20% - Accent3 6 2 2" xfId="746"/>
    <cellStyle name="20% - Accent3 6 2 2 2" xfId="2038"/>
    <cellStyle name="20% - Accent3 6 2 2 3" xfId="3316"/>
    <cellStyle name="20% - Accent3 6 2 2 4" xfId="4603"/>
    <cellStyle name="20% - Accent3 6 2 3" xfId="1172"/>
    <cellStyle name="20% - Accent3 6 2 3 2" xfId="2464"/>
    <cellStyle name="20% - Accent3 6 2 3 3" xfId="3742"/>
    <cellStyle name="20% - Accent3 6 2 3 4" xfId="5029"/>
    <cellStyle name="20% - Accent3 6 2 4" xfId="1612"/>
    <cellStyle name="20% - Accent3 6 2 5" xfId="2890"/>
    <cellStyle name="20% - Accent3 6 2 6" xfId="4177"/>
    <cellStyle name="20% - Accent3 6 3" xfId="533"/>
    <cellStyle name="20% - Accent3 6 3 2" xfId="1825"/>
    <cellStyle name="20% - Accent3 6 3 3" xfId="3103"/>
    <cellStyle name="20% - Accent3 6 3 4" xfId="4390"/>
    <cellStyle name="20% - Accent3 6 4" xfId="959"/>
    <cellStyle name="20% - Accent3 6 4 2" xfId="2251"/>
    <cellStyle name="20% - Accent3 6 4 3" xfId="3529"/>
    <cellStyle name="20% - Accent3 6 4 4" xfId="4816"/>
    <cellStyle name="20% - Accent3 6 5" xfId="1399"/>
    <cellStyle name="20% - Accent3 6 6" xfId="2677"/>
    <cellStyle name="20% - Accent3 6 7" xfId="3964"/>
    <cellStyle name="20% - Accent3 7" xfId="257"/>
    <cellStyle name="20% - Accent3 7 2" xfId="470"/>
    <cellStyle name="20% - Accent3 7 2 2" xfId="895"/>
    <cellStyle name="20% - Accent3 7 2 2 2" xfId="2187"/>
    <cellStyle name="20% - Accent3 7 2 2 3" xfId="3465"/>
    <cellStyle name="20% - Accent3 7 2 2 4" xfId="4752"/>
    <cellStyle name="20% - Accent3 7 2 3" xfId="1321"/>
    <cellStyle name="20% - Accent3 7 2 3 2" xfId="2613"/>
    <cellStyle name="20% - Accent3 7 2 3 3" xfId="3891"/>
    <cellStyle name="20% - Accent3 7 2 3 4" xfId="5178"/>
    <cellStyle name="20% - Accent3 7 2 4" xfId="1761"/>
    <cellStyle name="20% - Accent3 7 2 5" xfId="3039"/>
    <cellStyle name="20% - Accent3 7 2 6" xfId="4326"/>
    <cellStyle name="20% - Accent3 7 3" xfId="682"/>
    <cellStyle name="20% - Accent3 7 3 2" xfId="1974"/>
    <cellStyle name="20% - Accent3 7 3 3" xfId="3252"/>
    <cellStyle name="20% - Accent3 7 3 4" xfId="4539"/>
    <cellStyle name="20% - Accent3 7 4" xfId="1108"/>
    <cellStyle name="20% - Accent3 7 4 2" xfId="2400"/>
    <cellStyle name="20% - Accent3 7 4 3" xfId="3678"/>
    <cellStyle name="20% - Accent3 7 4 4" xfId="4965"/>
    <cellStyle name="20% - Accent3 7 5" xfId="1548"/>
    <cellStyle name="20% - Accent3 7 6" xfId="2826"/>
    <cellStyle name="20% - Accent3 7 7" xfId="4113"/>
    <cellStyle name="20% - Accent3 8" xfId="309"/>
    <cellStyle name="20% - Accent3 8 2" xfId="735"/>
    <cellStyle name="20% - Accent3 8 2 2" xfId="2027"/>
    <cellStyle name="20% - Accent3 8 2 3" xfId="3305"/>
    <cellStyle name="20% - Accent3 8 2 4" xfId="4592"/>
    <cellStyle name="20% - Accent3 8 3" xfId="1161"/>
    <cellStyle name="20% - Accent3 8 3 2" xfId="2453"/>
    <cellStyle name="20% - Accent3 8 3 3" xfId="3731"/>
    <cellStyle name="20% - Accent3 8 3 4" xfId="5018"/>
    <cellStyle name="20% - Accent3 8 4" xfId="1601"/>
    <cellStyle name="20% - Accent3 8 5" xfId="2879"/>
    <cellStyle name="20% - Accent3 8 6" xfId="4166"/>
    <cellStyle name="20% - Accent3 9" xfId="522"/>
    <cellStyle name="20% - Accent3 9 2" xfId="1814"/>
    <cellStyle name="20% - Accent3 9 3" xfId="3092"/>
    <cellStyle name="20% - Accent3 9 4" xfId="4379"/>
    <cellStyle name="20% - Accent4" xfId="71" builtinId="42" customBuiltin="1"/>
    <cellStyle name="20% - Accent4 10" xfId="960"/>
    <cellStyle name="20% - Accent4 10 2" xfId="2252"/>
    <cellStyle name="20% - Accent4 10 3" xfId="3530"/>
    <cellStyle name="20% - Accent4 10 4" xfId="4817"/>
    <cellStyle name="20% - Accent4 11" xfId="1400"/>
    <cellStyle name="20% - Accent4 12" xfId="2678"/>
    <cellStyle name="20% - Accent4 13" xfId="3965"/>
    <cellStyle name="20% - Accent4 14" xfId="5231"/>
    <cellStyle name="20% - Accent4 2" xfId="13"/>
    <cellStyle name="20% - Accent4 2 10" xfId="1401"/>
    <cellStyle name="20% - Accent4 2 11" xfId="2679"/>
    <cellStyle name="20% - Accent4 2 12" xfId="3966"/>
    <cellStyle name="20% - Accent4 2 13" xfId="5232"/>
    <cellStyle name="20% - Accent4 2 2" xfId="114"/>
    <cellStyle name="20% - Accent4 2 2 2" xfId="115"/>
    <cellStyle name="20% - Accent4 2 2 2 2" xfId="324"/>
    <cellStyle name="20% - Accent4 2 2 2 2 2" xfId="750"/>
    <cellStyle name="20% - Accent4 2 2 2 2 2 2" xfId="2042"/>
    <cellStyle name="20% - Accent4 2 2 2 2 2 3" xfId="3320"/>
    <cellStyle name="20% - Accent4 2 2 2 2 2 4" xfId="4607"/>
    <cellStyle name="20% - Accent4 2 2 2 2 3" xfId="1176"/>
    <cellStyle name="20% - Accent4 2 2 2 2 3 2" xfId="2468"/>
    <cellStyle name="20% - Accent4 2 2 2 2 3 3" xfId="3746"/>
    <cellStyle name="20% - Accent4 2 2 2 2 3 4" xfId="5033"/>
    <cellStyle name="20% - Accent4 2 2 2 2 4" xfId="1616"/>
    <cellStyle name="20% - Accent4 2 2 2 2 5" xfId="2894"/>
    <cellStyle name="20% - Accent4 2 2 2 2 6" xfId="4181"/>
    <cellStyle name="20% - Accent4 2 2 2 3" xfId="537"/>
    <cellStyle name="20% - Accent4 2 2 2 3 2" xfId="1829"/>
    <cellStyle name="20% - Accent4 2 2 2 3 3" xfId="3107"/>
    <cellStyle name="20% - Accent4 2 2 2 3 4" xfId="4394"/>
    <cellStyle name="20% - Accent4 2 2 2 4" xfId="963"/>
    <cellStyle name="20% - Accent4 2 2 2 4 2" xfId="2255"/>
    <cellStyle name="20% - Accent4 2 2 2 4 3" xfId="3533"/>
    <cellStyle name="20% - Accent4 2 2 2 4 4" xfId="4820"/>
    <cellStyle name="20% - Accent4 2 2 2 5" xfId="1403"/>
    <cellStyle name="20% - Accent4 2 2 2 6" xfId="2681"/>
    <cellStyle name="20% - Accent4 2 2 2 7" xfId="3968"/>
    <cellStyle name="20% - Accent4 2 2 2 8" xfId="5234"/>
    <cellStyle name="20% - Accent4 2 2 3" xfId="323"/>
    <cellStyle name="20% - Accent4 2 2 3 2" xfId="749"/>
    <cellStyle name="20% - Accent4 2 2 3 2 2" xfId="2041"/>
    <cellStyle name="20% - Accent4 2 2 3 2 3" xfId="3319"/>
    <cellStyle name="20% - Accent4 2 2 3 2 4" xfId="4606"/>
    <cellStyle name="20% - Accent4 2 2 3 3" xfId="1175"/>
    <cellStyle name="20% - Accent4 2 2 3 3 2" xfId="2467"/>
    <cellStyle name="20% - Accent4 2 2 3 3 3" xfId="3745"/>
    <cellStyle name="20% - Accent4 2 2 3 3 4" xfId="5032"/>
    <cellStyle name="20% - Accent4 2 2 3 4" xfId="1615"/>
    <cellStyle name="20% - Accent4 2 2 3 5" xfId="2893"/>
    <cellStyle name="20% - Accent4 2 2 3 6" xfId="4180"/>
    <cellStyle name="20% - Accent4 2 2 4" xfId="536"/>
    <cellStyle name="20% - Accent4 2 2 4 2" xfId="1828"/>
    <cellStyle name="20% - Accent4 2 2 4 3" xfId="3106"/>
    <cellStyle name="20% - Accent4 2 2 4 4" xfId="4393"/>
    <cellStyle name="20% - Accent4 2 2 5" xfId="962"/>
    <cellStyle name="20% - Accent4 2 2 5 2" xfId="2254"/>
    <cellStyle name="20% - Accent4 2 2 5 3" xfId="3532"/>
    <cellStyle name="20% - Accent4 2 2 5 4" xfId="4819"/>
    <cellStyle name="20% - Accent4 2 2 6" xfId="1402"/>
    <cellStyle name="20% - Accent4 2 2 7" xfId="2680"/>
    <cellStyle name="20% - Accent4 2 2 8" xfId="3967"/>
    <cellStyle name="20% - Accent4 2 2 9" xfId="5233"/>
    <cellStyle name="20% - Accent4 2 3" xfId="116"/>
    <cellStyle name="20% - Accent4 2 3 2" xfId="325"/>
    <cellStyle name="20% - Accent4 2 3 2 2" xfId="751"/>
    <cellStyle name="20% - Accent4 2 3 2 2 2" xfId="2043"/>
    <cellStyle name="20% - Accent4 2 3 2 2 3" xfId="3321"/>
    <cellStyle name="20% - Accent4 2 3 2 2 4" xfId="4608"/>
    <cellStyle name="20% - Accent4 2 3 2 3" xfId="1177"/>
    <cellStyle name="20% - Accent4 2 3 2 3 2" xfId="2469"/>
    <cellStyle name="20% - Accent4 2 3 2 3 3" xfId="3747"/>
    <cellStyle name="20% - Accent4 2 3 2 3 4" xfId="5034"/>
    <cellStyle name="20% - Accent4 2 3 2 4" xfId="1617"/>
    <cellStyle name="20% - Accent4 2 3 2 5" xfId="2895"/>
    <cellStyle name="20% - Accent4 2 3 2 6" xfId="4182"/>
    <cellStyle name="20% - Accent4 2 3 3" xfId="538"/>
    <cellStyle name="20% - Accent4 2 3 3 2" xfId="1830"/>
    <cellStyle name="20% - Accent4 2 3 3 3" xfId="3108"/>
    <cellStyle name="20% - Accent4 2 3 3 4" xfId="4395"/>
    <cellStyle name="20% - Accent4 2 3 4" xfId="964"/>
    <cellStyle name="20% - Accent4 2 3 4 2" xfId="2256"/>
    <cellStyle name="20% - Accent4 2 3 4 3" xfId="3534"/>
    <cellStyle name="20% - Accent4 2 3 4 4" xfId="4821"/>
    <cellStyle name="20% - Accent4 2 3 5" xfId="1404"/>
    <cellStyle name="20% - Accent4 2 3 6" xfId="2682"/>
    <cellStyle name="20% - Accent4 2 3 7" xfId="3969"/>
    <cellStyle name="20% - Accent4 2 3 8" xfId="5235"/>
    <cellStyle name="20% - Accent4 2 4" xfId="117"/>
    <cellStyle name="20% - Accent4 2 4 2" xfId="326"/>
    <cellStyle name="20% - Accent4 2 4 2 2" xfId="752"/>
    <cellStyle name="20% - Accent4 2 4 2 2 2" xfId="2044"/>
    <cellStyle name="20% - Accent4 2 4 2 2 3" xfId="3322"/>
    <cellStyle name="20% - Accent4 2 4 2 2 4" xfId="4609"/>
    <cellStyle name="20% - Accent4 2 4 2 3" xfId="1178"/>
    <cellStyle name="20% - Accent4 2 4 2 3 2" xfId="2470"/>
    <cellStyle name="20% - Accent4 2 4 2 3 3" xfId="3748"/>
    <cellStyle name="20% - Accent4 2 4 2 3 4" xfId="5035"/>
    <cellStyle name="20% - Accent4 2 4 2 4" xfId="1618"/>
    <cellStyle name="20% - Accent4 2 4 2 5" xfId="2896"/>
    <cellStyle name="20% - Accent4 2 4 2 6" xfId="4183"/>
    <cellStyle name="20% - Accent4 2 4 3" xfId="539"/>
    <cellStyle name="20% - Accent4 2 4 3 2" xfId="1831"/>
    <cellStyle name="20% - Accent4 2 4 3 3" xfId="3109"/>
    <cellStyle name="20% - Accent4 2 4 3 4" xfId="4396"/>
    <cellStyle name="20% - Accent4 2 4 4" xfId="965"/>
    <cellStyle name="20% - Accent4 2 4 4 2" xfId="2257"/>
    <cellStyle name="20% - Accent4 2 4 4 3" xfId="3535"/>
    <cellStyle name="20% - Accent4 2 4 4 4" xfId="4822"/>
    <cellStyle name="20% - Accent4 2 4 5" xfId="1405"/>
    <cellStyle name="20% - Accent4 2 4 6" xfId="2683"/>
    <cellStyle name="20% - Accent4 2 4 7" xfId="3970"/>
    <cellStyle name="20% - Accent4 2 5" xfId="118"/>
    <cellStyle name="20% - Accent4 2 5 2" xfId="327"/>
    <cellStyle name="20% - Accent4 2 5 2 2" xfId="753"/>
    <cellStyle name="20% - Accent4 2 5 2 2 2" xfId="2045"/>
    <cellStyle name="20% - Accent4 2 5 2 2 3" xfId="3323"/>
    <cellStyle name="20% - Accent4 2 5 2 2 4" xfId="4610"/>
    <cellStyle name="20% - Accent4 2 5 2 3" xfId="1179"/>
    <cellStyle name="20% - Accent4 2 5 2 3 2" xfId="2471"/>
    <cellStyle name="20% - Accent4 2 5 2 3 3" xfId="3749"/>
    <cellStyle name="20% - Accent4 2 5 2 3 4" xfId="5036"/>
    <cellStyle name="20% - Accent4 2 5 2 4" xfId="1619"/>
    <cellStyle name="20% - Accent4 2 5 2 5" xfId="2897"/>
    <cellStyle name="20% - Accent4 2 5 2 6" xfId="4184"/>
    <cellStyle name="20% - Accent4 2 5 3" xfId="540"/>
    <cellStyle name="20% - Accent4 2 5 3 2" xfId="1832"/>
    <cellStyle name="20% - Accent4 2 5 3 3" xfId="3110"/>
    <cellStyle name="20% - Accent4 2 5 3 4" xfId="4397"/>
    <cellStyle name="20% - Accent4 2 5 4" xfId="966"/>
    <cellStyle name="20% - Accent4 2 5 4 2" xfId="2258"/>
    <cellStyle name="20% - Accent4 2 5 4 3" xfId="3536"/>
    <cellStyle name="20% - Accent4 2 5 4 4" xfId="4823"/>
    <cellStyle name="20% - Accent4 2 5 5" xfId="1406"/>
    <cellStyle name="20% - Accent4 2 5 6" xfId="2684"/>
    <cellStyle name="20% - Accent4 2 5 7" xfId="3971"/>
    <cellStyle name="20% - Accent4 2 6" xfId="276"/>
    <cellStyle name="20% - Accent4 2 6 2" xfId="489"/>
    <cellStyle name="20% - Accent4 2 6 2 2" xfId="914"/>
    <cellStyle name="20% - Accent4 2 6 2 2 2" xfId="2206"/>
    <cellStyle name="20% - Accent4 2 6 2 2 3" xfId="3484"/>
    <cellStyle name="20% - Accent4 2 6 2 2 4" xfId="4771"/>
    <cellStyle name="20% - Accent4 2 6 2 3" xfId="1340"/>
    <cellStyle name="20% - Accent4 2 6 2 3 2" xfId="2632"/>
    <cellStyle name="20% - Accent4 2 6 2 3 3" xfId="3910"/>
    <cellStyle name="20% - Accent4 2 6 2 3 4" xfId="5197"/>
    <cellStyle name="20% - Accent4 2 6 2 4" xfId="1780"/>
    <cellStyle name="20% - Accent4 2 6 2 5" xfId="3058"/>
    <cellStyle name="20% - Accent4 2 6 2 6" xfId="4345"/>
    <cellStyle name="20% - Accent4 2 6 3" xfId="701"/>
    <cellStyle name="20% - Accent4 2 6 3 2" xfId="1993"/>
    <cellStyle name="20% - Accent4 2 6 3 3" xfId="3271"/>
    <cellStyle name="20% - Accent4 2 6 3 4" xfId="4558"/>
    <cellStyle name="20% - Accent4 2 6 4" xfId="1127"/>
    <cellStyle name="20% - Accent4 2 6 4 2" xfId="2419"/>
    <cellStyle name="20% - Accent4 2 6 4 3" xfId="3697"/>
    <cellStyle name="20% - Accent4 2 6 4 4" xfId="4984"/>
    <cellStyle name="20% - Accent4 2 6 5" xfId="1567"/>
    <cellStyle name="20% - Accent4 2 6 6" xfId="2845"/>
    <cellStyle name="20% - Accent4 2 6 7" xfId="4132"/>
    <cellStyle name="20% - Accent4 2 7" xfId="322"/>
    <cellStyle name="20% - Accent4 2 7 2" xfId="748"/>
    <cellStyle name="20% - Accent4 2 7 2 2" xfId="2040"/>
    <cellStyle name="20% - Accent4 2 7 2 3" xfId="3318"/>
    <cellStyle name="20% - Accent4 2 7 2 4" xfId="4605"/>
    <cellStyle name="20% - Accent4 2 7 3" xfId="1174"/>
    <cellStyle name="20% - Accent4 2 7 3 2" xfId="2466"/>
    <cellStyle name="20% - Accent4 2 7 3 3" xfId="3744"/>
    <cellStyle name="20% - Accent4 2 7 3 4" xfId="5031"/>
    <cellStyle name="20% - Accent4 2 7 4" xfId="1614"/>
    <cellStyle name="20% - Accent4 2 7 5" xfId="2892"/>
    <cellStyle name="20% - Accent4 2 7 6" xfId="4179"/>
    <cellStyle name="20% - Accent4 2 8" xfId="535"/>
    <cellStyle name="20% - Accent4 2 8 2" xfId="1827"/>
    <cellStyle name="20% - Accent4 2 8 3" xfId="3105"/>
    <cellStyle name="20% - Accent4 2 8 4" xfId="4392"/>
    <cellStyle name="20% - Accent4 2 9" xfId="961"/>
    <cellStyle name="20% - Accent4 2 9 2" xfId="2253"/>
    <cellStyle name="20% - Accent4 2 9 3" xfId="3531"/>
    <cellStyle name="20% - Accent4 2 9 4" xfId="4818"/>
    <cellStyle name="20% - Accent4 3" xfId="119"/>
    <cellStyle name="20% - Accent4 3 2" xfId="120"/>
    <cellStyle name="20% - Accent4 3 2 2" xfId="329"/>
    <cellStyle name="20% - Accent4 3 2 2 2" xfId="755"/>
    <cellStyle name="20% - Accent4 3 2 2 2 2" xfId="2047"/>
    <cellStyle name="20% - Accent4 3 2 2 2 3" xfId="3325"/>
    <cellStyle name="20% - Accent4 3 2 2 2 4" xfId="4612"/>
    <cellStyle name="20% - Accent4 3 2 2 3" xfId="1181"/>
    <cellStyle name="20% - Accent4 3 2 2 3 2" xfId="2473"/>
    <cellStyle name="20% - Accent4 3 2 2 3 3" xfId="3751"/>
    <cellStyle name="20% - Accent4 3 2 2 3 4" xfId="5038"/>
    <cellStyle name="20% - Accent4 3 2 2 4" xfId="1621"/>
    <cellStyle name="20% - Accent4 3 2 2 5" xfId="2899"/>
    <cellStyle name="20% - Accent4 3 2 2 6" xfId="4186"/>
    <cellStyle name="20% - Accent4 3 2 3" xfId="542"/>
    <cellStyle name="20% - Accent4 3 2 3 2" xfId="1834"/>
    <cellStyle name="20% - Accent4 3 2 3 3" xfId="3112"/>
    <cellStyle name="20% - Accent4 3 2 3 4" xfId="4399"/>
    <cellStyle name="20% - Accent4 3 2 4" xfId="968"/>
    <cellStyle name="20% - Accent4 3 2 4 2" xfId="2260"/>
    <cellStyle name="20% - Accent4 3 2 4 3" xfId="3538"/>
    <cellStyle name="20% - Accent4 3 2 4 4" xfId="4825"/>
    <cellStyle name="20% - Accent4 3 2 5" xfId="1408"/>
    <cellStyle name="20% - Accent4 3 2 6" xfId="2686"/>
    <cellStyle name="20% - Accent4 3 2 7" xfId="3973"/>
    <cellStyle name="20% - Accent4 3 2 8" xfId="5237"/>
    <cellStyle name="20% - Accent4 3 3" xfId="328"/>
    <cellStyle name="20% - Accent4 3 3 2" xfId="754"/>
    <cellStyle name="20% - Accent4 3 3 2 2" xfId="2046"/>
    <cellStyle name="20% - Accent4 3 3 2 3" xfId="3324"/>
    <cellStyle name="20% - Accent4 3 3 2 4" xfId="4611"/>
    <cellStyle name="20% - Accent4 3 3 3" xfId="1180"/>
    <cellStyle name="20% - Accent4 3 3 3 2" xfId="2472"/>
    <cellStyle name="20% - Accent4 3 3 3 3" xfId="3750"/>
    <cellStyle name="20% - Accent4 3 3 3 4" xfId="5037"/>
    <cellStyle name="20% - Accent4 3 3 4" xfId="1620"/>
    <cellStyle name="20% - Accent4 3 3 5" xfId="2898"/>
    <cellStyle name="20% - Accent4 3 3 6" xfId="4185"/>
    <cellStyle name="20% - Accent4 3 4" xfId="541"/>
    <cellStyle name="20% - Accent4 3 4 2" xfId="1833"/>
    <cellStyle name="20% - Accent4 3 4 3" xfId="3111"/>
    <cellStyle name="20% - Accent4 3 4 4" xfId="4398"/>
    <cellStyle name="20% - Accent4 3 5" xfId="967"/>
    <cellStyle name="20% - Accent4 3 5 2" xfId="2259"/>
    <cellStyle name="20% - Accent4 3 5 3" xfId="3537"/>
    <cellStyle name="20% - Accent4 3 5 4" xfId="4824"/>
    <cellStyle name="20% - Accent4 3 6" xfId="1407"/>
    <cellStyle name="20% - Accent4 3 7" xfId="2685"/>
    <cellStyle name="20% - Accent4 3 8" xfId="3972"/>
    <cellStyle name="20% - Accent4 3 9" xfId="5236"/>
    <cellStyle name="20% - Accent4 4" xfId="121"/>
    <cellStyle name="20% - Accent4 4 2" xfId="330"/>
    <cellStyle name="20% - Accent4 4 2 2" xfId="756"/>
    <cellStyle name="20% - Accent4 4 2 2 2" xfId="2048"/>
    <cellStyle name="20% - Accent4 4 2 2 3" xfId="3326"/>
    <cellStyle name="20% - Accent4 4 2 2 4" xfId="4613"/>
    <cellStyle name="20% - Accent4 4 2 3" xfId="1182"/>
    <cellStyle name="20% - Accent4 4 2 3 2" xfId="2474"/>
    <cellStyle name="20% - Accent4 4 2 3 3" xfId="3752"/>
    <cellStyle name="20% - Accent4 4 2 3 4" xfId="5039"/>
    <cellStyle name="20% - Accent4 4 2 4" xfId="1622"/>
    <cellStyle name="20% - Accent4 4 2 5" xfId="2900"/>
    <cellStyle name="20% - Accent4 4 2 6" xfId="4187"/>
    <cellStyle name="20% - Accent4 4 3" xfId="543"/>
    <cellStyle name="20% - Accent4 4 3 2" xfId="1835"/>
    <cellStyle name="20% - Accent4 4 3 3" xfId="3113"/>
    <cellStyle name="20% - Accent4 4 3 4" xfId="4400"/>
    <cellStyle name="20% - Accent4 4 4" xfId="969"/>
    <cellStyle name="20% - Accent4 4 4 2" xfId="2261"/>
    <cellStyle name="20% - Accent4 4 4 3" xfId="3539"/>
    <cellStyle name="20% - Accent4 4 4 4" xfId="4826"/>
    <cellStyle name="20% - Accent4 4 5" xfId="1409"/>
    <cellStyle name="20% - Accent4 4 6" xfId="2687"/>
    <cellStyle name="20% - Accent4 4 7" xfId="3974"/>
    <cellStyle name="20% - Accent4 4 8" xfId="5238"/>
    <cellStyle name="20% - Accent4 5" xfId="122"/>
    <cellStyle name="20% - Accent4 5 2" xfId="331"/>
    <cellStyle name="20% - Accent4 5 2 2" xfId="757"/>
    <cellStyle name="20% - Accent4 5 2 2 2" xfId="2049"/>
    <cellStyle name="20% - Accent4 5 2 2 3" xfId="3327"/>
    <cellStyle name="20% - Accent4 5 2 2 4" xfId="4614"/>
    <cellStyle name="20% - Accent4 5 2 3" xfId="1183"/>
    <cellStyle name="20% - Accent4 5 2 3 2" xfId="2475"/>
    <cellStyle name="20% - Accent4 5 2 3 3" xfId="3753"/>
    <cellStyle name="20% - Accent4 5 2 3 4" xfId="5040"/>
    <cellStyle name="20% - Accent4 5 2 4" xfId="1623"/>
    <cellStyle name="20% - Accent4 5 2 5" xfId="2901"/>
    <cellStyle name="20% - Accent4 5 2 6" xfId="4188"/>
    <cellStyle name="20% - Accent4 5 3" xfId="544"/>
    <cellStyle name="20% - Accent4 5 3 2" xfId="1836"/>
    <cellStyle name="20% - Accent4 5 3 3" xfId="3114"/>
    <cellStyle name="20% - Accent4 5 3 4" xfId="4401"/>
    <cellStyle name="20% - Accent4 5 4" xfId="970"/>
    <cellStyle name="20% - Accent4 5 4 2" xfId="2262"/>
    <cellStyle name="20% - Accent4 5 4 3" xfId="3540"/>
    <cellStyle name="20% - Accent4 5 4 4" xfId="4827"/>
    <cellStyle name="20% - Accent4 5 5" xfId="1410"/>
    <cellStyle name="20% - Accent4 5 6" xfId="2688"/>
    <cellStyle name="20% - Accent4 5 7" xfId="3975"/>
    <cellStyle name="20% - Accent4 6" xfId="123"/>
    <cellStyle name="20% - Accent4 6 2" xfId="332"/>
    <cellStyle name="20% - Accent4 6 2 2" xfId="758"/>
    <cellStyle name="20% - Accent4 6 2 2 2" xfId="2050"/>
    <cellStyle name="20% - Accent4 6 2 2 3" xfId="3328"/>
    <cellStyle name="20% - Accent4 6 2 2 4" xfId="4615"/>
    <cellStyle name="20% - Accent4 6 2 3" xfId="1184"/>
    <cellStyle name="20% - Accent4 6 2 3 2" xfId="2476"/>
    <cellStyle name="20% - Accent4 6 2 3 3" xfId="3754"/>
    <cellStyle name="20% - Accent4 6 2 3 4" xfId="5041"/>
    <cellStyle name="20% - Accent4 6 2 4" xfId="1624"/>
    <cellStyle name="20% - Accent4 6 2 5" xfId="2902"/>
    <cellStyle name="20% - Accent4 6 2 6" xfId="4189"/>
    <cellStyle name="20% - Accent4 6 3" xfId="545"/>
    <cellStyle name="20% - Accent4 6 3 2" xfId="1837"/>
    <cellStyle name="20% - Accent4 6 3 3" xfId="3115"/>
    <cellStyle name="20% - Accent4 6 3 4" xfId="4402"/>
    <cellStyle name="20% - Accent4 6 4" xfId="971"/>
    <cellStyle name="20% - Accent4 6 4 2" xfId="2263"/>
    <cellStyle name="20% - Accent4 6 4 3" xfId="3541"/>
    <cellStyle name="20% - Accent4 6 4 4" xfId="4828"/>
    <cellStyle name="20% - Accent4 6 5" xfId="1411"/>
    <cellStyle name="20% - Accent4 6 6" xfId="2689"/>
    <cellStyle name="20% - Accent4 6 7" xfId="3976"/>
    <cellStyle name="20% - Accent4 7" xfId="258"/>
    <cellStyle name="20% - Accent4 7 2" xfId="471"/>
    <cellStyle name="20% - Accent4 7 2 2" xfId="896"/>
    <cellStyle name="20% - Accent4 7 2 2 2" xfId="2188"/>
    <cellStyle name="20% - Accent4 7 2 2 3" xfId="3466"/>
    <cellStyle name="20% - Accent4 7 2 2 4" xfId="4753"/>
    <cellStyle name="20% - Accent4 7 2 3" xfId="1322"/>
    <cellStyle name="20% - Accent4 7 2 3 2" xfId="2614"/>
    <cellStyle name="20% - Accent4 7 2 3 3" xfId="3892"/>
    <cellStyle name="20% - Accent4 7 2 3 4" xfId="5179"/>
    <cellStyle name="20% - Accent4 7 2 4" xfId="1762"/>
    <cellStyle name="20% - Accent4 7 2 5" xfId="3040"/>
    <cellStyle name="20% - Accent4 7 2 6" xfId="4327"/>
    <cellStyle name="20% - Accent4 7 3" xfId="683"/>
    <cellStyle name="20% - Accent4 7 3 2" xfId="1975"/>
    <cellStyle name="20% - Accent4 7 3 3" xfId="3253"/>
    <cellStyle name="20% - Accent4 7 3 4" xfId="4540"/>
    <cellStyle name="20% - Accent4 7 4" xfId="1109"/>
    <cellStyle name="20% - Accent4 7 4 2" xfId="2401"/>
    <cellStyle name="20% - Accent4 7 4 3" xfId="3679"/>
    <cellStyle name="20% - Accent4 7 4 4" xfId="4966"/>
    <cellStyle name="20% - Accent4 7 5" xfId="1549"/>
    <cellStyle name="20% - Accent4 7 6" xfId="2827"/>
    <cellStyle name="20% - Accent4 7 7" xfId="4114"/>
    <cellStyle name="20% - Accent4 8" xfId="321"/>
    <cellStyle name="20% - Accent4 8 2" xfId="747"/>
    <cellStyle name="20% - Accent4 8 2 2" xfId="2039"/>
    <cellStyle name="20% - Accent4 8 2 3" xfId="3317"/>
    <cellStyle name="20% - Accent4 8 2 4" xfId="4604"/>
    <cellStyle name="20% - Accent4 8 3" xfId="1173"/>
    <cellStyle name="20% - Accent4 8 3 2" xfId="2465"/>
    <cellStyle name="20% - Accent4 8 3 3" xfId="3743"/>
    <cellStyle name="20% - Accent4 8 3 4" xfId="5030"/>
    <cellStyle name="20% - Accent4 8 4" xfId="1613"/>
    <cellStyle name="20% - Accent4 8 5" xfId="2891"/>
    <cellStyle name="20% - Accent4 8 6" xfId="4178"/>
    <cellStyle name="20% - Accent4 9" xfId="534"/>
    <cellStyle name="20% - Accent4 9 2" xfId="1826"/>
    <cellStyle name="20% - Accent4 9 3" xfId="3104"/>
    <cellStyle name="20% - Accent4 9 4" xfId="4391"/>
    <cellStyle name="20% - Accent5" xfId="74" builtinId="46" customBuiltin="1"/>
    <cellStyle name="20% - Accent5 10" xfId="972"/>
    <cellStyle name="20% - Accent5 10 2" xfId="2264"/>
    <cellStyle name="20% - Accent5 10 3" xfId="3542"/>
    <cellStyle name="20% - Accent5 10 4" xfId="4829"/>
    <cellStyle name="20% - Accent5 11" xfId="1412"/>
    <cellStyle name="20% - Accent5 12" xfId="2690"/>
    <cellStyle name="20% - Accent5 13" xfId="3977"/>
    <cellStyle name="20% - Accent5 14" xfId="5239"/>
    <cellStyle name="20% - Accent5 2" xfId="14"/>
    <cellStyle name="20% - Accent5 2 10" xfId="1413"/>
    <cellStyle name="20% - Accent5 2 11" xfId="2691"/>
    <cellStyle name="20% - Accent5 2 12" xfId="3978"/>
    <cellStyle name="20% - Accent5 2 13" xfId="5240"/>
    <cellStyle name="20% - Accent5 2 2" xfId="124"/>
    <cellStyle name="20% - Accent5 2 2 2" xfId="125"/>
    <cellStyle name="20% - Accent5 2 2 2 2" xfId="336"/>
    <cellStyle name="20% - Accent5 2 2 2 2 2" xfId="762"/>
    <cellStyle name="20% - Accent5 2 2 2 2 2 2" xfId="2054"/>
    <cellStyle name="20% - Accent5 2 2 2 2 2 3" xfId="3332"/>
    <cellStyle name="20% - Accent5 2 2 2 2 2 4" xfId="4619"/>
    <cellStyle name="20% - Accent5 2 2 2 2 3" xfId="1188"/>
    <cellStyle name="20% - Accent5 2 2 2 2 3 2" xfId="2480"/>
    <cellStyle name="20% - Accent5 2 2 2 2 3 3" xfId="3758"/>
    <cellStyle name="20% - Accent5 2 2 2 2 3 4" xfId="5045"/>
    <cellStyle name="20% - Accent5 2 2 2 2 4" xfId="1628"/>
    <cellStyle name="20% - Accent5 2 2 2 2 5" xfId="2906"/>
    <cellStyle name="20% - Accent5 2 2 2 2 6" xfId="4193"/>
    <cellStyle name="20% - Accent5 2 2 2 3" xfId="549"/>
    <cellStyle name="20% - Accent5 2 2 2 3 2" xfId="1841"/>
    <cellStyle name="20% - Accent5 2 2 2 3 3" xfId="3119"/>
    <cellStyle name="20% - Accent5 2 2 2 3 4" xfId="4406"/>
    <cellStyle name="20% - Accent5 2 2 2 4" xfId="975"/>
    <cellStyle name="20% - Accent5 2 2 2 4 2" xfId="2267"/>
    <cellStyle name="20% - Accent5 2 2 2 4 3" xfId="3545"/>
    <cellStyle name="20% - Accent5 2 2 2 4 4" xfId="4832"/>
    <cellStyle name="20% - Accent5 2 2 2 5" xfId="1415"/>
    <cellStyle name="20% - Accent5 2 2 2 6" xfId="2693"/>
    <cellStyle name="20% - Accent5 2 2 2 7" xfId="3980"/>
    <cellStyle name="20% - Accent5 2 2 2 8" xfId="5242"/>
    <cellStyle name="20% - Accent5 2 2 3" xfId="335"/>
    <cellStyle name="20% - Accent5 2 2 3 2" xfId="761"/>
    <cellStyle name="20% - Accent5 2 2 3 2 2" xfId="2053"/>
    <cellStyle name="20% - Accent5 2 2 3 2 3" xfId="3331"/>
    <cellStyle name="20% - Accent5 2 2 3 2 4" xfId="4618"/>
    <cellStyle name="20% - Accent5 2 2 3 3" xfId="1187"/>
    <cellStyle name="20% - Accent5 2 2 3 3 2" xfId="2479"/>
    <cellStyle name="20% - Accent5 2 2 3 3 3" xfId="3757"/>
    <cellStyle name="20% - Accent5 2 2 3 3 4" xfId="5044"/>
    <cellStyle name="20% - Accent5 2 2 3 4" xfId="1627"/>
    <cellStyle name="20% - Accent5 2 2 3 5" xfId="2905"/>
    <cellStyle name="20% - Accent5 2 2 3 6" xfId="4192"/>
    <cellStyle name="20% - Accent5 2 2 4" xfId="548"/>
    <cellStyle name="20% - Accent5 2 2 4 2" xfId="1840"/>
    <cellStyle name="20% - Accent5 2 2 4 3" xfId="3118"/>
    <cellStyle name="20% - Accent5 2 2 4 4" xfId="4405"/>
    <cellStyle name="20% - Accent5 2 2 5" xfId="974"/>
    <cellStyle name="20% - Accent5 2 2 5 2" xfId="2266"/>
    <cellStyle name="20% - Accent5 2 2 5 3" xfId="3544"/>
    <cellStyle name="20% - Accent5 2 2 5 4" xfId="4831"/>
    <cellStyle name="20% - Accent5 2 2 6" xfId="1414"/>
    <cellStyle name="20% - Accent5 2 2 7" xfId="2692"/>
    <cellStyle name="20% - Accent5 2 2 8" xfId="3979"/>
    <cellStyle name="20% - Accent5 2 2 9" xfId="5241"/>
    <cellStyle name="20% - Accent5 2 3" xfId="126"/>
    <cellStyle name="20% - Accent5 2 3 2" xfId="337"/>
    <cellStyle name="20% - Accent5 2 3 2 2" xfId="763"/>
    <cellStyle name="20% - Accent5 2 3 2 2 2" xfId="2055"/>
    <cellStyle name="20% - Accent5 2 3 2 2 3" xfId="3333"/>
    <cellStyle name="20% - Accent5 2 3 2 2 4" xfId="4620"/>
    <cellStyle name="20% - Accent5 2 3 2 3" xfId="1189"/>
    <cellStyle name="20% - Accent5 2 3 2 3 2" xfId="2481"/>
    <cellStyle name="20% - Accent5 2 3 2 3 3" xfId="3759"/>
    <cellStyle name="20% - Accent5 2 3 2 3 4" xfId="5046"/>
    <cellStyle name="20% - Accent5 2 3 2 4" xfId="1629"/>
    <cellStyle name="20% - Accent5 2 3 2 5" xfId="2907"/>
    <cellStyle name="20% - Accent5 2 3 2 6" xfId="4194"/>
    <cellStyle name="20% - Accent5 2 3 3" xfId="550"/>
    <cellStyle name="20% - Accent5 2 3 3 2" xfId="1842"/>
    <cellStyle name="20% - Accent5 2 3 3 3" xfId="3120"/>
    <cellStyle name="20% - Accent5 2 3 3 4" xfId="4407"/>
    <cellStyle name="20% - Accent5 2 3 4" xfId="976"/>
    <cellStyle name="20% - Accent5 2 3 4 2" xfId="2268"/>
    <cellStyle name="20% - Accent5 2 3 4 3" xfId="3546"/>
    <cellStyle name="20% - Accent5 2 3 4 4" xfId="4833"/>
    <cellStyle name="20% - Accent5 2 3 5" xfId="1416"/>
    <cellStyle name="20% - Accent5 2 3 6" xfId="2694"/>
    <cellStyle name="20% - Accent5 2 3 7" xfId="3981"/>
    <cellStyle name="20% - Accent5 2 3 8" xfId="5243"/>
    <cellStyle name="20% - Accent5 2 4" xfId="127"/>
    <cellStyle name="20% - Accent5 2 4 2" xfId="338"/>
    <cellStyle name="20% - Accent5 2 4 2 2" xfId="764"/>
    <cellStyle name="20% - Accent5 2 4 2 2 2" xfId="2056"/>
    <cellStyle name="20% - Accent5 2 4 2 2 3" xfId="3334"/>
    <cellStyle name="20% - Accent5 2 4 2 2 4" xfId="4621"/>
    <cellStyle name="20% - Accent5 2 4 2 3" xfId="1190"/>
    <cellStyle name="20% - Accent5 2 4 2 3 2" xfId="2482"/>
    <cellStyle name="20% - Accent5 2 4 2 3 3" xfId="3760"/>
    <cellStyle name="20% - Accent5 2 4 2 3 4" xfId="5047"/>
    <cellStyle name="20% - Accent5 2 4 2 4" xfId="1630"/>
    <cellStyle name="20% - Accent5 2 4 2 5" xfId="2908"/>
    <cellStyle name="20% - Accent5 2 4 2 6" xfId="4195"/>
    <cellStyle name="20% - Accent5 2 4 3" xfId="551"/>
    <cellStyle name="20% - Accent5 2 4 3 2" xfId="1843"/>
    <cellStyle name="20% - Accent5 2 4 3 3" xfId="3121"/>
    <cellStyle name="20% - Accent5 2 4 3 4" xfId="4408"/>
    <cellStyle name="20% - Accent5 2 4 4" xfId="977"/>
    <cellStyle name="20% - Accent5 2 4 4 2" xfId="2269"/>
    <cellStyle name="20% - Accent5 2 4 4 3" xfId="3547"/>
    <cellStyle name="20% - Accent5 2 4 4 4" xfId="4834"/>
    <cellStyle name="20% - Accent5 2 4 5" xfId="1417"/>
    <cellStyle name="20% - Accent5 2 4 6" xfId="2695"/>
    <cellStyle name="20% - Accent5 2 4 7" xfId="3982"/>
    <cellStyle name="20% - Accent5 2 5" xfId="128"/>
    <cellStyle name="20% - Accent5 2 5 2" xfId="339"/>
    <cellStyle name="20% - Accent5 2 5 2 2" xfId="765"/>
    <cellStyle name="20% - Accent5 2 5 2 2 2" xfId="2057"/>
    <cellStyle name="20% - Accent5 2 5 2 2 3" xfId="3335"/>
    <cellStyle name="20% - Accent5 2 5 2 2 4" xfId="4622"/>
    <cellStyle name="20% - Accent5 2 5 2 3" xfId="1191"/>
    <cellStyle name="20% - Accent5 2 5 2 3 2" xfId="2483"/>
    <cellStyle name="20% - Accent5 2 5 2 3 3" xfId="3761"/>
    <cellStyle name="20% - Accent5 2 5 2 3 4" xfId="5048"/>
    <cellStyle name="20% - Accent5 2 5 2 4" xfId="1631"/>
    <cellStyle name="20% - Accent5 2 5 2 5" xfId="2909"/>
    <cellStyle name="20% - Accent5 2 5 2 6" xfId="4196"/>
    <cellStyle name="20% - Accent5 2 5 3" xfId="552"/>
    <cellStyle name="20% - Accent5 2 5 3 2" xfId="1844"/>
    <cellStyle name="20% - Accent5 2 5 3 3" xfId="3122"/>
    <cellStyle name="20% - Accent5 2 5 3 4" xfId="4409"/>
    <cellStyle name="20% - Accent5 2 5 4" xfId="978"/>
    <cellStyle name="20% - Accent5 2 5 4 2" xfId="2270"/>
    <cellStyle name="20% - Accent5 2 5 4 3" xfId="3548"/>
    <cellStyle name="20% - Accent5 2 5 4 4" xfId="4835"/>
    <cellStyle name="20% - Accent5 2 5 5" xfId="1418"/>
    <cellStyle name="20% - Accent5 2 5 6" xfId="2696"/>
    <cellStyle name="20% - Accent5 2 5 7" xfId="3983"/>
    <cellStyle name="20% - Accent5 2 6" xfId="278"/>
    <cellStyle name="20% - Accent5 2 6 2" xfId="491"/>
    <cellStyle name="20% - Accent5 2 6 2 2" xfId="916"/>
    <cellStyle name="20% - Accent5 2 6 2 2 2" xfId="2208"/>
    <cellStyle name="20% - Accent5 2 6 2 2 3" xfId="3486"/>
    <cellStyle name="20% - Accent5 2 6 2 2 4" xfId="4773"/>
    <cellStyle name="20% - Accent5 2 6 2 3" xfId="1342"/>
    <cellStyle name="20% - Accent5 2 6 2 3 2" xfId="2634"/>
    <cellStyle name="20% - Accent5 2 6 2 3 3" xfId="3912"/>
    <cellStyle name="20% - Accent5 2 6 2 3 4" xfId="5199"/>
    <cellStyle name="20% - Accent5 2 6 2 4" xfId="1782"/>
    <cellStyle name="20% - Accent5 2 6 2 5" xfId="3060"/>
    <cellStyle name="20% - Accent5 2 6 2 6" xfId="4347"/>
    <cellStyle name="20% - Accent5 2 6 3" xfId="703"/>
    <cellStyle name="20% - Accent5 2 6 3 2" xfId="1995"/>
    <cellStyle name="20% - Accent5 2 6 3 3" xfId="3273"/>
    <cellStyle name="20% - Accent5 2 6 3 4" xfId="4560"/>
    <cellStyle name="20% - Accent5 2 6 4" xfId="1129"/>
    <cellStyle name="20% - Accent5 2 6 4 2" xfId="2421"/>
    <cellStyle name="20% - Accent5 2 6 4 3" xfId="3699"/>
    <cellStyle name="20% - Accent5 2 6 4 4" xfId="4986"/>
    <cellStyle name="20% - Accent5 2 6 5" xfId="1569"/>
    <cellStyle name="20% - Accent5 2 6 6" xfId="2847"/>
    <cellStyle name="20% - Accent5 2 6 7" xfId="4134"/>
    <cellStyle name="20% - Accent5 2 7" xfId="334"/>
    <cellStyle name="20% - Accent5 2 7 2" xfId="760"/>
    <cellStyle name="20% - Accent5 2 7 2 2" xfId="2052"/>
    <cellStyle name="20% - Accent5 2 7 2 3" xfId="3330"/>
    <cellStyle name="20% - Accent5 2 7 2 4" xfId="4617"/>
    <cellStyle name="20% - Accent5 2 7 3" xfId="1186"/>
    <cellStyle name="20% - Accent5 2 7 3 2" xfId="2478"/>
    <cellStyle name="20% - Accent5 2 7 3 3" xfId="3756"/>
    <cellStyle name="20% - Accent5 2 7 3 4" xfId="5043"/>
    <cellStyle name="20% - Accent5 2 7 4" xfId="1626"/>
    <cellStyle name="20% - Accent5 2 7 5" xfId="2904"/>
    <cellStyle name="20% - Accent5 2 7 6" xfId="4191"/>
    <cellStyle name="20% - Accent5 2 8" xfId="547"/>
    <cellStyle name="20% - Accent5 2 8 2" xfId="1839"/>
    <cellStyle name="20% - Accent5 2 8 3" xfId="3117"/>
    <cellStyle name="20% - Accent5 2 8 4" xfId="4404"/>
    <cellStyle name="20% - Accent5 2 9" xfId="973"/>
    <cellStyle name="20% - Accent5 2 9 2" xfId="2265"/>
    <cellStyle name="20% - Accent5 2 9 3" xfId="3543"/>
    <cellStyle name="20% - Accent5 2 9 4" xfId="4830"/>
    <cellStyle name="20% - Accent5 3" xfId="129"/>
    <cellStyle name="20% - Accent5 3 2" xfId="130"/>
    <cellStyle name="20% - Accent5 3 2 2" xfId="341"/>
    <cellStyle name="20% - Accent5 3 2 2 2" xfId="767"/>
    <cellStyle name="20% - Accent5 3 2 2 2 2" xfId="2059"/>
    <cellStyle name="20% - Accent5 3 2 2 2 3" xfId="3337"/>
    <cellStyle name="20% - Accent5 3 2 2 2 4" xfId="4624"/>
    <cellStyle name="20% - Accent5 3 2 2 3" xfId="1193"/>
    <cellStyle name="20% - Accent5 3 2 2 3 2" xfId="2485"/>
    <cellStyle name="20% - Accent5 3 2 2 3 3" xfId="3763"/>
    <cellStyle name="20% - Accent5 3 2 2 3 4" xfId="5050"/>
    <cellStyle name="20% - Accent5 3 2 2 4" xfId="1633"/>
    <cellStyle name="20% - Accent5 3 2 2 5" xfId="2911"/>
    <cellStyle name="20% - Accent5 3 2 2 6" xfId="4198"/>
    <cellStyle name="20% - Accent5 3 2 3" xfId="554"/>
    <cellStyle name="20% - Accent5 3 2 3 2" xfId="1846"/>
    <cellStyle name="20% - Accent5 3 2 3 3" xfId="3124"/>
    <cellStyle name="20% - Accent5 3 2 3 4" xfId="4411"/>
    <cellStyle name="20% - Accent5 3 2 4" xfId="980"/>
    <cellStyle name="20% - Accent5 3 2 4 2" xfId="2272"/>
    <cellStyle name="20% - Accent5 3 2 4 3" xfId="3550"/>
    <cellStyle name="20% - Accent5 3 2 4 4" xfId="4837"/>
    <cellStyle name="20% - Accent5 3 2 5" xfId="1420"/>
    <cellStyle name="20% - Accent5 3 2 6" xfId="2698"/>
    <cellStyle name="20% - Accent5 3 2 7" xfId="3985"/>
    <cellStyle name="20% - Accent5 3 2 8" xfId="5245"/>
    <cellStyle name="20% - Accent5 3 3" xfId="340"/>
    <cellStyle name="20% - Accent5 3 3 2" xfId="766"/>
    <cellStyle name="20% - Accent5 3 3 2 2" xfId="2058"/>
    <cellStyle name="20% - Accent5 3 3 2 3" xfId="3336"/>
    <cellStyle name="20% - Accent5 3 3 2 4" xfId="4623"/>
    <cellStyle name="20% - Accent5 3 3 3" xfId="1192"/>
    <cellStyle name="20% - Accent5 3 3 3 2" xfId="2484"/>
    <cellStyle name="20% - Accent5 3 3 3 3" xfId="3762"/>
    <cellStyle name="20% - Accent5 3 3 3 4" xfId="5049"/>
    <cellStyle name="20% - Accent5 3 3 4" xfId="1632"/>
    <cellStyle name="20% - Accent5 3 3 5" xfId="2910"/>
    <cellStyle name="20% - Accent5 3 3 6" xfId="4197"/>
    <cellStyle name="20% - Accent5 3 4" xfId="553"/>
    <cellStyle name="20% - Accent5 3 4 2" xfId="1845"/>
    <cellStyle name="20% - Accent5 3 4 3" xfId="3123"/>
    <cellStyle name="20% - Accent5 3 4 4" xfId="4410"/>
    <cellStyle name="20% - Accent5 3 5" xfId="979"/>
    <cellStyle name="20% - Accent5 3 5 2" xfId="2271"/>
    <cellStyle name="20% - Accent5 3 5 3" xfId="3549"/>
    <cellStyle name="20% - Accent5 3 5 4" xfId="4836"/>
    <cellStyle name="20% - Accent5 3 6" xfId="1419"/>
    <cellStyle name="20% - Accent5 3 7" xfId="2697"/>
    <cellStyle name="20% - Accent5 3 8" xfId="3984"/>
    <cellStyle name="20% - Accent5 3 9" xfId="5244"/>
    <cellStyle name="20% - Accent5 4" xfId="131"/>
    <cellStyle name="20% - Accent5 4 2" xfId="342"/>
    <cellStyle name="20% - Accent5 4 2 2" xfId="768"/>
    <cellStyle name="20% - Accent5 4 2 2 2" xfId="2060"/>
    <cellStyle name="20% - Accent5 4 2 2 3" xfId="3338"/>
    <cellStyle name="20% - Accent5 4 2 2 4" xfId="4625"/>
    <cellStyle name="20% - Accent5 4 2 3" xfId="1194"/>
    <cellStyle name="20% - Accent5 4 2 3 2" xfId="2486"/>
    <cellStyle name="20% - Accent5 4 2 3 3" xfId="3764"/>
    <cellStyle name="20% - Accent5 4 2 3 4" xfId="5051"/>
    <cellStyle name="20% - Accent5 4 2 4" xfId="1634"/>
    <cellStyle name="20% - Accent5 4 2 5" xfId="2912"/>
    <cellStyle name="20% - Accent5 4 2 6" xfId="4199"/>
    <cellStyle name="20% - Accent5 4 3" xfId="555"/>
    <cellStyle name="20% - Accent5 4 3 2" xfId="1847"/>
    <cellStyle name="20% - Accent5 4 3 3" xfId="3125"/>
    <cellStyle name="20% - Accent5 4 3 4" xfId="4412"/>
    <cellStyle name="20% - Accent5 4 4" xfId="981"/>
    <cellStyle name="20% - Accent5 4 4 2" xfId="2273"/>
    <cellStyle name="20% - Accent5 4 4 3" xfId="3551"/>
    <cellStyle name="20% - Accent5 4 4 4" xfId="4838"/>
    <cellStyle name="20% - Accent5 4 5" xfId="1421"/>
    <cellStyle name="20% - Accent5 4 6" xfId="2699"/>
    <cellStyle name="20% - Accent5 4 7" xfId="3986"/>
    <cellStyle name="20% - Accent5 4 8" xfId="5246"/>
    <cellStyle name="20% - Accent5 5" xfId="132"/>
    <cellStyle name="20% - Accent5 5 2" xfId="343"/>
    <cellStyle name="20% - Accent5 5 2 2" xfId="769"/>
    <cellStyle name="20% - Accent5 5 2 2 2" xfId="2061"/>
    <cellStyle name="20% - Accent5 5 2 2 3" xfId="3339"/>
    <cellStyle name="20% - Accent5 5 2 2 4" xfId="4626"/>
    <cellStyle name="20% - Accent5 5 2 3" xfId="1195"/>
    <cellStyle name="20% - Accent5 5 2 3 2" xfId="2487"/>
    <cellStyle name="20% - Accent5 5 2 3 3" xfId="3765"/>
    <cellStyle name="20% - Accent5 5 2 3 4" xfId="5052"/>
    <cellStyle name="20% - Accent5 5 2 4" xfId="1635"/>
    <cellStyle name="20% - Accent5 5 2 5" xfId="2913"/>
    <cellStyle name="20% - Accent5 5 2 6" xfId="4200"/>
    <cellStyle name="20% - Accent5 5 3" xfId="556"/>
    <cellStyle name="20% - Accent5 5 3 2" xfId="1848"/>
    <cellStyle name="20% - Accent5 5 3 3" xfId="3126"/>
    <cellStyle name="20% - Accent5 5 3 4" xfId="4413"/>
    <cellStyle name="20% - Accent5 5 4" xfId="982"/>
    <cellStyle name="20% - Accent5 5 4 2" xfId="2274"/>
    <cellStyle name="20% - Accent5 5 4 3" xfId="3552"/>
    <cellStyle name="20% - Accent5 5 4 4" xfId="4839"/>
    <cellStyle name="20% - Accent5 5 5" xfId="1422"/>
    <cellStyle name="20% - Accent5 5 6" xfId="2700"/>
    <cellStyle name="20% - Accent5 5 7" xfId="3987"/>
    <cellStyle name="20% - Accent5 6" xfId="133"/>
    <cellStyle name="20% - Accent5 6 2" xfId="344"/>
    <cellStyle name="20% - Accent5 6 2 2" xfId="770"/>
    <cellStyle name="20% - Accent5 6 2 2 2" xfId="2062"/>
    <cellStyle name="20% - Accent5 6 2 2 3" xfId="3340"/>
    <cellStyle name="20% - Accent5 6 2 2 4" xfId="4627"/>
    <cellStyle name="20% - Accent5 6 2 3" xfId="1196"/>
    <cellStyle name="20% - Accent5 6 2 3 2" xfId="2488"/>
    <cellStyle name="20% - Accent5 6 2 3 3" xfId="3766"/>
    <cellStyle name="20% - Accent5 6 2 3 4" xfId="5053"/>
    <cellStyle name="20% - Accent5 6 2 4" xfId="1636"/>
    <cellStyle name="20% - Accent5 6 2 5" xfId="2914"/>
    <cellStyle name="20% - Accent5 6 2 6" xfId="4201"/>
    <cellStyle name="20% - Accent5 6 3" xfId="557"/>
    <cellStyle name="20% - Accent5 6 3 2" xfId="1849"/>
    <cellStyle name="20% - Accent5 6 3 3" xfId="3127"/>
    <cellStyle name="20% - Accent5 6 3 4" xfId="4414"/>
    <cellStyle name="20% - Accent5 6 4" xfId="983"/>
    <cellStyle name="20% - Accent5 6 4 2" xfId="2275"/>
    <cellStyle name="20% - Accent5 6 4 3" xfId="3553"/>
    <cellStyle name="20% - Accent5 6 4 4" xfId="4840"/>
    <cellStyle name="20% - Accent5 6 5" xfId="1423"/>
    <cellStyle name="20% - Accent5 6 6" xfId="2701"/>
    <cellStyle name="20% - Accent5 6 7" xfId="3988"/>
    <cellStyle name="20% - Accent5 7" xfId="259"/>
    <cellStyle name="20% - Accent5 7 2" xfId="472"/>
    <cellStyle name="20% - Accent5 7 2 2" xfId="897"/>
    <cellStyle name="20% - Accent5 7 2 2 2" xfId="2189"/>
    <cellStyle name="20% - Accent5 7 2 2 3" xfId="3467"/>
    <cellStyle name="20% - Accent5 7 2 2 4" xfId="4754"/>
    <cellStyle name="20% - Accent5 7 2 3" xfId="1323"/>
    <cellStyle name="20% - Accent5 7 2 3 2" xfId="2615"/>
    <cellStyle name="20% - Accent5 7 2 3 3" xfId="3893"/>
    <cellStyle name="20% - Accent5 7 2 3 4" xfId="5180"/>
    <cellStyle name="20% - Accent5 7 2 4" xfId="1763"/>
    <cellStyle name="20% - Accent5 7 2 5" xfId="3041"/>
    <cellStyle name="20% - Accent5 7 2 6" xfId="4328"/>
    <cellStyle name="20% - Accent5 7 3" xfId="684"/>
    <cellStyle name="20% - Accent5 7 3 2" xfId="1976"/>
    <cellStyle name="20% - Accent5 7 3 3" xfId="3254"/>
    <cellStyle name="20% - Accent5 7 3 4" xfId="4541"/>
    <cellStyle name="20% - Accent5 7 4" xfId="1110"/>
    <cellStyle name="20% - Accent5 7 4 2" xfId="2402"/>
    <cellStyle name="20% - Accent5 7 4 3" xfId="3680"/>
    <cellStyle name="20% - Accent5 7 4 4" xfId="4967"/>
    <cellStyle name="20% - Accent5 7 5" xfId="1550"/>
    <cellStyle name="20% - Accent5 7 6" xfId="2828"/>
    <cellStyle name="20% - Accent5 7 7" xfId="4115"/>
    <cellStyle name="20% - Accent5 8" xfId="333"/>
    <cellStyle name="20% - Accent5 8 2" xfId="759"/>
    <cellStyle name="20% - Accent5 8 2 2" xfId="2051"/>
    <cellStyle name="20% - Accent5 8 2 3" xfId="3329"/>
    <cellStyle name="20% - Accent5 8 2 4" xfId="4616"/>
    <cellStyle name="20% - Accent5 8 3" xfId="1185"/>
    <cellStyle name="20% - Accent5 8 3 2" xfId="2477"/>
    <cellStyle name="20% - Accent5 8 3 3" xfId="3755"/>
    <cellStyle name="20% - Accent5 8 3 4" xfId="5042"/>
    <cellStyle name="20% - Accent5 8 4" xfId="1625"/>
    <cellStyle name="20% - Accent5 8 5" xfId="2903"/>
    <cellStyle name="20% - Accent5 8 6" xfId="4190"/>
    <cellStyle name="20% - Accent5 9" xfId="546"/>
    <cellStyle name="20% - Accent5 9 2" xfId="1838"/>
    <cellStyle name="20% - Accent5 9 3" xfId="3116"/>
    <cellStyle name="20% - Accent5 9 4" xfId="4403"/>
    <cellStyle name="20% - Accent6" xfId="78" builtinId="50" customBuiltin="1"/>
    <cellStyle name="20% - Accent6 10" xfId="984"/>
    <cellStyle name="20% - Accent6 10 2" xfId="2276"/>
    <cellStyle name="20% - Accent6 10 3" xfId="3554"/>
    <cellStyle name="20% - Accent6 10 4" xfId="4841"/>
    <cellStyle name="20% - Accent6 11" xfId="1424"/>
    <cellStyle name="20% - Accent6 12" xfId="2702"/>
    <cellStyle name="20% - Accent6 13" xfId="3989"/>
    <cellStyle name="20% - Accent6 14" xfId="5247"/>
    <cellStyle name="20% - Accent6 2" xfId="15"/>
    <cellStyle name="20% - Accent6 2 10" xfId="1425"/>
    <cellStyle name="20% - Accent6 2 11" xfId="2703"/>
    <cellStyle name="20% - Accent6 2 12" xfId="3990"/>
    <cellStyle name="20% - Accent6 2 13" xfId="5248"/>
    <cellStyle name="20% - Accent6 2 2" xfId="134"/>
    <cellStyle name="20% - Accent6 2 2 2" xfId="135"/>
    <cellStyle name="20% - Accent6 2 2 2 2" xfId="348"/>
    <cellStyle name="20% - Accent6 2 2 2 2 2" xfId="774"/>
    <cellStyle name="20% - Accent6 2 2 2 2 2 2" xfId="2066"/>
    <cellStyle name="20% - Accent6 2 2 2 2 2 3" xfId="3344"/>
    <cellStyle name="20% - Accent6 2 2 2 2 2 4" xfId="4631"/>
    <cellStyle name="20% - Accent6 2 2 2 2 3" xfId="1200"/>
    <cellStyle name="20% - Accent6 2 2 2 2 3 2" xfId="2492"/>
    <cellStyle name="20% - Accent6 2 2 2 2 3 3" xfId="3770"/>
    <cellStyle name="20% - Accent6 2 2 2 2 3 4" xfId="5057"/>
    <cellStyle name="20% - Accent6 2 2 2 2 4" xfId="1640"/>
    <cellStyle name="20% - Accent6 2 2 2 2 5" xfId="2918"/>
    <cellStyle name="20% - Accent6 2 2 2 2 6" xfId="4205"/>
    <cellStyle name="20% - Accent6 2 2 2 3" xfId="561"/>
    <cellStyle name="20% - Accent6 2 2 2 3 2" xfId="1853"/>
    <cellStyle name="20% - Accent6 2 2 2 3 3" xfId="3131"/>
    <cellStyle name="20% - Accent6 2 2 2 3 4" xfId="4418"/>
    <cellStyle name="20% - Accent6 2 2 2 4" xfId="987"/>
    <cellStyle name="20% - Accent6 2 2 2 4 2" xfId="2279"/>
    <cellStyle name="20% - Accent6 2 2 2 4 3" xfId="3557"/>
    <cellStyle name="20% - Accent6 2 2 2 4 4" xfId="4844"/>
    <cellStyle name="20% - Accent6 2 2 2 5" xfId="1427"/>
    <cellStyle name="20% - Accent6 2 2 2 6" xfId="2705"/>
    <cellStyle name="20% - Accent6 2 2 2 7" xfId="3992"/>
    <cellStyle name="20% - Accent6 2 2 2 8" xfId="5250"/>
    <cellStyle name="20% - Accent6 2 2 3" xfId="347"/>
    <cellStyle name="20% - Accent6 2 2 3 2" xfId="773"/>
    <cellStyle name="20% - Accent6 2 2 3 2 2" xfId="2065"/>
    <cellStyle name="20% - Accent6 2 2 3 2 3" xfId="3343"/>
    <cellStyle name="20% - Accent6 2 2 3 2 4" xfId="4630"/>
    <cellStyle name="20% - Accent6 2 2 3 3" xfId="1199"/>
    <cellStyle name="20% - Accent6 2 2 3 3 2" xfId="2491"/>
    <cellStyle name="20% - Accent6 2 2 3 3 3" xfId="3769"/>
    <cellStyle name="20% - Accent6 2 2 3 3 4" xfId="5056"/>
    <cellStyle name="20% - Accent6 2 2 3 4" xfId="1639"/>
    <cellStyle name="20% - Accent6 2 2 3 5" xfId="2917"/>
    <cellStyle name="20% - Accent6 2 2 3 6" xfId="4204"/>
    <cellStyle name="20% - Accent6 2 2 4" xfId="560"/>
    <cellStyle name="20% - Accent6 2 2 4 2" xfId="1852"/>
    <cellStyle name="20% - Accent6 2 2 4 3" xfId="3130"/>
    <cellStyle name="20% - Accent6 2 2 4 4" xfId="4417"/>
    <cellStyle name="20% - Accent6 2 2 5" xfId="986"/>
    <cellStyle name="20% - Accent6 2 2 5 2" xfId="2278"/>
    <cellStyle name="20% - Accent6 2 2 5 3" xfId="3556"/>
    <cellStyle name="20% - Accent6 2 2 5 4" xfId="4843"/>
    <cellStyle name="20% - Accent6 2 2 6" xfId="1426"/>
    <cellStyle name="20% - Accent6 2 2 7" xfId="2704"/>
    <cellStyle name="20% - Accent6 2 2 8" xfId="3991"/>
    <cellStyle name="20% - Accent6 2 2 9" xfId="5249"/>
    <cellStyle name="20% - Accent6 2 3" xfId="136"/>
    <cellStyle name="20% - Accent6 2 3 2" xfId="349"/>
    <cellStyle name="20% - Accent6 2 3 2 2" xfId="775"/>
    <cellStyle name="20% - Accent6 2 3 2 2 2" xfId="2067"/>
    <cellStyle name="20% - Accent6 2 3 2 2 3" xfId="3345"/>
    <cellStyle name="20% - Accent6 2 3 2 2 4" xfId="4632"/>
    <cellStyle name="20% - Accent6 2 3 2 3" xfId="1201"/>
    <cellStyle name="20% - Accent6 2 3 2 3 2" xfId="2493"/>
    <cellStyle name="20% - Accent6 2 3 2 3 3" xfId="3771"/>
    <cellStyle name="20% - Accent6 2 3 2 3 4" xfId="5058"/>
    <cellStyle name="20% - Accent6 2 3 2 4" xfId="1641"/>
    <cellStyle name="20% - Accent6 2 3 2 5" xfId="2919"/>
    <cellStyle name="20% - Accent6 2 3 2 6" xfId="4206"/>
    <cellStyle name="20% - Accent6 2 3 3" xfId="562"/>
    <cellStyle name="20% - Accent6 2 3 3 2" xfId="1854"/>
    <cellStyle name="20% - Accent6 2 3 3 3" xfId="3132"/>
    <cellStyle name="20% - Accent6 2 3 3 4" xfId="4419"/>
    <cellStyle name="20% - Accent6 2 3 4" xfId="988"/>
    <cellStyle name="20% - Accent6 2 3 4 2" xfId="2280"/>
    <cellStyle name="20% - Accent6 2 3 4 3" xfId="3558"/>
    <cellStyle name="20% - Accent6 2 3 4 4" xfId="4845"/>
    <cellStyle name="20% - Accent6 2 3 5" xfId="1428"/>
    <cellStyle name="20% - Accent6 2 3 6" xfId="2706"/>
    <cellStyle name="20% - Accent6 2 3 7" xfId="3993"/>
    <cellStyle name="20% - Accent6 2 3 8" xfId="5251"/>
    <cellStyle name="20% - Accent6 2 4" xfId="137"/>
    <cellStyle name="20% - Accent6 2 4 2" xfId="350"/>
    <cellStyle name="20% - Accent6 2 4 2 2" xfId="776"/>
    <cellStyle name="20% - Accent6 2 4 2 2 2" xfId="2068"/>
    <cellStyle name="20% - Accent6 2 4 2 2 3" xfId="3346"/>
    <cellStyle name="20% - Accent6 2 4 2 2 4" xfId="4633"/>
    <cellStyle name="20% - Accent6 2 4 2 3" xfId="1202"/>
    <cellStyle name="20% - Accent6 2 4 2 3 2" xfId="2494"/>
    <cellStyle name="20% - Accent6 2 4 2 3 3" xfId="3772"/>
    <cellStyle name="20% - Accent6 2 4 2 3 4" xfId="5059"/>
    <cellStyle name="20% - Accent6 2 4 2 4" xfId="1642"/>
    <cellStyle name="20% - Accent6 2 4 2 5" xfId="2920"/>
    <cellStyle name="20% - Accent6 2 4 2 6" xfId="4207"/>
    <cellStyle name="20% - Accent6 2 4 3" xfId="563"/>
    <cellStyle name="20% - Accent6 2 4 3 2" xfId="1855"/>
    <cellStyle name="20% - Accent6 2 4 3 3" xfId="3133"/>
    <cellStyle name="20% - Accent6 2 4 3 4" xfId="4420"/>
    <cellStyle name="20% - Accent6 2 4 4" xfId="989"/>
    <cellStyle name="20% - Accent6 2 4 4 2" xfId="2281"/>
    <cellStyle name="20% - Accent6 2 4 4 3" xfId="3559"/>
    <cellStyle name="20% - Accent6 2 4 4 4" xfId="4846"/>
    <cellStyle name="20% - Accent6 2 4 5" xfId="1429"/>
    <cellStyle name="20% - Accent6 2 4 6" xfId="2707"/>
    <cellStyle name="20% - Accent6 2 4 7" xfId="3994"/>
    <cellStyle name="20% - Accent6 2 5" xfId="138"/>
    <cellStyle name="20% - Accent6 2 5 2" xfId="351"/>
    <cellStyle name="20% - Accent6 2 5 2 2" xfId="777"/>
    <cellStyle name="20% - Accent6 2 5 2 2 2" xfId="2069"/>
    <cellStyle name="20% - Accent6 2 5 2 2 3" xfId="3347"/>
    <cellStyle name="20% - Accent6 2 5 2 2 4" xfId="4634"/>
    <cellStyle name="20% - Accent6 2 5 2 3" xfId="1203"/>
    <cellStyle name="20% - Accent6 2 5 2 3 2" xfId="2495"/>
    <cellStyle name="20% - Accent6 2 5 2 3 3" xfId="3773"/>
    <cellStyle name="20% - Accent6 2 5 2 3 4" xfId="5060"/>
    <cellStyle name="20% - Accent6 2 5 2 4" xfId="1643"/>
    <cellStyle name="20% - Accent6 2 5 2 5" xfId="2921"/>
    <cellStyle name="20% - Accent6 2 5 2 6" xfId="4208"/>
    <cellStyle name="20% - Accent6 2 5 3" xfId="564"/>
    <cellStyle name="20% - Accent6 2 5 3 2" xfId="1856"/>
    <cellStyle name="20% - Accent6 2 5 3 3" xfId="3134"/>
    <cellStyle name="20% - Accent6 2 5 3 4" xfId="4421"/>
    <cellStyle name="20% - Accent6 2 5 4" xfId="990"/>
    <cellStyle name="20% - Accent6 2 5 4 2" xfId="2282"/>
    <cellStyle name="20% - Accent6 2 5 4 3" xfId="3560"/>
    <cellStyle name="20% - Accent6 2 5 4 4" xfId="4847"/>
    <cellStyle name="20% - Accent6 2 5 5" xfId="1430"/>
    <cellStyle name="20% - Accent6 2 5 6" xfId="2708"/>
    <cellStyle name="20% - Accent6 2 5 7" xfId="3995"/>
    <cellStyle name="20% - Accent6 2 6" xfId="280"/>
    <cellStyle name="20% - Accent6 2 6 2" xfId="493"/>
    <cellStyle name="20% - Accent6 2 6 2 2" xfId="918"/>
    <cellStyle name="20% - Accent6 2 6 2 2 2" xfId="2210"/>
    <cellStyle name="20% - Accent6 2 6 2 2 3" xfId="3488"/>
    <cellStyle name="20% - Accent6 2 6 2 2 4" xfId="4775"/>
    <cellStyle name="20% - Accent6 2 6 2 3" xfId="1344"/>
    <cellStyle name="20% - Accent6 2 6 2 3 2" xfId="2636"/>
    <cellStyle name="20% - Accent6 2 6 2 3 3" xfId="3914"/>
    <cellStyle name="20% - Accent6 2 6 2 3 4" xfId="5201"/>
    <cellStyle name="20% - Accent6 2 6 2 4" xfId="1784"/>
    <cellStyle name="20% - Accent6 2 6 2 5" xfId="3062"/>
    <cellStyle name="20% - Accent6 2 6 2 6" xfId="4349"/>
    <cellStyle name="20% - Accent6 2 6 3" xfId="705"/>
    <cellStyle name="20% - Accent6 2 6 3 2" xfId="1997"/>
    <cellStyle name="20% - Accent6 2 6 3 3" xfId="3275"/>
    <cellStyle name="20% - Accent6 2 6 3 4" xfId="4562"/>
    <cellStyle name="20% - Accent6 2 6 4" xfId="1131"/>
    <cellStyle name="20% - Accent6 2 6 4 2" xfId="2423"/>
    <cellStyle name="20% - Accent6 2 6 4 3" xfId="3701"/>
    <cellStyle name="20% - Accent6 2 6 4 4" xfId="4988"/>
    <cellStyle name="20% - Accent6 2 6 5" xfId="1571"/>
    <cellStyle name="20% - Accent6 2 6 6" xfId="2849"/>
    <cellStyle name="20% - Accent6 2 6 7" xfId="4136"/>
    <cellStyle name="20% - Accent6 2 7" xfId="346"/>
    <cellStyle name="20% - Accent6 2 7 2" xfId="772"/>
    <cellStyle name="20% - Accent6 2 7 2 2" xfId="2064"/>
    <cellStyle name="20% - Accent6 2 7 2 3" xfId="3342"/>
    <cellStyle name="20% - Accent6 2 7 2 4" xfId="4629"/>
    <cellStyle name="20% - Accent6 2 7 3" xfId="1198"/>
    <cellStyle name="20% - Accent6 2 7 3 2" xfId="2490"/>
    <cellStyle name="20% - Accent6 2 7 3 3" xfId="3768"/>
    <cellStyle name="20% - Accent6 2 7 3 4" xfId="5055"/>
    <cellStyle name="20% - Accent6 2 7 4" xfId="1638"/>
    <cellStyle name="20% - Accent6 2 7 5" xfId="2916"/>
    <cellStyle name="20% - Accent6 2 7 6" xfId="4203"/>
    <cellStyle name="20% - Accent6 2 8" xfId="559"/>
    <cellStyle name="20% - Accent6 2 8 2" xfId="1851"/>
    <cellStyle name="20% - Accent6 2 8 3" xfId="3129"/>
    <cellStyle name="20% - Accent6 2 8 4" xfId="4416"/>
    <cellStyle name="20% - Accent6 2 9" xfId="985"/>
    <cellStyle name="20% - Accent6 2 9 2" xfId="2277"/>
    <cellStyle name="20% - Accent6 2 9 3" xfId="3555"/>
    <cellStyle name="20% - Accent6 2 9 4" xfId="4842"/>
    <cellStyle name="20% - Accent6 3" xfId="139"/>
    <cellStyle name="20% - Accent6 3 2" xfId="140"/>
    <cellStyle name="20% - Accent6 3 2 2" xfId="353"/>
    <cellStyle name="20% - Accent6 3 2 2 2" xfId="779"/>
    <cellStyle name="20% - Accent6 3 2 2 2 2" xfId="2071"/>
    <cellStyle name="20% - Accent6 3 2 2 2 3" xfId="3349"/>
    <cellStyle name="20% - Accent6 3 2 2 2 4" xfId="4636"/>
    <cellStyle name="20% - Accent6 3 2 2 3" xfId="1205"/>
    <cellStyle name="20% - Accent6 3 2 2 3 2" xfId="2497"/>
    <cellStyle name="20% - Accent6 3 2 2 3 3" xfId="3775"/>
    <cellStyle name="20% - Accent6 3 2 2 3 4" xfId="5062"/>
    <cellStyle name="20% - Accent6 3 2 2 4" xfId="1645"/>
    <cellStyle name="20% - Accent6 3 2 2 5" xfId="2923"/>
    <cellStyle name="20% - Accent6 3 2 2 6" xfId="4210"/>
    <cellStyle name="20% - Accent6 3 2 3" xfId="566"/>
    <cellStyle name="20% - Accent6 3 2 3 2" xfId="1858"/>
    <cellStyle name="20% - Accent6 3 2 3 3" xfId="3136"/>
    <cellStyle name="20% - Accent6 3 2 3 4" xfId="4423"/>
    <cellStyle name="20% - Accent6 3 2 4" xfId="992"/>
    <cellStyle name="20% - Accent6 3 2 4 2" xfId="2284"/>
    <cellStyle name="20% - Accent6 3 2 4 3" xfId="3562"/>
    <cellStyle name="20% - Accent6 3 2 4 4" xfId="4849"/>
    <cellStyle name="20% - Accent6 3 2 5" xfId="1432"/>
    <cellStyle name="20% - Accent6 3 2 6" xfId="2710"/>
    <cellStyle name="20% - Accent6 3 2 7" xfId="3997"/>
    <cellStyle name="20% - Accent6 3 2 8" xfId="5253"/>
    <cellStyle name="20% - Accent6 3 3" xfId="352"/>
    <cellStyle name="20% - Accent6 3 3 2" xfId="778"/>
    <cellStyle name="20% - Accent6 3 3 2 2" xfId="2070"/>
    <cellStyle name="20% - Accent6 3 3 2 3" xfId="3348"/>
    <cellStyle name="20% - Accent6 3 3 2 4" xfId="4635"/>
    <cellStyle name="20% - Accent6 3 3 3" xfId="1204"/>
    <cellStyle name="20% - Accent6 3 3 3 2" xfId="2496"/>
    <cellStyle name="20% - Accent6 3 3 3 3" xfId="3774"/>
    <cellStyle name="20% - Accent6 3 3 3 4" xfId="5061"/>
    <cellStyle name="20% - Accent6 3 3 4" xfId="1644"/>
    <cellStyle name="20% - Accent6 3 3 5" xfId="2922"/>
    <cellStyle name="20% - Accent6 3 3 6" xfId="4209"/>
    <cellStyle name="20% - Accent6 3 4" xfId="565"/>
    <cellStyle name="20% - Accent6 3 4 2" xfId="1857"/>
    <cellStyle name="20% - Accent6 3 4 3" xfId="3135"/>
    <cellStyle name="20% - Accent6 3 4 4" xfId="4422"/>
    <cellStyle name="20% - Accent6 3 5" xfId="991"/>
    <cellStyle name="20% - Accent6 3 5 2" xfId="2283"/>
    <cellStyle name="20% - Accent6 3 5 3" xfId="3561"/>
    <cellStyle name="20% - Accent6 3 5 4" xfId="4848"/>
    <cellStyle name="20% - Accent6 3 6" xfId="1431"/>
    <cellStyle name="20% - Accent6 3 7" xfId="2709"/>
    <cellStyle name="20% - Accent6 3 8" xfId="3996"/>
    <cellStyle name="20% - Accent6 3 9" xfId="5252"/>
    <cellStyle name="20% - Accent6 4" xfId="141"/>
    <cellStyle name="20% - Accent6 4 2" xfId="354"/>
    <cellStyle name="20% - Accent6 4 2 2" xfId="780"/>
    <cellStyle name="20% - Accent6 4 2 2 2" xfId="2072"/>
    <cellStyle name="20% - Accent6 4 2 2 3" xfId="3350"/>
    <cellStyle name="20% - Accent6 4 2 2 4" xfId="4637"/>
    <cellStyle name="20% - Accent6 4 2 3" xfId="1206"/>
    <cellStyle name="20% - Accent6 4 2 3 2" xfId="2498"/>
    <cellStyle name="20% - Accent6 4 2 3 3" xfId="3776"/>
    <cellStyle name="20% - Accent6 4 2 3 4" xfId="5063"/>
    <cellStyle name="20% - Accent6 4 2 4" xfId="1646"/>
    <cellStyle name="20% - Accent6 4 2 5" xfId="2924"/>
    <cellStyle name="20% - Accent6 4 2 6" xfId="4211"/>
    <cellStyle name="20% - Accent6 4 3" xfId="567"/>
    <cellStyle name="20% - Accent6 4 3 2" xfId="1859"/>
    <cellStyle name="20% - Accent6 4 3 3" xfId="3137"/>
    <cellStyle name="20% - Accent6 4 3 4" xfId="4424"/>
    <cellStyle name="20% - Accent6 4 4" xfId="993"/>
    <cellStyle name="20% - Accent6 4 4 2" xfId="2285"/>
    <cellStyle name="20% - Accent6 4 4 3" xfId="3563"/>
    <cellStyle name="20% - Accent6 4 4 4" xfId="4850"/>
    <cellStyle name="20% - Accent6 4 5" xfId="1433"/>
    <cellStyle name="20% - Accent6 4 6" xfId="2711"/>
    <cellStyle name="20% - Accent6 4 7" xfId="3998"/>
    <cellStyle name="20% - Accent6 4 8" xfId="5254"/>
    <cellStyle name="20% - Accent6 5" xfId="142"/>
    <cellStyle name="20% - Accent6 5 2" xfId="355"/>
    <cellStyle name="20% - Accent6 5 2 2" xfId="781"/>
    <cellStyle name="20% - Accent6 5 2 2 2" xfId="2073"/>
    <cellStyle name="20% - Accent6 5 2 2 3" xfId="3351"/>
    <cellStyle name="20% - Accent6 5 2 2 4" xfId="4638"/>
    <cellStyle name="20% - Accent6 5 2 3" xfId="1207"/>
    <cellStyle name="20% - Accent6 5 2 3 2" xfId="2499"/>
    <cellStyle name="20% - Accent6 5 2 3 3" xfId="3777"/>
    <cellStyle name="20% - Accent6 5 2 3 4" xfId="5064"/>
    <cellStyle name="20% - Accent6 5 2 4" xfId="1647"/>
    <cellStyle name="20% - Accent6 5 2 5" xfId="2925"/>
    <cellStyle name="20% - Accent6 5 2 6" xfId="4212"/>
    <cellStyle name="20% - Accent6 5 3" xfId="568"/>
    <cellStyle name="20% - Accent6 5 3 2" xfId="1860"/>
    <cellStyle name="20% - Accent6 5 3 3" xfId="3138"/>
    <cellStyle name="20% - Accent6 5 3 4" xfId="4425"/>
    <cellStyle name="20% - Accent6 5 4" xfId="994"/>
    <cellStyle name="20% - Accent6 5 4 2" xfId="2286"/>
    <cellStyle name="20% - Accent6 5 4 3" xfId="3564"/>
    <cellStyle name="20% - Accent6 5 4 4" xfId="4851"/>
    <cellStyle name="20% - Accent6 5 5" xfId="1434"/>
    <cellStyle name="20% - Accent6 5 6" xfId="2712"/>
    <cellStyle name="20% - Accent6 5 7" xfId="3999"/>
    <cellStyle name="20% - Accent6 6" xfId="143"/>
    <cellStyle name="20% - Accent6 6 2" xfId="356"/>
    <cellStyle name="20% - Accent6 6 2 2" xfId="782"/>
    <cellStyle name="20% - Accent6 6 2 2 2" xfId="2074"/>
    <cellStyle name="20% - Accent6 6 2 2 3" xfId="3352"/>
    <cellStyle name="20% - Accent6 6 2 2 4" xfId="4639"/>
    <cellStyle name="20% - Accent6 6 2 3" xfId="1208"/>
    <cellStyle name="20% - Accent6 6 2 3 2" xfId="2500"/>
    <cellStyle name="20% - Accent6 6 2 3 3" xfId="3778"/>
    <cellStyle name="20% - Accent6 6 2 3 4" xfId="5065"/>
    <cellStyle name="20% - Accent6 6 2 4" xfId="1648"/>
    <cellStyle name="20% - Accent6 6 2 5" xfId="2926"/>
    <cellStyle name="20% - Accent6 6 2 6" xfId="4213"/>
    <cellStyle name="20% - Accent6 6 3" xfId="569"/>
    <cellStyle name="20% - Accent6 6 3 2" xfId="1861"/>
    <cellStyle name="20% - Accent6 6 3 3" xfId="3139"/>
    <cellStyle name="20% - Accent6 6 3 4" xfId="4426"/>
    <cellStyle name="20% - Accent6 6 4" xfId="995"/>
    <cellStyle name="20% - Accent6 6 4 2" xfId="2287"/>
    <cellStyle name="20% - Accent6 6 4 3" xfId="3565"/>
    <cellStyle name="20% - Accent6 6 4 4" xfId="4852"/>
    <cellStyle name="20% - Accent6 6 5" xfId="1435"/>
    <cellStyle name="20% - Accent6 6 6" xfId="2713"/>
    <cellStyle name="20% - Accent6 6 7" xfId="4000"/>
    <cellStyle name="20% - Accent6 7" xfId="260"/>
    <cellStyle name="20% - Accent6 7 2" xfId="473"/>
    <cellStyle name="20% - Accent6 7 2 2" xfId="898"/>
    <cellStyle name="20% - Accent6 7 2 2 2" xfId="2190"/>
    <cellStyle name="20% - Accent6 7 2 2 3" xfId="3468"/>
    <cellStyle name="20% - Accent6 7 2 2 4" xfId="4755"/>
    <cellStyle name="20% - Accent6 7 2 3" xfId="1324"/>
    <cellStyle name="20% - Accent6 7 2 3 2" xfId="2616"/>
    <cellStyle name="20% - Accent6 7 2 3 3" xfId="3894"/>
    <cellStyle name="20% - Accent6 7 2 3 4" xfId="5181"/>
    <cellStyle name="20% - Accent6 7 2 4" xfId="1764"/>
    <cellStyle name="20% - Accent6 7 2 5" xfId="3042"/>
    <cellStyle name="20% - Accent6 7 2 6" xfId="4329"/>
    <cellStyle name="20% - Accent6 7 3" xfId="685"/>
    <cellStyle name="20% - Accent6 7 3 2" xfId="1977"/>
    <cellStyle name="20% - Accent6 7 3 3" xfId="3255"/>
    <cellStyle name="20% - Accent6 7 3 4" xfId="4542"/>
    <cellStyle name="20% - Accent6 7 4" xfId="1111"/>
    <cellStyle name="20% - Accent6 7 4 2" xfId="2403"/>
    <cellStyle name="20% - Accent6 7 4 3" xfId="3681"/>
    <cellStyle name="20% - Accent6 7 4 4" xfId="4968"/>
    <cellStyle name="20% - Accent6 7 5" xfId="1551"/>
    <cellStyle name="20% - Accent6 7 6" xfId="2829"/>
    <cellStyle name="20% - Accent6 7 7" xfId="4116"/>
    <cellStyle name="20% - Accent6 8" xfId="345"/>
    <cellStyle name="20% - Accent6 8 2" xfId="771"/>
    <cellStyle name="20% - Accent6 8 2 2" xfId="2063"/>
    <cellStyle name="20% - Accent6 8 2 3" xfId="3341"/>
    <cellStyle name="20% - Accent6 8 2 4" xfId="4628"/>
    <cellStyle name="20% - Accent6 8 3" xfId="1197"/>
    <cellStyle name="20% - Accent6 8 3 2" xfId="2489"/>
    <cellStyle name="20% - Accent6 8 3 3" xfId="3767"/>
    <cellStyle name="20% - Accent6 8 3 4" xfId="5054"/>
    <cellStyle name="20% - Accent6 8 4" xfId="1637"/>
    <cellStyle name="20% - Accent6 8 5" xfId="2915"/>
    <cellStyle name="20% - Accent6 8 6" xfId="4202"/>
    <cellStyle name="20% - Accent6 9" xfId="558"/>
    <cellStyle name="20% - Accent6 9 2" xfId="1850"/>
    <cellStyle name="20% - Accent6 9 3" xfId="3128"/>
    <cellStyle name="20% - Accent6 9 4" xfId="4415"/>
    <cellStyle name="40% - Accent1" xfId="60" builtinId="31" customBuiltin="1"/>
    <cellStyle name="40% - Accent1 10" xfId="996"/>
    <cellStyle name="40% - Accent1 10 2" xfId="2288"/>
    <cellStyle name="40% - Accent1 10 3" xfId="3566"/>
    <cellStyle name="40% - Accent1 10 4" xfId="4853"/>
    <cellStyle name="40% - Accent1 11" xfId="1436"/>
    <cellStyle name="40% - Accent1 12" xfId="2714"/>
    <cellStyle name="40% - Accent1 13" xfId="4001"/>
    <cellStyle name="40% - Accent1 14" xfId="5255"/>
    <cellStyle name="40% - Accent1 2" xfId="16"/>
    <cellStyle name="40% - Accent1 2 10" xfId="1437"/>
    <cellStyle name="40% - Accent1 2 11" xfId="2715"/>
    <cellStyle name="40% - Accent1 2 12" xfId="4002"/>
    <cellStyle name="40% - Accent1 2 13" xfId="5256"/>
    <cellStyle name="40% - Accent1 2 2" xfId="144"/>
    <cellStyle name="40% - Accent1 2 2 2" xfId="145"/>
    <cellStyle name="40% - Accent1 2 2 2 2" xfId="360"/>
    <cellStyle name="40% - Accent1 2 2 2 2 2" xfId="786"/>
    <cellStyle name="40% - Accent1 2 2 2 2 2 2" xfId="2078"/>
    <cellStyle name="40% - Accent1 2 2 2 2 2 3" xfId="3356"/>
    <cellStyle name="40% - Accent1 2 2 2 2 2 4" xfId="4643"/>
    <cellStyle name="40% - Accent1 2 2 2 2 3" xfId="1212"/>
    <cellStyle name="40% - Accent1 2 2 2 2 3 2" xfId="2504"/>
    <cellStyle name="40% - Accent1 2 2 2 2 3 3" xfId="3782"/>
    <cellStyle name="40% - Accent1 2 2 2 2 3 4" xfId="5069"/>
    <cellStyle name="40% - Accent1 2 2 2 2 4" xfId="1652"/>
    <cellStyle name="40% - Accent1 2 2 2 2 5" xfId="2930"/>
    <cellStyle name="40% - Accent1 2 2 2 2 6" xfId="4217"/>
    <cellStyle name="40% - Accent1 2 2 2 3" xfId="573"/>
    <cellStyle name="40% - Accent1 2 2 2 3 2" xfId="1865"/>
    <cellStyle name="40% - Accent1 2 2 2 3 3" xfId="3143"/>
    <cellStyle name="40% - Accent1 2 2 2 3 4" xfId="4430"/>
    <cellStyle name="40% - Accent1 2 2 2 4" xfId="999"/>
    <cellStyle name="40% - Accent1 2 2 2 4 2" xfId="2291"/>
    <cellStyle name="40% - Accent1 2 2 2 4 3" xfId="3569"/>
    <cellStyle name="40% - Accent1 2 2 2 4 4" xfId="4856"/>
    <cellStyle name="40% - Accent1 2 2 2 5" xfId="1439"/>
    <cellStyle name="40% - Accent1 2 2 2 6" xfId="2717"/>
    <cellStyle name="40% - Accent1 2 2 2 7" xfId="4004"/>
    <cellStyle name="40% - Accent1 2 2 2 8" xfId="5258"/>
    <cellStyle name="40% - Accent1 2 2 3" xfId="359"/>
    <cellStyle name="40% - Accent1 2 2 3 2" xfId="785"/>
    <cellStyle name="40% - Accent1 2 2 3 2 2" xfId="2077"/>
    <cellStyle name="40% - Accent1 2 2 3 2 3" xfId="3355"/>
    <cellStyle name="40% - Accent1 2 2 3 2 4" xfId="4642"/>
    <cellStyle name="40% - Accent1 2 2 3 3" xfId="1211"/>
    <cellStyle name="40% - Accent1 2 2 3 3 2" xfId="2503"/>
    <cellStyle name="40% - Accent1 2 2 3 3 3" xfId="3781"/>
    <cellStyle name="40% - Accent1 2 2 3 3 4" xfId="5068"/>
    <cellStyle name="40% - Accent1 2 2 3 4" xfId="1651"/>
    <cellStyle name="40% - Accent1 2 2 3 5" xfId="2929"/>
    <cellStyle name="40% - Accent1 2 2 3 6" xfId="4216"/>
    <cellStyle name="40% - Accent1 2 2 4" xfId="572"/>
    <cellStyle name="40% - Accent1 2 2 4 2" xfId="1864"/>
    <cellStyle name="40% - Accent1 2 2 4 3" xfId="3142"/>
    <cellStyle name="40% - Accent1 2 2 4 4" xfId="4429"/>
    <cellStyle name="40% - Accent1 2 2 5" xfId="998"/>
    <cellStyle name="40% - Accent1 2 2 5 2" xfId="2290"/>
    <cellStyle name="40% - Accent1 2 2 5 3" xfId="3568"/>
    <cellStyle name="40% - Accent1 2 2 5 4" xfId="4855"/>
    <cellStyle name="40% - Accent1 2 2 6" xfId="1438"/>
    <cellStyle name="40% - Accent1 2 2 7" xfId="2716"/>
    <cellStyle name="40% - Accent1 2 2 8" xfId="4003"/>
    <cellStyle name="40% - Accent1 2 2 9" xfId="5257"/>
    <cellStyle name="40% - Accent1 2 3" xfId="146"/>
    <cellStyle name="40% - Accent1 2 3 2" xfId="361"/>
    <cellStyle name="40% - Accent1 2 3 2 2" xfId="787"/>
    <cellStyle name="40% - Accent1 2 3 2 2 2" xfId="2079"/>
    <cellStyle name="40% - Accent1 2 3 2 2 3" xfId="3357"/>
    <cellStyle name="40% - Accent1 2 3 2 2 4" xfId="4644"/>
    <cellStyle name="40% - Accent1 2 3 2 3" xfId="1213"/>
    <cellStyle name="40% - Accent1 2 3 2 3 2" xfId="2505"/>
    <cellStyle name="40% - Accent1 2 3 2 3 3" xfId="3783"/>
    <cellStyle name="40% - Accent1 2 3 2 3 4" xfId="5070"/>
    <cellStyle name="40% - Accent1 2 3 2 4" xfId="1653"/>
    <cellStyle name="40% - Accent1 2 3 2 5" xfId="2931"/>
    <cellStyle name="40% - Accent1 2 3 2 6" xfId="4218"/>
    <cellStyle name="40% - Accent1 2 3 3" xfId="574"/>
    <cellStyle name="40% - Accent1 2 3 3 2" xfId="1866"/>
    <cellStyle name="40% - Accent1 2 3 3 3" xfId="3144"/>
    <cellStyle name="40% - Accent1 2 3 3 4" xfId="4431"/>
    <cellStyle name="40% - Accent1 2 3 4" xfId="1000"/>
    <cellStyle name="40% - Accent1 2 3 4 2" xfId="2292"/>
    <cellStyle name="40% - Accent1 2 3 4 3" xfId="3570"/>
    <cellStyle name="40% - Accent1 2 3 4 4" xfId="4857"/>
    <cellStyle name="40% - Accent1 2 3 5" xfId="1440"/>
    <cellStyle name="40% - Accent1 2 3 6" xfId="2718"/>
    <cellStyle name="40% - Accent1 2 3 7" xfId="4005"/>
    <cellStyle name="40% - Accent1 2 3 8" xfId="5259"/>
    <cellStyle name="40% - Accent1 2 4" xfId="147"/>
    <cellStyle name="40% - Accent1 2 4 2" xfId="362"/>
    <cellStyle name="40% - Accent1 2 4 2 2" xfId="788"/>
    <cellStyle name="40% - Accent1 2 4 2 2 2" xfId="2080"/>
    <cellStyle name="40% - Accent1 2 4 2 2 3" xfId="3358"/>
    <cellStyle name="40% - Accent1 2 4 2 2 4" xfId="4645"/>
    <cellStyle name="40% - Accent1 2 4 2 3" xfId="1214"/>
    <cellStyle name="40% - Accent1 2 4 2 3 2" xfId="2506"/>
    <cellStyle name="40% - Accent1 2 4 2 3 3" xfId="3784"/>
    <cellStyle name="40% - Accent1 2 4 2 3 4" xfId="5071"/>
    <cellStyle name="40% - Accent1 2 4 2 4" xfId="1654"/>
    <cellStyle name="40% - Accent1 2 4 2 5" xfId="2932"/>
    <cellStyle name="40% - Accent1 2 4 2 6" xfId="4219"/>
    <cellStyle name="40% - Accent1 2 4 3" xfId="575"/>
    <cellStyle name="40% - Accent1 2 4 3 2" xfId="1867"/>
    <cellStyle name="40% - Accent1 2 4 3 3" xfId="3145"/>
    <cellStyle name="40% - Accent1 2 4 3 4" xfId="4432"/>
    <cellStyle name="40% - Accent1 2 4 4" xfId="1001"/>
    <cellStyle name="40% - Accent1 2 4 4 2" xfId="2293"/>
    <cellStyle name="40% - Accent1 2 4 4 3" xfId="3571"/>
    <cellStyle name="40% - Accent1 2 4 4 4" xfId="4858"/>
    <cellStyle name="40% - Accent1 2 4 5" xfId="1441"/>
    <cellStyle name="40% - Accent1 2 4 6" xfId="2719"/>
    <cellStyle name="40% - Accent1 2 4 7" xfId="4006"/>
    <cellStyle name="40% - Accent1 2 5" xfId="148"/>
    <cellStyle name="40% - Accent1 2 5 2" xfId="363"/>
    <cellStyle name="40% - Accent1 2 5 2 2" xfId="789"/>
    <cellStyle name="40% - Accent1 2 5 2 2 2" xfId="2081"/>
    <cellStyle name="40% - Accent1 2 5 2 2 3" xfId="3359"/>
    <cellStyle name="40% - Accent1 2 5 2 2 4" xfId="4646"/>
    <cellStyle name="40% - Accent1 2 5 2 3" xfId="1215"/>
    <cellStyle name="40% - Accent1 2 5 2 3 2" xfId="2507"/>
    <cellStyle name="40% - Accent1 2 5 2 3 3" xfId="3785"/>
    <cellStyle name="40% - Accent1 2 5 2 3 4" xfId="5072"/>
    <cellStyle name="40% - Accent1 2 5 2 4" xfId="1655"/>
    <cellStyle name="40% - Accent1 2 5 2 5" xfId="2933"/>
    <cellStyle name="40% - Accent1 2 5 2 6" xfId="4220"/>
    <cellStyle name="40% - Accent1 2 5 3" xfId="576"/>
    <cellStyle name="40% - Accent1 2 5 3 2" xfId="1868"/>
    <cellStyle name="40% - Accent1 2 5 3 3" xfId="3146"/>
    <cellStyle name="40% - Accent1 2 5 3 4" xfId="4433"/>
    <cellStyle name="40% - Accent1 2 5 4" xfId="1002"/>
    <cellStyle name="40% - Accent1 2 5 4 2" xfId="2294"/>
    <cellStyle name="40% - Accent1 2 5 4 3" xfId="3572"/>
    <cellStyle name="40% - Accent1 2 5 4 4" xfId="4859"/>
    <cellStyle name="40% - Accent1 2 5 5" xfId="1442"/>
    <cellStyle name="40% - Accent1 2 5 6" xfId="2720"/>
    <cellStyle name="40% - Accent1 2 5 7" xfId="4007"/>
    <cellStyle name="40% - Accent1 2 6" xfId="271"/>
    <cellStyle name="40% - Accent1 2 6 2" xfId="484"/>
    <cellStyle name="40% - Accent1 2 6 2 2" xfId="909"/>
    <cellStyle name="40% - Accent1 2 6 2 2 2" xfId="2201"/>
    <cellStyle name="40% - Accent1 2 6 2 2 3" xfId="3479"/>
    <cellStyle name="40% - Accent1 2 6 2 2 4" xfId="4766"/>
    <cellStyle name="40% - Accent1 2 6 2 3" xfId="1335"/>
    <cellStyle name="40% - Accent1 2 6 2 3 2" xfId="2627"/>
    <cellStyle name="40% - Accent1 2 6 2 3 3" xfId="3905"/>
    <cellStyle name="40% - Accent1 2 6 2 3 4" xfId="5192"/>
    <cellStyle name="40% - Accent1 2 6 2 4" xfId="1775"/>
    <cellStyle name="40% - Accent1 2 6 2 5" xfId="3053"/>
    <cellStyle name="40% - Accent1 2 6 2 6" xfId="4340"/>
    <cellStyle name="40% - Accent1 2 6 3" xfId="696"/>
    <cellStyle name="40% - Accent1 2 6 3 2" xfId="1988"/>
    <cellStyle name="40% - Accent1 2 6 3 3" xfId="3266"/>
    <cellStyle name="40% - Accent1 2 6 3 4" xfId="4553"/>
    <cellStyle name="40% - Accent1 2 6 4" xfId="1122"/>
    <cellStyle name="40% - Accent1 2 6 4 2" xfId="2414"/>
    <cellStyle name="40% - Accent1 2 6 4 3" xfId="3692"/>
    <cellStyle name="40% - Accent1 2 6 4 4" xfId="4979"/>
    <cellStyle name="40% - Accent1 2 6 5" xfId="1562"/>
    <cellStyle name="40% - Accent1 2 6 6" xfId="2840"/>
    <cellStyle name="40% - Accent1 2 6 7" xfId="4127"/>
    <cellStyle name="40% - Accent1 2 7" xfId="358"/>
    <cellStyle name="40% - Accent1 2 7 2" xfId="784"/>
    <cellStyle name="40% - Accent1 2 7 2 2" xfId="2076"/>
    <cellStyle name="40% - Accent1 2 7 2 3" xfId="3354"/>
    <cellStyle name="40% - Accent1 2 7 2 4" xfId="4641"/>
    <cellStyle name="40% - Accent1 2 7 3" xfId="1210"/>
    <cellStyle name="40% - Accent1 2 7 3 2" xfId="2502"/>
    <cellStyle name="40% - Accent1 2 7 3 3" xfId="3780"/>
    <cellStyle name="40% - Accent1 2 7 3 4" xfId="5067"/>
    <cellStyle name="40% - Accent1 2 7 4" xfId="1650"/>
    <cellStyle name="40% - Accent1 2 7 5" xfId="2928"/>
    <cellStyle name="40% - Accent1 2 7 6" xfId="4215"/>
    <cellStyle name="40% - Accent1 2 8" xfId="571"/>
    <cellStyle name="40% - Accent1 2 8 2" xfId="1863"/>
    <cellStyle name="40% - Accent1 2 8 3" xfId="3141"/>
    <cellStyle name="40% - Accent1 2 8 4" xfId="4428"/>
    <cellStyle name="40% - Accent1 2 9" xfId="997"/>
    <cellStyle name="40% - Accent1 2 9 2" xfId="2289"/>
    <cellStyle name="40% - Accent1 2 9 3" xfId="3567"/>
    <cellStyle name="40% - Accent1 2 9 4" xfId="4854"/>
    <cellStyle name="40% - Accent1 3" xfId="149"/>
    <cellStyle name="40% - Accent1 3 2" xfId="150"/>
    <cellStyle name="40% - Accent1 3 2 2" xfId="365"/>
    <cellStyle name="40% - Accent1 3 2 2 2" xfId="791"/>
    <cellStyle name="40% - Accent1 3 2 2 2 2" xfId="2083"/>
    <cellStyle name="40% - Accent1 3 2 2 2 3" xfId="3361"/>
    <cellStyle name="40% - Accent1 3 2 2 2 4" xfId="4648"/>
    <cellStyle name="40% - Accent1 3 2 2 3" xfId="1217"/>
    <cellStyle name="40% - Accent1 3 2 2 3 2" xfId="2509"/>
    <cellStyle name="40% - Accent1 3 2 2 3 3" xfId="3787"/>
    <cellStyle name="40% - Accent1 3 2 2 3 4" xfId="5074"/>
    <cellStyle name="40% - Accent1 3 2 2 4" xfId="1657"/>
    <cellStyle name="40% - Accent1 3 2 2 5" xfId="2935"/>
    <cellStyle name="40% - Accent1 3 2 2 6" xfId="4222"/>
    <cellStyle name="40% - Accent1 3 2 3" xfId="578"/>
    <cellStyle name="40% - Accent1 3 2 3 2" xfId="1870"/>
    <cellStyle name="40% - Accent1 3 2 3 3" xfId="3148"/>
    <cellStyle name="40% - Accent1 3 2 3 4" xfId="4435"/>
    <cellStyle name="40% - Accent1 3 2 4" xfId="1004"/>
    <cellStyle name="40% - Accent1 3 2 4 2" xfId="2296"/>
    <cellStyle name="40% - Accent1 3 2 4 3" xfId="3574"/>
    <cellStyle name="40% - Accent1 3 2 4 4" xfId="4861"/>
    <cellStyle name="40% - Accent1 3 2 5" xfId="1444"/>
    <cellStyle name="40% - Accent1 3 2 6" xfId="2722"/>
    <cellStyle name="40% - Accent1 3 2 7" xfId="4009"/>
    <cellStyle name="40% - Accent1 3 2 8" xfId="5261"/>
    <cellStyle name="40% - Accent1 3 3" xfId="364"/>
    <cellStyle name="40% - Accent1 3 3 2" xfId="790"/>
    <cellStyle name="40% - Accent1 3 3 2 2" xfId="2082"/>
    <cellStyle name="40% - Accent1 3 3 2 3" xfId="3360"/>
    <cellStyle name="40% - Accent1 3 3 2 4" xfId="4647"/>
    <cellStyle name="40% - Accent1 3 3 3" xfId="1216"/>
    <cellStyle name="40% - Accent1 3 3 3 2" xfId="2508"/>
    <cellStyle name="40% - Accent1 3 3 3 3" xfId="3786"/>
    <cellStyle name="40% - Accent1 3 3 3 4" xfId="5073"/>
    <cellStyle name="40% - Accent1 3 3 4" xfId="1656"/>
    <cellStyle name="40% - Accent1 3 3 5" xfId="2934"/>
    <cellStyle name="40% - Accent1 3 3 6" xfId="4221"/>
    <cellStyle name="40% - Accent1 3 4" xfId="577"/>
    <cellStyle name="40% - Accent1 3 4 2" xfId="1869"/>
    <cellStyle name="40% - Accent1 3 4 3" xfId="3147"/>
    <cellStyle name="40% - Accent1 3 4 4" xfId="4434"/>
    <cellStyle name="40% - Accent1 3 5" xfId="1003"/>
    <cellStyle name="40% - Accent1 3 5 2" xfId="2295"/>
    <cellStyle name="40% - Accent1 3 5 3" xfId="3573"/>
    <cellStyle name="40% - Accent1 3 5 4" xfId="4860"/>
    <cellStyle name="40% - Accent1 3 6" xfId="1443"/>
    <cellStyle name="40% - Accent1 3 7" xfId="2721"/>
    <cellStyle name="40% - Accent1 3 8" xfId="4008"/>
    <cellStyle name="40% - Accent1 3 9" xfId="5260"/>
    <cellStyle name="40% - Accent1 4" xfId="151"/>
    <cellStyle name="40% - Accent1 4 2" xfId="366"/>
    <cellStyle name="40% - Accent1 4 2 2" xfId="792"/>
    <cellStyle name="40% - Accent1 4 2 2 2" xfId="2084"/>
    <cellStyle name="40% - Accent1 4 2 2 3" xfId="3362"/>
    <cellStyle name="40% - Accent1 4 2 2 4" xfId="4649"/>
    <cellStyle name="40% - Accent1 4 2 3" xfId="1218"/>
    <cellStyle name="40% - Accent1 4 2 3 2" xfId="2510"/>
    <cellStyle name="40% - Accent1 4 2 3 3" xfId="3788"/>
    <cellStyle name="40% - Accent1 4 2 3 4" xfId="5075"/>
    <cellStyle name="40% - Accent1 4 2 4" xfId="1658"/>
    <cellStyle name="40% - Accent1 4 2 5" xfId="2936"/>
    <cellStyle name="40% - Accent1 4 2 6" xfId="4223"/>
    <cellStyle name="40% - Accent1 4 3" xfId="579"/>
    <cellStyle name="40% - Accent1 4 3 2" xfId="1871"/>
    <cellStyle name="40% - Accent1 4 3 3" xfId="3149"/>
    <cellStyle name="40% - Accent1 4 3 4" xfId="4436"/>
    <cellStyle name="40% - Accent1 4 4" xfId="1005"/>
    <cellStyle name="40% - Accent1 4 4 2" xfId="2297"/>
    <cellStyle name="40% - Accent1 4 4 3" xfId="3575"/>
    <cellStyle name="40% - Accent1 4 4 4" xfId="4862"/>
    <cellStyle name="40% - Accent1 4 5" xfId="1445"/>
    <cellStyle name="40% - Accent1 4 6" xfId="2723"/>
    <cellStyle name="40% - Accent1 4 7" xfId="4010"/>
    <cellStyle name="40% - Accent1 4 8" xfId="5262"/>
    <cellStyle name="40% - Accent1 5" xfId="152"/>
    <cellStyle name="40% - Accent1 5 2" xfId="367"/>
    <cellStyle name="40% - Accent1 5 2 2" xfId="793"/>
    <cellStyle name="40% - Accent1 5 2 2 2" xfId="2085"/>
    <cellStyle name="40% - Accent1 5 2 2 3" xfId="3363"/>
    <cellStyle name="40% - Accent1 5 2 2 4" xfId="4650"/>
    <cellStyle name="40% - Accent1 5 2 3" xfId="1219"/>
    <cellStyle name="40% - Accent1 5 2 3 2" xfId="2511"/>
    <cellStyle name="40% - Accent1 5 2 3 3" xfId="3789"/>
    <cellStyle name="40% - Accent1 5 2 3 4" xfId="5076"/>
    <cellStyle name="40% - Accent1 5 2 4" xfId="1659"/>
    <cellStyle name="40% - Accent1 5 2 5" xfId="2937"/>
    <cellStyle name="40% - Accent1 5 2 6" xfId="4224"/>
    <cellStyle name="40% - Accent1 5 3" xfId="580"/>
    <cellStyle name="40% - Accent1 5 3 2" xfId="1872"/>
    <cellStyle name="40% - Accent1 5 3 3" xfId="3150"/>
    <cellStyle name="40% - Accent1 5 3 4" xfId="4437"/>
    <cellStyle name="40% - Accent1 5 4" xfId="1006"/>
    <cellStyle name="40% - Accent1 5 4 2" xfId="2298"/>
    <cellStyle name="40% - Accent1 5 4 3" xfId="3576"/>
    <cellStyle name="40% - Accent1 5 4 4" xfId="4863"/>
    <cellStyle name="40% - Accent1 5 5" xfId="1446"/>
    <cellStyle name="40% - Accent1 5 6" xfId="2724"/>
    <cellStyle name="40% - Accent1 5 7" xfId="4011"/>
    <cellStyle name="40% - Accent1 6" xfId="153"/>
    <cellStyle name="40% - Accent1 6 2" xfId="368"/>
    <cellStyle name="40% - Accent1 6 2 2" xfId="794"/>
    <cellStyle name="40% - Accent1 6 2 2 2" xfId="2086"/>
    <cellStyle name="40% - Accent1 6 2 2 3" xfId="3364"/>
    <cellStyle name="40% - Accent1 6 2 2 4" xfId="4651"/>
    <cellStyle name="40% - Accent1 6 2 3" xfId="1220"/>
    <cellStyle name="40% - Accent1 6 2 3 2" xfId="2512"/>
    <cellStyle name="40% - Accent1 6 2 3 3" xfId="3790"/>
    <cellStyle name="40% - Accent1 6 2 3 4" xfId="5077"/>
    <cellStyle name="40% - Accent1 6 2 4" xfId="1660"/>
    <cellStyle name="40% - Accent1 6 2 5" xfId="2938"/>
    <cellStyle name="40% - Accent1 6 2 6" xfId="4225"/>
    <cellStyle name="40% - Accent1 6 3" xfId="581"/>
    <cellStyle name="40% - Accent1 6 3 2" xfId="1873"/>
    <cellStyle name="40% - Accent1 6 3 3" xfId="3151"/>
    <cellStyle name="40% - Accent1 6 3 4" xfId="4438"/>
    <cellStyle name="40% - Accent1 6 4" xfId="1007"/>
    <cellStyle name="40% - Accent1 6 4 2" xfId="2299"/>
    <cellStyle name="40% - Accent1 6 4 3" xfId="3577"/>
    <cellStyle name="40% - Accent1 6 4 4" xfId="4864"/>
    <cellStyle name="40% - Accent1 6 5" xfId="1447"/>
    <cellStyle name="40% - Accent1 6 6" xfId="2725"/>
    <cellStyle name="40% - Accent1 6 7" xfId="4012"/>
    <cellStyle name="40% - Accent1 7" xfId="261"/>
    <cellStyle name="40% - Accent1 7 2" xfId="474"/>
    <cellStyle name="40% - Accent1 7 2 2" xfId="899"/>
    <cellStyle name="40% - Accent1 7 2 2 2" xfId="2191"/>
    <cellStyle name="40% - Accent1 7 2 2 3" xfId="3469"/>
    <cellStyle name="40% - Accent1 7 2 2 4" xfId="4756"/>
    <cellStyle name="40% - Accent1 7 2 3" xfId="1325"/>
    <cellStyle name="40% - Accent1 7 2 3 2" xfId="2617"/>
    <cellStyle name="40% - Accent1 7 2 3 3" xfId="3895"/>
    <cellStyle name="40% - Accent1 7 2 3 4" xfId="5182"/>
    <cellStyle name="40% - Accent1 7 2 4" xfId="1765"/>
    <cellStyle name="40% - Accent1 7 2 5" xfId="3043"/>
    <cellStyle name="40% - Accent1 7 2 6" xfId="4330"/>
    <cellStyle name="40% - Accent1 7 3" xfId="686"/>
    <cellStyle name="40% - Accent1 7 3 2" xfId="1978"/>
    <cellStyle name="40% - Accent1 7 3 3" xfId="3256"/>
    <cellStyle name="40% - Accent1 7 3 4" xfId="4543"/>
    <cellStyle name="40% - Accent1 7 4" xfId="1112"/>
    <cellStyle name="40% - Accent1 7 4 2" xfId="2404"/>
    <cellStyle name="40% - Accent1 7 4 3" xfId="3682"/>
    <cellStyle name="40% - Accent1 7 4 4" xfId="4969"/>
    <cellStyle name="40% - Accent1 7 5" xfId="1552"/>
    <cellStyle name="40% - Accent1 7 6" xfId="2830"/>
    <cellStyle name="40% - Accent1 7 7" xfId="4117"/>
    <cellStyle name="40% - Accent1 8" xfId="357"/>
    <cellStyle name="40% - Accent1 8 2" xfId="783"/>
    <cellStyle name="40% - Accent1 8 2 2" xfId="2075"/>
    <cellStyle name="40% - Accent1 8 2 3" xfId="3353"/>
    <cellStyle name="40% - Accent1 8 2 4" xfId="4640"/>
    <cellStyle name="40% - Accent1 8 3" xfId="1209"/>
    <cellStyle name="40% - Accent1 8 3 2" xfId="2501"/>
    <cellStyle name="40% - Accent1 8 3 3" xfId="3779"/>
    <cellStyle name="40% - Accent1 8 3 4" xfId="5066"/>
    <cellStyle name="40% - Accent1 8 4" xfId="1649"/>
    <cellStyle name="40% - Accent1 8 5" xfId="2927"/>
    <cellStyle name="40% - Accent1 8 6" xfId="4214"/>
    <cellStyle name="40% - Accent1 9" xfId="570"/>
    <cellStyle name="40% - Accent1 9 2" xfId="1862"/>
    <cellStyle name="40% - Accent1 9 3" xfId="3140"/>
    <cellStyle name="40% - Accent1 9 4" xfId="4427"/>
    <cellStyle name="40% - Accent2" xfId="64" builtinId="35" customBuiltin="1"/>
    <cellStyle name="40% - Accent2 10" xfId="1008"/>
    <cellStyle name="40% - Accent2 10 2" xfId="2300"/>
    <cellStyle name="40% - Accent2 10 3" xfId="3578"/>
    <cellStyle name="40% - Accent2 10 4" xfId="4865"/>
    <cellStyle name="40% - Accent2 11" xfId="1448"/>
    <cellStyle name="40% - Accent2 12" xfId="2726"/>
    <cellStyle name="40% - Accent2 13" xfId="4013"/>
    <cellStyle name="40% - Accent2 14" xfId="5263"/>
    <cellStyle name="40% - Accent2 2" xfId="17"/>
    <cellStyle name="40% - Accent2 2 10" xfId="1449"/>
    <cellStyle name="40% - Accent2 2 11" xfId="2727"/>
    <cellStyle name="40% - Accent2 2 12" xfId="4014"/>
    <cellStyle name="40% - Accent2 2 13" xfId="5264"/>
    <cellStyle name="40% - Accent2 2 2" xfId="154"/>
    <cellStyle name="40% - Accent2 2 2 2" xfId="155"/>
    <cellStyle name="40% - Accent2 2 2 2 2" xfId="372"/>
    <cellStyle name="40% - Accent2 2 2 2 2 2" xfId="798"/>
    <cellStyle name="40% - Accent2 2 2 2 2 2 2" xfId="2090"/>
    <cellStyle name="40% - Accent2 2 2 2 2 2 3" xfId="3368"/>
    <cellStyle name="40% - Accent2 2 2 2 2 2 4" xfId="4655"/>
    <cellStyle name="40% - Accent2 2 2 2 2 3" xfId="1224"/>
    <cellStyle name="40% - Accent2 2 2 2 2 3 2" xfId="2516"/>
    <cellStyle name="40% - Accent2 2 2 2 2 3 3" xfId="3794"/>
    <cellStyle name="40% - Accent2 2 2 2 2 3 4" xfId="5081"/>
    <cellStyle name="40% - Accent2 2 2 2 2 4" xfId="1664"/>
    <cellStyle name="40% - Accent2 2 2 2 2 5" xfId="2942"/>
    <cellStyle name="40% - Accent2 2 2 2 2 6" xfId="4229"/>
    <cellStyle name="40% - Accent2 2 2 2 3" xfId="585"/>
    <cellStyle name="40% - Accent2 2 2 2 3 2" xfId="1877"/>
    <cellStyle name="40% - Accent2 2 2 2 3 3" xfId="3155"/>
    <cellStyle name="40% - Accent2 2 2 2 3 4" xfId="4442"/>
    <cellStyle name="40% - Accent2 2 2 2 4" xfId="1011"/>
    <cellStyle name="40% - Accent2 2 2 2 4 2" xfId="2303"/>
    <cellStyle name="40% - Accent2 2 2 2 4 3" xfId="3581"/>
    <cellStyle name="40% - Accent2 2 2 2 4 4" xfId="4868"/>
    <cellStyle name="40% - Accent2 2 2 2 5" xfId="1451"/>
    <cellStyle name="40% - Accent2 2 2 2 6" xfId="2729"/>
    <cellStyle name="40% - Accent2 2 2 2 7" xfId="4016"/>
    <cellStyle name="40% - Accent2 2 2 2 8" xfId="5266"/>
    <cellStyle name="40% - Accent2 2 2 3" xfId="371"/>
    <cellStyle name="40% - Accent2 2 2 3 2" xfId="797"/>
    <cellStyle name="40% - Accent2 2 2 3 2 2" xfId="2089"/>
    <cellStyle name="40% - Accent2 2 2 3 2 3" xfId="3367"/>
    <cellStyle name="40% - Accent2 2 2 3 2 4" xfId="4654"/>
    <cellStyle name="40% - Accent2 2 2 3 3" xfId="1223"/>
    <cellStyle name="40% - Accent2 2 2 3 3 2" xfId="2515"/>
    <cellStyle name="40% - Accent2 2 2 3 3 3" xfId="3793"/>
    <cellStyle name="40% - Accent2 2 2 3 3 4" xfId="5080"/>
    <cellStyle name="40% - Accent2 2 2 3 4" xfId="1663"/>
    <cellStyle name="40% - Accent2 2 2 3 5" xfId="2941"/>
    <cellStyle name="40% - Accent2 2 2 3 6" xfId="4228"/>
    <cellStyle name="40% - Accent2 2 2 4" xfId="584"/>
    <cellStyle name="40% - Accent2 2 2 4 2" xfId="1876"/>
    <cellStyle name="40% - Accent2 2 2 4 3" xfId="3154"/>
    <cellStyle name="40% - Accent2 2 2 4 4" xfId="4441"/>
    <cellStyle name="40% - Accent2 2 2 5" xfId="1010"/>
    <cellStyle name="40% - Accent2 2 2 5 2" xfId="2302"/>
    <cellStyle name="40% - Accent2 2 2 5 3" xfId="3580"/>
    <cellStyle name="40% - Accent2 2 2 5 4" xfId="4867"/>
    <cellStyle name="40% - Accent2 2 2 6" xfId="1450"/>
    <cellStyle name="40% - Accent2 2 2 7" xfId="2728"/>
    <cellStyle name="40% - Accent2 2 2 8" xfId="4015"/>
    <cellStyle name="40% - Accent2 2 2 9" xfId="5265"/>
    <cellStyle name="40% - Accent2 2 3" xfId="156"/>
    <cellStyle name="40% - Accent2 2 3 2" xfId="373"/>
    <cellStyle name="40% - Accent2 2 3 2 2" xfId="799"/>
    <cellStyle name="40% - Accent2 2 3 2 2 2" xfId="2091"/>
    <cellStyle name="40% - Accent2 2 3 2 2 3" xfId="3369"/>
    <cellStyle name="40% - Accent2 2 3 2 2 4" xfId="4656"/>
    <cellStyle name="40% - Accent2 2 3 2 3" xfId="1225"/>
    <cellStyle name="40% - Accent2 2 3 2 3 2" xfId="2517"/>
    <cellStyle name="40% - Accent2 2 3 2 3 3" xfId="3795"/>
    <cellStyle name="40% - Accent2 2 3 2 3 4" xfId="5082"/>
    <cellStyle name="40% - Accent2 2 3 2 4" xfId="1665"/>
    <cellStyle name="40% - Accent2 2 3 2 5" xfId="2943"/>
    <cellStyle name="40% - Accent2 2 3 2 6" xfId="4230"/>
    <cellStyle name="40% - Accent2 2 3 3" xfId="586"/>
    <cellStyle name="40% - Accent2 2 3 3 2" xfId="1878"/>
    <cellStyle name="40% - Accent2 2 3 3 3" xfId="3156"/>
    <cellStyle name="40% - Accent2 2 3 3 4" xfId="4443"/>
    <cellStyle name="40% - Accent2 2 3 4" xfId="1012"/>
    <cellStyle name="40% - Accent2 2 3 4 2" xfId="2304"/>
    <cellStyle name="40% - Accent2 2 3 4 3" xfId="3582"/>
    <cellStyle name="40% - Accent2 2 3 4 4" xfId="4869"/>
    <cellStyle name="40% - Accent2 2 3 5" xfId="1452"/>
    <cellStyle name="40% - Accent2 2 3 6" xfId="2730"/>
    <cellStyle name="40% - Accent2 2 3 7" xfId="4017"/>
    <cellStyle name="40% - Accent2 2 3 8" xfId="5267"/>
    <cellStyle name="40% - Accent2 2 4" xfId="157"/>
    <cellStyle name="40% - Accent2 2 4 2" xfId="374"/>
    <cellStyle name="40% - Accent2 2 4 2 2" xfId="800"/>
    <cellStyle name="40% - Accent2 2 4 2 2 2" xfId="2092"/>
    <cellStyle name="40% - Accent2 2 4 2 2 3" xfId="3370"/>
    <cellStyle name="40% - Accent2 2 4 2 2 4" xfId="4657"/>
    <cellStyle name="40% - Accent2 2 4 2 3" xfId="1226"/>
    <cellStyle name="40% - Accent2 2 4 2 3 2" xfId="2518"/>
    <cellStyle name="40% - Accent2 2 4 2 3 3" xfId="3796"/>
    <cellStyle name="40% - Accent2 2 4 2 3 4" xfId="5083"/>
    <cellStyle name="40% - Accent2 2 4 2 4" xfId="1666"/>
    <cellStyle name="40% - Accent2 2 4 2 5" xfId="2944"/>
    <cellStyle name="40% - Accent2 2 4 2 6" xfId="4231"/>
    <cellStyle name="40% - Accent2 2 4 3" xfId="587"/>
    <cellStyle name="40% - Accent2 2 4 3 2" xfId="1879"/>
    <cellStyle name="40% - Accent2 2 4 3 3" xfId="3157"/>
    <cellStyle name="40% - Accent2 2 4 3 4" xfId="4444"/>
    <cellStyle name="40% - Accent2 2 4 4" xfId="1013"/>
    <cellStyle name="40% - Accent2 2 4 4 2" xfId="2305"/>
    <cellStyle name="40% - Accent2 2 4 4 3" xfId="3583"/>
    <cellStyle name="40% - Accent2 2 4 4 4" xfId="4870"/>
    <cellStyle name="40% - Accent2 2 4 5" xfId="1453"/>
    <cellStyle name="40% - Accent2 2 4 6" xfId="2731"/>
    <cellStyle name="40% - Accent2 2 4 7" xfId="4018"/>
    <cellStyle name="40% - Accent2 2 5" xfId="158"/>
    <cellStyle name="40% - Accent2 2 5 2" xfId="375"/>
    <cellStyle name="40% - Accent2 2 5 2 2" xfId="801"/>
    <cellStyle name="40% - Accent2 2 5 2 2 2" xfId="2093"/>
    <cellStyle name="40% - Accent2 2 5 2 2 3" xfId="3371"/>
    <cellStyle name="40% - Accent2 2 5 2 2 4" xfId="4658"/>
    <cellStyle name="40% - Accent2 2 5 2 3" xfId="1227"/>
    <cellStyle name="40% - Accent2 2 5 2 3 2" xfId="2519"/>
    <cellStyle name="40% - Accent2 2 5 2 3 3" xfId="3797"/>
    <cellStyle name="40% - Accent2 2 5 2 3 4" xfId="5084"/>
    <cellStyle name="40% - Accent2 2 5 2 4" xfId="1667"/>
    <cellStyle name="40% - Accent2 2 5 2 5" xfId="2945"/>
    <cellStyle name="40% - Accent2 2 5 2 6" xfId="4232"/>
    <cellStyle name="40% - Accent2 2 5 3" xfId="588"/>
    <cellStyle name="40% - Accent2 2 5 3 2" xfId="1880"/>
    <cellStyle name="40% - Accent2 2 5 3 3" xfId="3158"/>
    <cellStyle name="40% - Accent2 2 5 3 4" xfId="4445"/>
    <cellStyle name="40% - Accent2 2 5 4" xfId="1014"/>
    <cellStyle name="40% - Accent2 2 5 4 2" xfId="2306"/>
    <cellStyle name="40% - Accent2 2 5 4 3" xfId="3584"/>
    <cellStyle name="40% - Accent2 2 5 4 4" xfId="4871"/>
    <cellStyle name="40% - Accent2 2 5 5" xfId="1454"/>
    <cellStyle name="40% - Accent2 2 5 6" xfId="2732"/>
    <cellStyle name="40% - Accent2 2 5 7" xfId="4019"/>
    <cellStyle name="40% - Accent2 2 6" xfId="273"/>
    <cellStyle name="40% - Accent2 2 6 2" xfId="486"/>
    <cellStyle name="40% - Accent2 2 6 2 2" xfId="911"/>
    <cellStyle name="40% - Accent2 2 6 2 2 2" xfId="2203"/>
    <cellStyle name="40% - Accent2 2 6 2 2 3" xfId="3481"/>
    <cellStyle name="40% - Accent2 2 6 2 2 4" xfId="4768"/>
    <cellStyle name="40% - Accent2 2 6 2 3" xfId="1337"/>
    <cellStyle name="40% - Accent2 2 6 2 3 2" xfId="2629"/>
    <cellStyle name="40% - Accent2 2 6 2 3 3" xfId="3907"/>
    <cellStyle name="40% - Accent2 2 6 2 3 4" xfId="5194"/>
    <cellStyle name="40% - Accent2 2 6 2 4" xfId="1777"/>
    <cellStyle name="40% - Accent2 2 6 2 5" xfId="3055"/>
    <cellStyle name="40% - Accent2 2 6 2 6" xfId="4342"/>
    <cellStyle name="40% - Accent2 2 6 3" xfId="698"/>
    <cellStyle name="40% - Accent2 2 6 3 2" xfId="1990"/>
    <cellStyle name="40% - Accent2 2 6 3 3" xfId="3268"/>
    <cellStyle name="40% - Accent2 2 6 3 4" xfId="4555"/>
    <cellStyle name="40% - Accent2 2 6 4" xfId="1124"/>
    <cellStyle name="40% - Accent2 2 6 4 2" xfId="2416"/>
    <cellStyle name="40% - Accent2 2 6 4 3" xfId="3694"/>
    <cellStyle name="40% - Accent2 2 6 4 4" xfId="4981"/>
    <cellStyle name="40% - Accent2 2 6 5" xfId="1564"/>
    <cellStyle name="40% - Accent2 2 6 6" xfId="2842"/>
    <cellStyle name="40% - Accent2 2 6 7" xfId="4129"/>
    <cellStyle name="40% - Accent2 2 7" xfId="370"/>
    <cellStyle name="40% - Accent2 2 7 2" xfId="796"/>
    <cellStyle name="40% - Accent2 2 7 2 2" xfId="2088"/>
    <cellStyle name="40% - Accent2 2 7 2 3" xfId="3366"/>
    <cellStyle name="40% - Accent2 2 7 2 4" xfId="4653"/>
    <cellStyle name="40% - Accent2 2 7 3" xfId="1222"/>
    <cellStyle name="40% - Accent2 2 7 3 2" xfId="2514"/>
    <cellStyle name="40% - Accent2 2 7 3 3" xfId="3792"/>
    <cellStyle name="40% - Accent2 2 7 3 4" xfId="5079"/>
    <cellStyle name="40% - Accent2 2 7 4" xfId="1662"/>
    <cellStyle name="40% - Accent2 2 7 5" xfId="2940"/>
    <cellStyle name="40% - Accent2 2 7 6" xfId="4227"/>
    <cellStyle name="40% - Accent2 2 8" xfId="583"/>
    <cellStyle name="40% - Accent2 2 8 2" xfId="1875"/>
    <cellStyle name="40% - Accent2 2 8 3" xfId="3153"/>
    <cellStyle name="40% - Accent2 2 8 4" xfId="4440"/>
    <cellStyle name="40% - Accent2 2 9" xfId="1009"/>
    <cellStyle name="40% - Accent2 2 9 2" xfId="2301"/>
    <cellStyle name="40% - Accent2 2 9 3" xfId="3579"/>
    <cellStyle name="40% - Accent2 2 9 4" xfId="4866"/>
    <cellStyle name="40% - Accent2 3" xfId="159"/>
    <cellStyle name="40% - Accent2 3 2" xfId="160"/>
    <cellStyle name="40% - Accent2 3 2 2" xfId="377"/>
    <cellStyle name="40% - Accent2 3 2 2 2" xfId="803"/>
    <cellStyle name="40% - Accent2 3 2 2 2 2" xfId="2095"/>
    <cellStyle name="40% - Accent2 3 2 2 2 3" xfId="3373"/>
    <cellStyle name="40% - Accent2 3 2 2 2 4" xfId="4660"/>
    <cellStyle name="40% - Accent2 3 2 2 3" xfId="1229"/>
    <cellStyle name="40% - Accent2 3 2 2 3 2" xfId="2521"/>
    <cellStyle name="40% - Accent2 3 2 2 3 3" xfId="3799"/>
    <cellStyle name="40% - Accent2 3 2 2 3 4" xfId="5086"/>
    <cellStyle name="40% - Accent2 3 2 2 4" xfId="1669"/>
    <cellStyle name="40% - Accent2 3 2 2 5" xfId="2947"/>
    <cellStyle name="40% - Accent2 3 2 2 6" xfId="4234"/>
    <cellStyle name="40% - Accent2 3 2 3" xfId="590"/>
    <cellStyle name="40% - Accent2 3 2 3 2" xfId="1882"/>
    <cellStyle name="40% - Accent2 3 2 3 3" xfId="3160"/>
    <cellStyle name="40% - Accent2 3 2 3 4" xfId="4447"/>
    <cellStyle name="40% - Accent2 3 2 4" xfId="1016"/>
    <cellStyle name="40% - Accent2 3 2 4 2" xfId="2308"/>
    <cellStyle name="40% - Accent2 3 2 4 3" xfId="3586"/>
    <cellStyle name="40% - Accent2 3 2 4 4" xfId="4873"/>
    <cellStyle name="40% - Accent2 3 2 5" xfId="1456"/>
    <cellStyle name="40% - Accent2 3 2 6" xfId="2734"/>
    <cellStyle name="40% - Accent2 3 2 7" xfId="4021"/>
    <cellStyle name="40% - Accent2 3 2 8" xfId="5269"/>
    <cellStyle name="40% - Accent2 3 3" xfId="376"/>
    <cellStyle name="40% - Accent2 3 3 2" xfId="802"/>
    <cellStyle name="40% - Accent2 3 3 2 2" xfId="2094"/>
    <cellStyle name="40% - Accent2 3 3 2 3" xfId="3372"/>
    <cellStyle name="40% - Accent2 3 3 2 4" xfId="4659"/>
    <cellStyle name="40% - Accent2 3 3 3" xfId="1228"/>
    <cellStyle name="40% - Accent2 3 3 3 2" xfId="2520"/>
    <cellStyle name="40% - Accent2 3 3 3 3" xfId="3798"/>
    <cellStyle name="40% - Accent2 3 3 3 4" xfId="5085"/>
    <cellStyle name="40% - Accent2 3 3 4" xfId="1668"/>
    <cellStyle name="40% - Accent2 3 3 5" xfId="2946"/>
    <cellStyle name="40% - Accent2 3 3 6" xfId="4233"/>
    <cellStyle name="40% - Accent2 3 4" xfId="589"/>
    <cellStyle name="40% - Accent2 3 4 2" xfId="1881"/>
    <cellStyle name="40% - Accent2 3 4 3" xfId="3159"/>
    <cellStyle name="40% - Accent2 3 4 4" xfId="4446"/>
    <cellStyle name="40% - Accent2 3 5" xfId="1015"/>
    <cellStyle name="40% - Accent2 3 5 2" xfId="2307"/>
    <cellStyle name="40% - Accent2 3 5 3" xfId="3585"/>
    <cellStyle name="40% - Accent2 3 5 4" xfId="4872"/>
    <cellStyle name="40% - Accent2 3 6" xfId="1455"/>
    <cellStyle name="40% - Accent2 3 7" xfId="2733"/>
    <cellStyle name="40% - Accent2 3 8" xfId="4020"/>
    <cellStyle name="40% - Accent2 3 9" xfId="5268"/>
    <cellStyle name="40% - Accent2 4" xfId="161"/>
    <cellStyle name="40% - Accent2 4 2" xfId="378"/>
    <cellStyle name="40% - Accent2 4 2 2" xfId="804"/>
    <cellStyle name="40% - Accent2 4 2 2 2" xfId="2096"/>
    <cellStyle name="40% - Accent2 4 2 2 3" xfId="3374"/>
    <cellStyle name="40% - Accent2 4 2 2 4" xfId="4661"/>
    <cellStyle name="40% - Accent2 4 2 3" xfId="1230"/>
    <cellStyle name="40% - Accent2 4 2 3 2" xfId="2522"/>
    <cellStyle name="40% - Accent2 4 2 3 3" xfId="3800"/>
    <cellStyle name="40% - Accent2 4 2 3 4" xfId="5087"/>
    <cellStyle name="40% - Accent2 4 2 4" xfId="1670"/>
    <cellStyle name="40% - Accent2 4 2 5" xfId="2948"/>
    <cellStyle name="40% - Accent2 4 2 6" xfId="4235"/>
    <cellStyle name="40% - Accent2 4 3" xfId="591"/>
    <cellStyle name="40% - Accent2 4 3 2" xfId="1883"/>
    <cellStyle name="40% - Accent2 4 3 3" xfId="3161"/>
    <cellStyle name="40% - Accent2 4 3 4" xfId="4448"/>
    <cellStyle name="40% - Accent2 4 4" xfId="1017"/>
    <cellStyle name="40% - Accent2 4 4 2" xfId="2309"/>
    <cellStyle name="40% - Accent2 4 4 3" xfId="3587"/>
    <cellStyle name="40% - Accent2 4 4 4" xfId="4874"/>
    <cellStyle name="40% - Accent2 4 5" xfId="1457"/>
    <cellStyle name="40% - Accent2 4 6" xfId="2735"/>
    <cellStyle name="40% - Accent2 4 7" xfId="4022"/>
    <cellStyle name="40% - Accent2 4 8" xfId="5270"/>
    <cellStyle name="40% - Accent2 5" xfId="162"/>
    <cellStyle name="40% - Accent2 5 2" xfId="379"/>
    <cellStyle name="40% - Accent2 5 2 2" xfId="805"/>
    <cellStyle name="40% - Accent2 5 2 2 2" xfId="2097"/>
    <cellStyle name="40% - Accent2 5 2 2 3" xfId="3375"/>
    <cellStyle name="40% - Accent2 5 2 2 4" xfId="4662"/>
    <cellStyle name="40% - Accent2 5 2 3" xfId="1231"/>
    <cellStyle name="40% - Accent2 5 2 3 2" xfId="2523"/>
    <cellStyle name="40% - Accent2 5 2 3 3" xfId="3801"/>
    <cellStyle name="40% - Accent2 5 2 3 4" xfId="5088"/>
    <cellStyle name="40% - Accent2 5 2 4" xfId="1671"/>
    <cellStyle name="40% - Accent2 5 2 5" xfId="2949"/>
    <cellStyle name="40% - Accent2 5 2 6" xfId="4236"/>
    <cellStyle name="40% - Accent2 5 3" xfId="592"/>
    <cellStyle name="40% - Accent2 5 3 2" xfId="1884"/>
    <cellStyle name="40% - Accent2 5 3 3" xfId="3162"/>
    <cellStyle name="40% - Accent2 5 3 4" xfId="4449"/>
    <cellStyle name="40% - Accent2 5 4" xfId="1018"/>
    <cellStyle name="40% - Accent2 5 4 2" xfId="2310"/>
    <cellStyle name="40% - Accent2 5 4 3" xfId="3588"/>
    <cellStyle name="40% - Accent2 5 4 4" xfId="4875"/>
    <cellStyle name="40% - Accent2 5 5" xfId="1458"/>
    <cellStyle name="40% - Accent2 5 6" xfId="2736"/>
    <cellStyle name="40% - Accent2 5 7" xfId="4023"/>
    <cellStyle name="40% - Accent2 6" xfId="163"/>
    <cellStyle name="40% - Accent2 6 2" xfId="380"/>
    <cellStyle name="40% - Accent2 6 2 2" xfId="806"/>
    <cellStyle name="40% - Accent2 6 2 2 2" xfId="2098"/>
    <cellStyle name="40% - Accent2 6 2 2 3" xfId="3376"/>
    <cellStyle name="40% - Accent2 6 2 2 4" xfId="4663"/>
    <cellStyle name="40% - Accent2 6 2 3" xfId="1232"/>
    <cellStyle name="40% - Accent2 6 2 3 2" xfId="2524"/>
    <cellStyle name="40% - Accent2 6 2 3 3" xfId="3802"/>
    <cellStyle name="40% - Accent2 6 2 3 4" xfId="5089"/>
    <cellStyle name="40% - Accent2 6 2 4" xfId="1672"/>
    <cellStyle name="40% - Accent2 6 2 5" xfId="2950"/>
    <cellStyle name="40% - Accent2 6 2 6" xfId="4237"/>
    <cellStyle name="40% - Accent2 6 3" xfId="593"/>
    <cellStyle name="40% - Accent2 6 3 2" xfId="1885"/>
    <cellStyle name="40% - Accent2 6 3 3" xfId="3163"/>
    <cellStyle name="40% - Accent2 6 3 4" xfId="4450"/>
    <cellStyle name="40% - Accent2 6 4" xfId="1019"/>
    <cellStyle name="40% - Accent2 6 4 2" xfId="2311"/>
    <cellStyle name="40% - Accent2 6 4 3" xfId="3589"/>
    <cellStyle name="40% - Accent2 6 4 4" xfId="4876"/>
    <cellStyle name="40% - Accent2 6 5" xfId="1459"/>
    <cellStyle name="40% - Accent2 6 6" xfId="2737"/>
    <cellStyle name="40% - Accent2 6 7" xfId="4024"/>
    <cellStyle name="40% - Accent2 7" xfId="262"/>
    <cellStyle name="40% - Accent2 7 2" xfId="475"/>
    <cellStyle name="40% - Accent2 7 2 2" xfId="900"/>
    <cellStyle name="40% - Accent2 7 2 2 2" xfId="2192"/>
    <cellStyle name="40% - Accent2 7 2 2 3" xfId="3470"/>
    <cellStyle name="40% - Accent2 7 2 2 4" xfId="4757"/>
    <cellStyle name="40% - Accent2 7 2 3" xfId="1326"/>
    <cellStyle name="40% - Accent2 7 2 3 2" xfId="2618"/>
    <cellStyle name="40% - Accent2 7 2 3 3" xfId="3896"/>
    <cellStyle name="40% - Accent2 7 2 3 4" xfId="5183"/>
    <cellStyle name="40% - Accent2 7 2 4" xfId="1766"/>
    <cellStyle name="40% - Accent2 7 2 5" xfId="3044"/>
    <cellStyle name="40% - Accent2 7 2 6" xfId="4331"/>
    <cellStyle name="40% - Accent2 7 3" xfId="687"/>
    <cellStyle name="40% - Accent2 7 3 2" xfId="1979"/>
    <cellStyle name="40% - Accent2 7 3 3" xfId="3257"/>
    <cellStyle name="40% - Accent2 7 3 4" xfId="4544"/>
    <cellStyle name="40% - Accent2 7 4" xfId="1113"/>
    <cellStyle name="40% - Accent2 7 4 2" xfId="2405"/>
    <cellStyle name="40% - Accent2 7 4 3" xfId="3683"/>
    <cellStyle name="40% - Accent2 7 4 4" xfId="4970"/>
    <cellStyle name="40% - Accent2 7 5" xfId="1553"/>
    <cellStyle name="40% - Accent2 7 6" xfId="2831"/>
    <cellStyle name="40% - Accent2 7 7" xfId="4118"/>
    <cellStyle name="40% - Accent2 8" xfId="369"/>
    <cellStyle name="40% - Accent2 8 2" xfId="795"/>
    <cellStyle name="40% - Accent2 8 2 2" xfId="2087"/>
    <cellStyle name="40% - Accent2 8 2 3" xfId="3365"/>
    <cellStyle name="40% - Accent2 8 2 4" xfId="4652"/>
    <cellStyle name="40% - Accent2 8 3" xfId="1221"/>
    <cellStyle name="40% - Accent2 8 3 2" xfId="2513"/>
    <cellStyle name="40% - Accent2 8 3 3" xfId="3791"/>
    <cellStyle name="40% - Accent2 8 3 4" xfId="5078"/>
    <cellStyle name="40% - Accent2 8 4" xfId="1661"/>
    <cellStyle name="40% - Accent2 8 5" xfId="2939"/>
    <cellStyle name="40% - Accent2 8 6" xfId="4226"/>
    <cellStyle name="40% - Accent2 9" xfId="582"/>
    <cellStyle name="40% - Accent2 9 2" xfId="1874"/>
    <cellStyle name="40% - Accent2 9 3" xfId="3152"/>
    <cellStyle name="40% - Accent2 9 4" xfId="4439"/>
    <cellStyle name="40% - Accent3" xfId="68" builtinId="39" customBuiltin="1"/>
    <cellStyle name="40% - Accent3 10" xfId="1020"/>
    <cellStyle name="40% - Accent3 10 2" xfId="2312"/>
    <cellStyle name="40% - Accent3 10 3" xfId="3590"/>
    <cellStyle name="40% - Accent3 10 4" xfId="4877"/>
    <cellStyle name="40% - Accent3 11" xfId="1460"/>
    <cellStyle name="40% - Accent3 12" xfId="2738"/>
    <cellStyle name="40% - Accent3 13" xfId="4025"/>
    <cellStyle name="40% - Accent3 14" xfId="5271"/>
    <cellStyle name="40% - Accent3 2" xfId="18"/>
    <cellStyle name="40% - Accent3 2 10" xfId="1461"/>
    <cellStyle name="40% - Accent3 2 11" xfId="2739"/>
    <cellStyle name="40% - Accent3 2 12" xfId="4026"/>
    <cellStyle name="40% - Accent3 2 13" xfId="5272"/>
    <cellStyle name="40% - Accent3 2 2" xfId="164"/>
    <cellStyle name="40% - Accent3 2 2 2" xfId="165"/>
    <cellStyle name="40% - Accent3 2 2 2 2" xfId="384"/>
    <cellStyle name="40% - Accent3 2 2 2 2 2" xfId="810"/>
    <cellStyle name="40% - Accent3 2 2 2 2 2 2" xfId="2102"/>
    <cellStyle name="40% - Accent3 2 2 2 2 2 3" xfId="3380"/>
    <cellStyle name="40% - Accent3 2 2 2 2 2 4" xfId="4667"/>
    <cellStyle name="40% - Accent3 2 2 2 2 3" xfId="1236"/>
    <cellStyle name="40% - Accent3 2 2 2 2 3 2" xfId="2528"/>
    <cellStyle name="40% - Accent3 2 2 2 2 3 3" xfId="3806"/>
    <cellStyle name="40% - Accent3 2 2 2 2 3 4" xfId="5093"/>
    <cellStyle name="40% - Accent3 2 2 2 2 4" xfId="1676"/>
    <cellStyle name="40% - Accent3 2 2 2 2 5" xfId="2954"/>
    <cellStyle name="40% - Accent3 2 2 2 2 6" xfId="4241"/>
    <cellStyle name="40% - Accent3 2 2 2 3" xfId="597"/>
    <cellStyle name="40% - Accent3 2 2 2 3 2" xfId="1889"/>
    <cellStyle name="40% - Accent3 2 2 2 3 3" xfId="3167"/>
    <cellStyle name="40% - Accent3 2 2 2 3 4" xfId="4454"/>
    <cellStyle name="40% - Accent3 2 2 2 4" xfId="1023"/>
    <cellStyle name="40% - Accent3 2 2 2 4 2" xfId="2315"/>
    <cellStyle name="40% - Accent3 2 2 2 4 3" xfId="3593"/>
    <cellStyle name="40% - Accent3 2 2 2 4 4" xfId="4880"/>
    <cellStyle name="40% - Accent3 2 2 2 5" xfId="1463"/>
    <cellStyle name="40% - Accent3 2 2 2 6" xfId="2741"/>
    <cellStyle name="40% - Accent3 2 2 2 7" xfId="4028"/>
    <cellStyle name="40% - Accent3 2 2 2 8" xfId="5274"/>
    <cellStyle name="40% - Accent3 2 2 3" xfId="383"/>
    <cellStyle name="40% - Accent3 2 2 3 2" xfId="809"/>
    <cellStyle name="40% - Accent3 2 2 3 2 2" xfId="2101"/>
    <cellStyle name="40% - Accent3 2 2 3 2 3" xfId="3379"/>
    <cellStyle name="40% - Accent3 2 2 3 2 4" xfId="4666"/>
    <cellStyle name="40% - Accent3 2 2 3 3" xfId="1235"/>
    <cellStyle name="40% - Accent3 2 2 3 3 2" xfId="2527"/>
    <cellStyle name="40% - Accent3 2 2 3 3 3" xfId="3805"/>
    <cellStyle name="40% - Accent3 2 2 3 3 4" xfId="5092"/>
    <cellStyle name="40% - Accent3 2 2 3 4" xfId="1675"/>
    <cellStyle name="40% - Accent3 2 2 3 5" xfId="2953"/>
    <cellStyle name="40% - Accent3 2 2 3 6" xfId="4240"/>
    <cellStyle name="40% - Accent3 2 2 4" xfId="596"/>
    <cellStyle name="40% - Accent3 2 2 4 2" xfId="1888"/>
    <cellStyle name="40% - Accent3 2 2 4 3" xfId="3166"/>
    <cellStyle name="40% - Accent3 2 2 4 4" xfId="4453"/>
    <cellStyle name="40% - Accent3 2 2 5" xfId="1022"/>
    <cellStyle name="40% - Accent3 2 2 5 2" xfId="2314"/>
    <cellStyle name="40% - Accent3 2 2 5 3" xfId="3592"/>
    <cellStyle name="40% - Accent3 2 2 5 4" xfId="4879"/>
    <cellStyle name="40% - Accent3 2 2 6" xfId="1462"/>
    <cellStyle name="40% - Accent3 2 2 7" xfId="2740"/>
    <cellStyle name="40% - Accent3 2 2 8" xfId="4027"/>
    <cellStyle name="40% - Accent3 2 2 9" xfId="5273"/>
    <cellStyle name="40% - Accent3 2 3" xfId="166"/>
    <cellStyle name="40% - Accent3 2 3 2" xfId="385"/>
    <cellStyle name="40% - Accent3 2 3 2 2" xfId="811"/>
    <cellStyle name="40% - Accent3 2 3 2 2 2" xfId="2103"/>
    <cellStyle name="40% - Accent3 2 3 2 2 3" xfId="3381"/>
    <cellStyle name="40% - Accent3 2 3 2 2 4" xfId="4668"/>
    <cellStyle name="40% - Accent3 2 3 2 3" xfId="1237"/>
    <cellStyle name="40% - Accent3 2 3 2 3 2" xfId="2529"/>
    <cellStyle name="40% - Accent3 2 3 2 3 3" xfId="3807"/>
    <cellStyle name="40% - Accent3 2 3 2 3 4" xfId="5094"/>
    <cellStyle name="40% - Accent3 2 3 2 4" xfId="1677"/>
    <cellStyle name="40% - Accent3 2 3 2 5" xfId="2955"/>
    <cellStyle name="40% - Accent3 2 3 2 6" xfId="4242"/>
    <cellStyle name="40% - Accent3 2 3 3" xfId="598"/>
    <cellStyle name="40% - Accent3 2 3 3 2" xfId="1890"/>
    <cellStyle name="40% - Accent3 2 3 3 3" xfId="3168"/>
    <cellStyle name="40% - Accent3 2 3 3 4" xfId="4455"/>
    <cellStyle name="40% - Accent3 2 3 4" xfId="1024"/>
    <cellStyle name="40% - Accent3 2 3 4 2" xfId="2316"/>
    <cellStyle name="40% - Accent3 2 3 4 3" xfId="3594"/>
    <cellStyle name="40% - Accent3 2 3 4 4" xfId="4881"/>
    <cellStyle name="40% - Accent3 2 3 5" xfId="1464"/>
    <cellStyle name="40% - Accent3 2 3 6" xfId="2742"/>
    <cellStyle name="40% - Accent3 2 3 7" xfId="4029"/>
    <cellStyle name="40% - Accent3 2 3 8" xfId="5275"/>
    <cellStyle name="40% - Accent3 2 4" xfId="167"/>
    <cellStyle name="40% - Accent3 2 4 2" xfId="386"/>
    <cellStyle name="40% - Accent3 2 4 2 2" xfId="812"/>
    <cellStyle name="40% - Accent3 2 4 2 2 2" xfId="2104"/>
    <cellStyle name="40% - Accent3 2 4 2 2 3" xfId="3382"/>
    <cellStyle name="40% - Accent3 2 4 2 2 4" xfId="4669"/>
    <cellStyle name="40% - Accent3 2 4 2 3" xfId="1238"/>
    <cellStyle name="40% - Accent3 2 4 2 3 2" xfId="2530"/>
    <cellStyle name="40% - Accent3 2 4 2 3 3" xfId="3808"/>
    <cellStyle name="40% - Accent3 2 4 2 3 4" xfId="5095"/>
    <cellStyle name="40% - Accent3 2 4 2 4" xfId="1678"/>
    <cellStyle name="40% - Accent3 2 4 2 5" xfId="2956"/>
    <cellStyle name="40% - Accent3 2 4 2 6" xfId="4243"/>
    <cellStyle name="40% - Accent3 2 4 3" xfId="599"/>
    <cellStyle name="40% - Accent3 2 4 3 2" xfId="1891"/>
    <cellStyle name="40% - Accent3 2 4 3 3" xfId="3169"/>
    <cellStyle name="40% - Accent3 2 4 3 4" xfId="4456"/>
    <cellStyle name="40% - Accent3 2 4 4" xfId="1025"/>
    <cellStyle name="40% - Accent3 2 4 4 2" xfId="2317"/>
    <cellStyle name="40% - Accent3 2 4 4 3" xfId="3595"/>
    <cellStyle name="40% - Accent3 2 4 4 4" xfId="4882"/>
    <cellStyle name="40% - Accent3 2 4 5" xfId="1465"/>
    <cellStyle name="40% - Accent3 2 4 6" xfId="2743"/>
    <cellStyle name="40% - Accent3 2 4 7" xfId="4030"/>
    <cellStyle name="40% - Accent3 2 5" xfId="168"/>
    <cellStyle name="40% - Accent3 2 5 2" xfId="387"/>
    <cellStyle name="40% - Accent3 2 5 2 2" xfId="813"/>
    <cellStyle name="40% - Accent3 2 5 2 2 2" xfId="2105"/>
    <cellStyle name="40% - Accent3 2 5 2 2 3" xfId="3383"/>
    <cellStyle name="40% - Accent3 2 5 2 2 4" xfId="4670"/>
    <cellStyle name="40% - Accent3 2 5 2 3" xfId="1239"/>
    <cellStyle name="40% - Accent3 2 5 2 3 2" xfId="2531"/>
    <cellStyle name="40% - Accent3 2 5 2 3 3" xfId="3809"/>
    <cellStyle name="40% - Accent3 2 5 2 3 4" xfId="5096"/>
    <cellStyle name="40% - Accent3 2 5 2 4" xfId="1679"/>
    <cellStyle name="40% - Accent3 2 5 2 5" xfId="2957"/>
    <cellStyle name="40% - Accent3 2 5 2 6" xfId="4244"/>
    <cellStyle name="40% - Accent3 2 5 3" xfId="600"/>
    <cellStyle name="40% - Accent3 2 5 3 2" xfId="1892"/>
    <cellStyle name="40% - Accent3 2 5 3 3" xfId="3170"/>
    <cellStyle name="40% - Accent3 2 5 3 4" xfId="4457"/>
    <cellStyle name="40% - Accent3 2 5 4" xfId="1026"/>
    <cellStyle name="40% - Accent3 2 5 4 2" xfId="2318"/>
    <cellStyle name="40% - Accent3 2 5 4 3" xfId="3596"/>
    <cellStyle name="40% - Accent3 2 5 4 4" xfId="4883"/>
    <cellStyle name="40% - Accent3 2 5 5" xfId="1466"/>
    <cellStyle name="40% - Accent3 2 5 6" xfId="2744"/>
    <cellStyle name="40% - Accent3 2 5 7" xfId="4031"/>
    <cellStyle name="40% - Accent3 2 6" xfId="275"/>
    <cellStyle name="40% - Accent3 2 6 2" xfId="488"/>
    <cellStyle name="40% - Accent3 2 6 2 2" xfId="913"/>
    <cellStyle name="40% - Accent3 2 6 2 2 2" xfId="2205"/>
    <cellStyle name="40% - Accent3 2 6 2 2 3" xfId="3483"/>
    <cellStyle name="40% - Accent3 2 6 2 2 4" xfId="4770"/>
    <cellStyle name="40% - Accent3 2 6 2 3" xfId="1339"/>
    <cellStyle name="40% - Accent3 2 6 2 3 2" xfId="2631"/>
    <cellStyle name="40% - Accent3 2 6 2 3 3" xfId="3909"/>
    <cellStyle name="40% - Accent3 2 6 2 3 4" xfId="5196"/>
    <cellStyle name="40% - Accent3 2 6 2 4" xfId="1779"/>
    <cellStyle name="40% - Accent3 2 6 2 5" xfId="3057"/>
    <cellStyle name="40% - Accent3 2 6 2 6" xfId="4344"/>
    <cellStyle name="40% - Accent3 2 6 3" xfId="700"/>
    <cellStyle name="40% - Accent3 2 6 3 2" xfId="1992"/>
    <cellStyle name="40% - Accent3 2 6 3 3" xfId="3270"/>
    <cellStyle name="40% - Accent3 2 6 3 4" xfId="4557"/>
    <cellStyle name="40% - Accent3 2 6 4" xfId="1126"/>
    <cellStyle name="40% - Accent3 2 6 4 2" xfId="2418"/>
    <cellStyle name="40% - Accent3 2 6 4 3" xfId="3696"/>
    <cellStyle name="40% - Accent3 2 6 4 4" xfId="4983"/>
    <cellStyle name="40% - Accent3 2 6 5" xfId="1566"/>
    <cellStyle name="40% - Accent3 2 6 6" xfId="2844"/>
    <cellStyle name="40% - Accent3 2 6 7" xfId="4131"/>
    <cellStyle name="40% - Accent3 2 7" xfId="382"/>
    <cellStyle name="40% - Accent3 2 7 2" xfId="808"/>
    <cellStyle name="40% - Accent3 2 7 2 2" xfId="2100"/>
    <cellStyle name="40% - Accent3 2 7 2 3" xfId="3378"/>
    <cellStyle name="40% - Accent3 2 7 2 4" xfId="4665"/>
    <cellStyle name="40% - Accent3 2 7 3" xfId="1234"/>
    <cellStyle name="40% - Accent3 2 7 3 2" xfId="2526"/>
    <cellStyle name="40% - Accent3 2 7 3 3" xfId="3804"/>
    <cellStyle name="40% - Accent3 2 7 3 4" xfId="5091"/>
    <cellStyle name="40% - Accent3 2 7 4" xfId="1674"/>
    <cellStyle name="40% - Accent3 2 7 5" xfId="2952"/>
    <cellStyle name="40% - Accent3 2 7 6" xfId="4239"/>
    <cellStyle name="40% - Accent3 2 8" xfId="595"/>
    <cellStyle name="40% - Accent3 2 8 2" xfId="1887"/>
    <cellStyle name="40% - Accent3 2 8 3" xfId="3165"/>
    <cellStyle name="40% - Accent3 2 8 4" xfId="4452"/>
    <cellStyle name="40% - Accent3 2 9" xfId="1021"/>
    <cellStyle name="40% - Accent3 2 9 2" xfId="2313"/>
    <cellStyle name="40% - Accent3 2 9 3" xfId="3591"/>
    <cellStyle name="40% - Accent3 2 9 4" xfId="4878"/>
    <cellStyle name="40% - Accent3 3" xfId="169"/>
    <cellStyle name="40% - Accent3 3 2" xfId="170"/>
    <cellStyle name="40% - Accent3 3 2 2" xfId="389"/>
    <cellStyle name="40% - Accent3 3 2 2 2" xfId="815"/>
    <cellStyle name="40% - Accent3 3 2 2 2 2" xfId="2107"/>
    <cellStyle name="40% - Accent3 3 2 2 2 3" xfId="3385"/>
    <cellStyle name="40% - Accent3 3 2 2 2 4" xfId="4672"/>
    <cellStyle name="40% - Accent3 3 2 2 3" xfId="1241"/>
    <cellStyle name="40% - Accent3 3 2 2 3 2" xfId="2533"/>
    <cellStyle name="40% - Accent3 3 2 2 3 3" xfId="3811"/>
    <cellStyle name="40% - Accent3 3 2 2 3 4" xfId="5098"/>
    <cellStyle name="40% - Accent3 3 2 2 4" xfId="1681"/>
    <cellStyle name="40% - Accent3 3 2 2 5" xfId="2959"/>
    <cellStyle name="40% - Accent3 3 2 2 6" xfId="4246"/>
    <cellStyle name="40% - Accent3 3 2 3" xfId="602"/>
    <cellStyle name="40% - Accent3 3 2 3 2" xfId="1894"/>
    <cellStyle name="40% - Accent3 3 2 3 3" xfId="3172"/>
    <cellStyle name="40% - Accent3 3 2 3 4" xfId="4459"/>
    <cellStyle name="40% - Accent3 3 2 4" xfId="1028"/>
    <cellStyle name="40% - Accent3 3 2 4 2" xfId="2320"/>
    <cellStyle name="40% - Accent3 3 2 4 3" xfId="3598"/>
    <cellStyle name="40% - Accent3 3 2 4 4" xfId="4885"/>
    <cellStyle name="40% - Accent3 3 2 5" xfId="1468"/>
    <cellStyle name="40% - Accent3 3 2 6" xfId="2746"/>
    <cellStyle name="40% - Accent3 3 2 7" xfId="4033"/>
    <cellStyle name="40% - Accent3 3 2 8" xfId="5277"/>
    <cellStyle name="40% - Accent3 3 3" xfId="388"/>
    <cellStyle name="40% - Accent3 3 3 2" xfId="814"/>
    <cellStyle name="40% - Accent3 3 3 2 2" xfId="2106"/>
    <cellStyle name="40% - Accent3 3 3 2 3" xfId="3384"/>
    <cellStyle name="40% - Accent3 3 3 2 4" xfId="4671"/>
    <cellStyle name="40% - Accent3 3 3 3" xfId="1240"/>
    <cellStyle name="40% - Accent3 3 3 3 2" xfId="2532"/>
    <cellStyle name="40% - Accent3 3 3 3 3" xfId="3810"/>
    <cellStyle name="40% - Accent3 3 3 3 4" xfId="5097"/>
    <cellStyle name="40% - Accent3 3 3 4" xfId="1680"/>
    <cellStyle name="40% - Accent3 3 3 5" xfId="2958"/>
    <cellStyle name="40% - Accent3 3 3 6" xfId="4245"/>
    <cellStyle name="40% - Accent3 3 4" xfId="601"/>
    <cellStyle name="40% - Accent3 3 4 2" xfId="1893"/>
    <cellStyle name="40% - Accent3 3 4 3" xfId="3171"/>
    <cellStyle name="40% - Accent3 3 4 4" xfId="4458"/>
    <cellStyle name="40% - Accent3 3 5" xfId="1027"/>
    <cellStyle name="40% - Accent3 3 5 2" xfId="2319"/>
    <cellStyle name="40% - Accent3 3 5 3" xfId="3597"/>
    <cellStyle name="40% - Accent3 3 5 4" xfId="4884"/>
    <cellStyle name="40% - Accent3 3 6" xfId="1467"/>
    <cellStyle name="40% - Accent3 3 7" xfId="2745"/>
    <cellStyle name="40% - Accent3 3 8" xfId="4032"/>
    <cellStyle name="40% - Accent3 3 9" xfId="5276"/>
    <cellStyle name="40% - Accent3 4" xfId="171"/>
    <cellStyle name="40% - Accent3 4 2" xfId="390"/>
    <cellStyle name="40% - Accent3 4 2 2" xfId="816"/>
    <cellStyle name="40% - Accent3 4 2 2 2" xfId="2108"/>
    <cellStyle name="40% - Accent3 4 2 2 3" xfId="3386"/>
    <cellStyle name="40% - Accent3 4 2 2 4" xfId="4673"/>
    <cellStyle name="40% - Accent3 4 2 3" xfId="1242"/>
    <cellStyle name="40% - Accent3 4 2 3 2" xfId="2534"/>
    <cellStyle name="40% - Accent3 4 2 3 3" xfId="3812"/>
    <cellStyle name="40% - Accent3 4 2 3 4" xfId="5099"/>
    <cellStyle name="40% - Accent3 4 2 4" xfId="1682"/>
    <cellStyle name="40% - Accent3 4 2 5" xfId="2960"/>
    <cellStyle name="40% - Accent3 4 2 6" xfId="4247"/>
    <cellStyle name="40% - Accent3 4 3" xfId="603"/>
    <cellStyle name="40% - Accent3 4 3 2" xfId="1895"/>
    <cellStyle name="40% - Accent3 4 3 3" xfId="3173"/>
    <cellStyle name="40% - Accent3 4 3 4" xfId="4460"/>
    <cellStyle name="40% - Accent3 4 4" xfId="1029"/>
    <cellStyle name="40% - Accent3 4 4 2" xfId="2321"/>
    <cellStyle name="40% - Accent3 4 4 3" xfId="3599"/>
    <cellStyle name="40% - Accent3 4 4 4" xfId="4886"/>
    <cellStyle name="40% - Accent3 4 5" xfId="1469"/>
    <cellStyle name="40% - Accent3 4 6" xfId="2747"/>
    <cellStyle name="40% - Accent3 4 7" xfId="4034"/>
    <cellStyle name="40% - Accent3 4 8" xfId="5278"/>
    <cellStyle name="40% - Accent3 5" xfId="172"/>
    <cellStyle name="40% - Accent3 5 2" xfId="391"/>
    <cellStyle name="40% - Accent3 5 2 2" xfId="817"/>
    <cellStyle name="40% - Accent3 5 2 2 2" xfId="2109"/>
    <cellStyle name="40% - Accent3 5 2 2 3" xfId="3387"/>
    <cellStyle name="40% - Accent3 5 2 2 4" xfId="4674"/>
    <cellStyle name="40% - Accent3 5 2 3" xfId="1243"/>
    <cellStyle name="40% - Accent3 5 2 3 2" xfId="2535"/>
    <cellStyle name="40% - Accent3 5 2 3 3" xfId="3813"/>
    <cellStyle name="40% - Accent3 5 2 3 4" xfId="5100"/>
    <cellStyle name="40% - Accent3 5 2 4" xfId="1683"/>
    <cellStyle name="40% - Accent3 5 2 5" xfId="2961"/>
    <cellStyle name="40% - Accent3 5 2 6" xfId="4248"/>
    <cellStyle name="40% - Accent3 5 3" xfId="604"/>
    <cellStyle name="40% - Accent3 5 3 2" xfId="1896"/>
    <cellStyle name="40% - Accent3 5 3 3" xfId="3174"/>
    <cellStyle name="40% - Accent3 5 3 4" xfId="4461"/>
    <cellStyle name="40% - Accent3 5 4" xfId="1030"/>
    <cellStyle name="40% - Accent3 5 4 2" xfId="2322"/>
    <cellStyle name="40% - Accent3 5 4 3" xfId="3600"/>
    <cellStyle name="40% - Accent3 5 4 4" xfId="4887"/>
    <cellStyle name="40% - Accent3 5 5" xfId="1470"/>
    <cellStyle name="40% - Accent3 5 6" xfId="2748"/>
    <cellStyle name="40% - Accent3 5 7" xfId="4035"/>
    <cellStyle name="40% - Accent3 6" xfId="173"/>
    <cellStyle name="40% - Accent3 6 2" xfId="392"/>
    <cellStyle name="40% - Accent3 6 2 2" xfId="818"/>
    <cellStyle name="40% - Accent3 6 2 2 2" xfId="2110"/>
    <cellStyle name="40% - Accent3 6 2 2 3" xfId="3388"/>
    <cellStyle name="40% - Accent3 6 2 2 4" xfId="4675"/>
    <cellStyle name="40% - Accent3 6 2 3" xfId="1244"/>
    <cellStyle name="40% - Accent3 6 2 3 2" xfId="2536"/>
    <cellStyle name="40% - Accent3 6 2 3 3" xfId="3814"/>
    <cellStyle name="40% - Accent3 6 2 3 4" xfId="5101"/>
    <cellStyle name="40% - Accent3 6 2 4" xfId="1684"/>
    <cellStyle name="40% - Accent3 6 2 5" xfId="2962"/>
    <cellStyle name="40% - Accent3 6 2 6" xfId="4249"/>
    <cellStyle name="40% - Accent3 6 3" xfId="605"/>
    <cellStyle name="40% - Accent3 6 3 2" xfId="1897"/>
    <cellStyle name="40% - Accent3 6 3 3" xfId="3175"/>
    <cellStyle name="40% - Accent3 6 3 4" xfId="4462"/>
    <cellStyle name="40% - Accent3 6 4" xfId="1031"/>
    <cellStyle name="40% - Accent3 6 4 2" xfId="2323"/>
    <cellStyle name="40% - Accent3 6 4 3" xfId="3601"/>
    <cellStyle name="40% - Accent3 6 4 4" xfId="4888"/>
    <cellStyle name="40% - Accent3 6 5" xfId="1471"/>
    <cellStyle name="40% - Accent3 6 6" xfId="2749"/>
    <cellStyle name="40% - Accent3 6 7" xfId="4036"/>
    <cellStyle name="40% - Accent3 7" xfId="263"/>
    <cellStyle name="40% - Accent3 7 2" xfId="476"/>
    <cellStyle name="40% - Accent3 7 2 2" xfId="901"/>
    <cellStyle name="40% - Accent3 7 2 2 2" xfId="2193"/>
    <cellStyle name="40% - Accent3 7 2 2 3" xfId="3471"/>
    <cellStyle name="40% - Accent3 7 2 2 4" xfId="4758"/>
    <cellStyle name="40% - Accent3 7 2 3" xfId="1327"/>
    <cellStyle name="40% - Accent3 7 2 3 2" xfId="2619"/>
    <cellStyle name="40% - Accent3 7 2 3 3" xfId="3897"/>
    <cellStyle name="40% - Accent3 7 2 3 4" xfId="5184"/>
    <cellStyle name="40% - Accent3 7 2 4" xfId="1767"/>
    <cellStyle name="40% - Accent3 7 2 5" xfId="3045"/>
    <cellStyle name="40% - Accent3 7 2 6" xfId="4332"/>
    <cellStyle name="40% - Accent3 7 3" xfId="688"/>
    <cellStyle name="40% - Accent3 7 3 2" xfId="1980"/>
    <cellStyle name="40% - Accent3 7 3 3" xfId="3258"/>
    <cellStyle name="40% - Accent3 7 3 4" xfId="4545"/>
    <cellStyle name="40% - Accent3 7 4" xfId="1114"/>
    <cellStyle name="40% - Accent3 7 4 2" xfId="2406"/>
    <cellStyle name="40% - Accent3 7 4 3" xfId="3684"/>
    <cellStyle name="40% - Accent3 7 4 4" xfId="4971"/>
    <cellStyle name="40% - Accent3 7 5" xfId="1554"/>
    <cellStyle name="40% - Accent3 7 6" xfId="2832"/>
    <cellStyle name="40% - Accent3 7 7" xfId="4119"/>
    <cellStyle name="40% - Accent3 8" xfId="381"/>
    <cellStyle name="40% - Accent3 8 2" xfId="807"/>
    <cellStyle name="40% - Accent3 8 2 2" xfId="2099"/>
    <cellStyle name="40% - Accent3 8 2 3" xfId="3377"/>
    <cellStyle name="40% - Accent3 8 2 4" xfId="4664"/>
    <cellStyle name="40% - Accent3 8 3" xfId="1233"/>
    <cellStyle name="40% - Accent3 8 3 2" xfId="2525"/>
    <cellStyle name="40% - Accent3 8 3 3" xfId="3803"/>
    <cellStyle name="40% - Accent3 8 3 4" xfId="5090"/>
    <cellStyle name="40% - Accent3 8 4" xfId="1673"/>
    <cellStyle name="40% - Accent3 8 5" xfId="2951"/>
    <cellStyle name="40% - Accent3 8 6" xfId="4238"/>
    <cellStyle name="40% - Accent3 9" xfId="594"/>
    <cellStyle name="40% - Accent3 9 2" xfId="1886"/>
    <cellStyle name="40% - Accent3 9 3" xfId="3164"/>
    <cellStyle name="40% - Accent3 9 4" xfId="4451"/>
    <cellStyle name="40% - Accent4" xfId="4" builtinId="43" customBuiltin="1"/>
    <cellStyle name="40% - Accent4 10" xfId="1032"/>
    <cellStyle name="40% - Accent4 10 2" xfId="2324"/>
    <cellStyle name="40% - Accent4 10 3" xfId="3602"/>
    <cellStyle name="40% - Accent4 10 4" xfId="4889"/>
    <cellStyle name="40% - Accent4 11" xfId="1472"/>
    <cellStyle name="40% - Accent4 12" xfId="2750"/>
    <cellStyle name="40% - Accent4 13" xfId="4037"/>
    <cellStyle name="40% - Accent4 14" xfId="5279"/>
    <cellStyle name="40% - Accent4 2" xfId="19"/>
    <cellStyle name="40% - Accent4 2 10" xfId="1473"/>
    <cellStyle name="40% - Accent4 2 11" xfId="2751"/>
    <cellStyle name="40% - Accent4 2 12" xfId="4038"/>
    <cellStyle name="40% - Accent4 2 13" xfId="5280"/>
    <cellStyle name="40% - Accent4 2 2" xfId="174"/>
    <cellStyle name="40% - Accent4 2 2 2" xfId="175"/>
    <cellStyle name="40% - Accent4 2 2 2 2" xfId="396"/>
    <cellStyle name="40% - Accent4 2 2 2 2 2" xfId="822"/>
    <cellStyle name="40% - Accent4 2 2 2 2 2 2" xfId="2114"/>
    <cellStyle name="40% - Accent4 2 2 2 2 2 3" xfId="3392"/>
    <cellStyle name="40% - Accent4 2 2 2 2 2 4" xfId="4679"/>
    <cellStyle name="40% - Accent4 2 2 2 2 3" xfId="1248"/>
    <cellStyle name="40% - Accent4 2 2 2 2 3 2" xfId="2540"/>
    <cellStyle name="40% - Accent4 2 2 2 2 3 3" xfId="3818"/>
    <cellStyle name="40% - Accent4 2 2 2 2 3 4" xfId="5105"/>
    <cellStyle name="40% - Accent4 2 2 2 2 4" xfId="1688"/>
    <cellStyle name="40% - Accent4 2 2 2 2 5" xfId="2966"/>
    <cellStyle name="40% - Accent4 2 2 2 2 6" xfId="4253"/>
    <cellStyle name="40% - Accent4 2 2 2 3" xfId="609"/>
    <cellStyle name="40% - Accent4 2 2 2 3 2" xfId="1901"/>
    <cellStyle name="40% - Accent4 2 2 2 3 3" xfId="3179"/>
    <cellStyle name="40% - Accent4 2 2 2 3 4" xfId="4466"/>
    <cellStyle name="40% - Accent4 2 2 2 4" xfId="1035"/>
    <cellStyle name="40% - Accent4 2 2 2 4 2" xfId="2327"/>
    <cellStyle name="40% - Accent4 2 2 2 4 3" xfId="3605"/>
    <cellStyle name="40% - Accent4 2 2 2 4 4" xfId="4892"/>
    <cellStyle name="40% - Accent4 2 2 2 5" xfId="1475"/>
    <cellStyle name="40% - Accent4 2 2 2 6" xfId="2753"/>
    <cellStyle name="40% - Accent4 2 2 2 7" xfId="4040"/>
    <cellStyle name="40% - Accent4 2 2 2 8" xfId="5282"/>
    <cellStyle name="40% - Accent4 2 2 3" xfId="395"/>
    <cellStyle name="40% - Accent4 2 2 3 2" xfId="821"/>
    <cellStyle name="40% - Accent4 2 2 3 2 2" xfId="2113"/>
    <cellStyle name="40% - Accent4 2 2 3 2 3" xfId="3391"/>
    <cellStyle name="40% - Accent4 2 2 3 2 4" xfId="4678"/>
    <cellStyle name="40% - Accent4 2 2 3 3" xfId="1247"/>
    <cellStyle name="40% - Accent4 2 2 3 3 2" xfId="2539"/>
    <cellStyle name="40% - Accent4 2 2 3 3 3" xfId="3817"/>
    <cellStyle name="40% - Accent4 2 2 3 3 4" xfId="5104"/>
    <cellStyle name="40% - Accent4 2 2 3 4" xfId="1687"/>
    <cellStyle name="40% - Accent4 2 2 3 5" xfId="2965"/>
    <cellStyle name="40% - Accent4 2 2 3 6" xfId="4252"/>
    <cellStyle name="40% - Accent4 2 2 4" xfId="608"/>
    <cellStyle name="40% - Accent4 2 2 4 2" xfId="1900"/>
    <cellStyle name="40% - Accent4 2 2 4 3" xfId="3178"/>
    <cellStyle name="40% - Accent4 2 2 4 4" xfId="4465"/>
    <cellStyle name="40% - Accent4 2 2 5" xfId="1034"/>
    <cellStyle name="40% - Accent4 2 2 5 2" xfId="2326"/>
    <cellStyle name="40% - Accent4 2 2 5 3" xfId="3604"/>
    <cellStyle name="40% - Accent4 2 2 5 4" xfId="4891"/>
    <cellStyle name="40% - Accent4 2 2 6" xfId="1474"/>
    <cellStyle name="40% - Accent4 2 2 7" xfId="2752"/>
    <cellStyle name="40% - Accent4 2 2 8" xfId="4039"/>
    <cellStyle name="40% - Accent4 2 2 9" xfId="5281"/>
    <cellStyle name="40% - Accent4 2 3" xfId="176"/>
    <cellStyle name="40% - Accent4 2 3 2" xfId="397"/>
    <cellStyle name="40% - Accent4 2 3 2 2" xfId="823"/>
    <cellStyle name="40% - Accent4 2 3 2 2 2" xfId="2115"/>
    <cellStyle name="40% - Accent4 2 3 2 2 3" xfId="3393"/>
    <cellStyle name="40% - Accent4 2 3 2 2 4" xfId="4680"/>
    <cellStyle name="40% - Accent4 2 3 2 3" xfId="1249"/>
    <cellStyle name="40% - Accent4 2 3 2 3 2" xfId="2541"/>
    <cellStyle name="40% - Accent4 2 3 2 3 3" xfId="3819"/>
    <cellStyle name="40% - Accent4 2 3 2 3 4" xfId="5106"/>
    <cellStyle name="40% - Accent4 2 3 2 4" xfId="1689"/>
    <cellStyle name="40% - Accent4 2 3 2 5" xfId="2967"/>
    <cellStyle name="40% - Accent4 2 3 2 6" xfId="4254"/>
    <cellStyle name="40% - Accent4 2 3 3" xfId="610"/>
    <cellStyle name="40% - Accent4 2 3 3 2" xfId="1902"/>
    <cellStyle name="40% - Accent4 2 3 3 3" xfId="3180"/>
    <cellStyle name="40% - Accent4 2 3 3 4" xfId="4467"/>
    <cellStyle name="40% - Accent4 2 3 4" xfId="1036"/>
    <cellStyle name="40% - Accent4 2 3 4 2" xfId="2328"/>
    <cellStyle name="40% - Accent4 2 3 4 3" xfId="3606"/>
    <cellStyle name="40% - Accent4 2 3 4 4" xfId="4893"/>
    <cellStyle name="40% - Accent4 2 3 5" xfId="1476"/>
    <cellStyle name="40% - Accent4 2 3 6" xfId="2754"/>
    <cellStyle name="40% - Accent4 2 3 7" xfId="4041"/>
    <cellStyle name="40% - Accent4 2 3 8" xfId="5283"/>
    <cellStyle name="40% - Accent4 2 4" xfId="177"/>
    <cellStyle name="40% - Accent4 2 4 2" xfId="398"/>
    <cellStyle name="40% - Accent4 2 4 2 2" xfId="824"/>
    <cellStyle name="40% - Accent4 2 4 2 2 2" xfId="2116"/>
    <cellStyle name="40% - Accent4 2 4 2 2 3" xfId="3394"/>
    <cellStyle name="40% - Accent4 2 4 2 2 4" xfId="4681"/>
    <cellStyle name="40% - Accent4 2 4 2 3" xfId="1250"/>
    <cellStyle name="40% - Accent4 2 4 2 3 2" xfId="2542"/>
    <cellStyle name="40% - Accent4 2 4 2 3 3" xfId="3820"/>
    <cellStyle name="40% - Accent4 2 4 2 3 4" xfId="5107"/>
    <cellStyle name="40% - Accent4 2 4 2 4" xfId="1690"/>
    <cellStyle name="40% - Accent4 2 4 2 5" xfId="2968"/>
    <cellStyle name="40% - Accent4 2 4 2 6" xfId="4255"/>
    <cellStyle name="40% - Accent4 2 4 3" xfId="611"/>
    <cellStyle name="40% - Accent4 2 4 3 2" xfId="1903"/>
    <cellStyle name="40% - Accent4 2 4 3 3" xfId="3181"/>
    <cellStyle name="40% - Accent4 2 4 3 4" xfId="4468"/>
    <cellStyle name="40% - Accent4 2 4 4" xfId="1037"/>
    <cellStyle name="40% - Accent4 2 4 4 2" xfId="2329"/>
    <cellStyle name="40% - Accent4 2 4 4 3" xfId="3607"/>
    <cellStyle name="40% - Accent4 2 4 4 4" xfId="4894"/>
    <cellStyle name="40% - Accent4 2 4 5" xfId="1477"/>
    <cellStyle name="40% - Accent4 2 4 6" xfId="2755"/>
    <cellStyle name="40% - Accent4 2 4 7" xfId="4042"/>
    <cellStyle name="40% - Accent4 2 5" xfId="178"/>
    <cellStyle name="40% - Accent4 2 5 2" xfId="399"/>
    <cellStyle name="40% - Accent4 2 5 2 2" xfId="825"/>
    <cellStyle name="40% - Accent4 2 5 2 2 2" xfId="2117"/>
    <cellStyle name="40% - Accent4 2 5 2 2 3" xfId="3395"/>
    <cellStyle name="40% - Accent4 2 5 2 2 4" xfId="4682"/>
    <cellStyle name="40% - Accent4 2 5 2 3" xfId="1251"/>
    <cellStyle name="40% - Accent4 2 5 2 3 2" xfId="2543"/>
    <cellStyle name="40% - Accent4 2 5 2 3 3" xfId="3821"/>
    <cellStyle name="40% - Accent4 2 5 2 3 4" xfId="5108"/>
    <cellStyle name="40% - Accent4 2 5 2 4" xfId="1691"/>
    <cellStyle name="40% - Accent4 2 5 2 5" xfId="2969"/>
    <cellStyle name="40% - Accent4 2 5 2 6" xfId="4256"/>
    <cellStyle name="40% - Accent4 2 5 3" xfId="612"/>
    <cellStyle name="40% - Accent4 2 5 3 2" xfId="1904"/>
    <cellStyle name="40% - Accent4 2 5 3 3" xfId="3182"/>
    <cellStyle name="40% - Accent4 2 5 3 4" xfId="4469"/>
    <cellStyle name="40% - Accent4 2 5 4" xfId="1038"/>
    <cellStyle name="40% - Accent4 2 5 4 2" xfId="2330"/>
    <cellStyle name="40% - Accent4 2 5 4 3" xfId="3608"/>
    <cellStyle name="40% - Accent4 2 5 4 4" xfId="4895"/>
    <cellStyle name="40% - Accent4 2 5 5" xfId="1478"/>
    <cellStyle name="40% - Accent4 2 5 6" xfId="2756"/>
    <cellStyle name="40% - Accent4 2 5 7" xfId="4043"/>
    <cellStyle name="40% - Accent4 2 6" xfId="277"/>
    <cellStyle name="40% - Accent4 2 6 2" xfId="490"/>
    <cellStyle name="40% - Accent4 2 6 2 2" xfId="915"/>
    <cellStyle name="40% - Accent4 2 6 2 2 2" xfId="2207"/>
    <cellStyle name="40% - Accent4 2 6 2 2 3" xfId="3485"/>
    <cellStyle name="40% - Accent4 2 6 2 2 4" xfId="4772"/>
    <cellStyle name="40% - Accent4 2 6 2 3" xfId="1341"/>
    <cellStyle name="40% - Accent4 2 6 2 3 2" xfId="2633"/>
    <cellStyle name="40% - Accent4 2 6 2 3 3" xfId="3911"/>
    <cellStyle name="40% - Accent4 2 6 2 3 4" xfId="5198"/>
    <cellStyle name="40% - Accent4 2 6 2 4" xfId="1781"/>
    <cellStyle name="40% - Accent4 2 6 2 5" xfId="3059"/>
    <cellStyle name="40% - Accent4 2 6 2 6" xfId="4346"/>
    <cellStyle name="40% - Accent4 2 6 3" xfId="702"/>
    <cellStyle name="40% - Accent4 2 6 3 2" xfId="1994"/>
    <cellStyle name="40% - Accent4 2 6 3 3" xfId="3272"/>
    <cellStyle name="40% - Accent4 2 6 3 4" xfId="4559"/>
    <cellStyle name="40% - Accent4 2 6 4" xfId="1128"/>
    <cellStyle name="40% - Accent4 2 6 4 2" xfId="2420"/>
    <cellStyle name="40% - Accent4 2 6 4 3" xfId="3698"/>
    <cellStyle name="40% - Accent4 2 6 4 4" xfId="4985"/>
    <cellStyle name="40% - Accent4 2 6 5" xfId="1568"/>
    <cellStyle name="40% - Accent4 2 6 6" xfId="2846"/>
    <cellStyle name="40% - Accent4 2 6 7" xfId="4133"/>
    <cellStyle name="40% - Accent4 2 7" xfId="394"/>
    <cellStyle name="40% - Accent4 2 7 2" xfId="820"/>
    <cellStyle name="40% - Accent4 2 7 2 2" xfId="2112"/>
    <cellStyle name="40% - Accent4 2 7 2 3" xfId="3390"/>
    <cellStyle name="40% - Accent4 2 7 2 4" xfId="4677"/>
    <cellStyle name="40% - Accent4 2 7 3" xfId="1246"/>
    <cellStyle name="40% - Accent4 2 7 3 2" xfId="2538"/>
    <cellStyle name="40% - Accent4 2 7 3 3" xfId="3816"/>
    <cellStyle name="40% - Accent4 2 7 3 4" xfId="5103"/>
    <cellStyle name="40% - Accent4 2 7 4" xfId="1686"/>
    <cellStyle name="40% - Accent4 2 7 5" xfId="2964"/>
    <cellStyle name="40% - Accent4 2 7 6" xfId="4251"/>
    <cellStyle name="40% - Accent4 2 8" xfId="607"/>
    <cellStyle name="40% - Accent4 2 8 2" xfId="1899"/>
    <cellStyle name="40% - Accent4 2 8 3" xfId="3177"/>
    <cellStyle name="40% - Accent4 2 8 4" xfId="4464"/>
    <cellStyle name="40% - Accent4 2 9" xfId="1033"/>
    <cellStyle name="40% - Accent4 2 9 2" xfId="2325"/>
    <cellStyle name="40% - Accent4 2 9 3" xfId="3603"/>
    <cellStyle name="40% - Accent4 2 9 4" xfId="4890"/>
    <cellStyle name="40% - Accent4 3" xfId="179"/>
    <cellStyle name="40% - Accent4 3 2" xfId="180"/>
    <cellStyle name="40% - Accent4 3 2 2" xfId="401"/>
    <cellStyle name="40% - Accent4 3 2 2 2" xfId="827"/>
    <cellStyle name="40% - Accent4 3 2 2 2 2" xfId="2119"/>
    <cellStyle name="40% - Accent4 3 2 2 2 3" xfId="3397"/>
    <cellStyle name="40% - Accent4 3 2 2 2 4" xfId="4684"/>
    <cellStyle name="40% - Accent4 3 2 2 3" xfId="1253"/>
    <cellStyle name="40% - Accent4 3 2 2 3 2" xfId="2545"/>
    <cellStyle name="40% - Accent4 3 2 2 3 3" xfId="3823"/>
    <cellStyle name="40% - Accent4 3 2 2 3 4" xfId="5110"/>
    <cellStyle name="40% - Accent4 3 2 2 4" xfId="1693"/>
    <cellStyle name="40% - Accent4 3 2 2 5" xfId="2971"/>
    <cellStyle name="40% - Accent4 3 2 2 6" xfId="4258"/>
    <cellStyle name="40% - Accent4 3 2 3" xfId="614"/>
    <cellStyle name="40% - Accent4 3 2 3 2" xfId="1906"/>
    <cellStyle name="40% - Accent4 3 2 3 3" xfId="3184"/>
    <cellStyle name="40% - Accent4 3 2 3 4" xfId="4471"/>
    <cellStyle name="40% - Accent4 3 2 4" xfId="1040"/>
    <cellStyle name="40% - Accent4 3 2 4 2" xfId="2332"/>
    <cellStyle name="40% - Accent4 3 2 4 3" xfId="3610"/>
    <cellStyle name="40% - Accent4 3 2 4 4" xfId="4897"/>
    <cellStyle name="40% - Accent4 3 2 5" xfId="1480"/>
    <cellStyle name="40% - Accent4 3 2 6" xfId="2758"/>
    <cellStyle name="40% - Accent4 3 2 7" xfId="4045"/>
    <cellStyle name="40% - Accent4 3 2 8" xfId="5285"/>
    <cellStyle name="40% - Accent4 3 3" xfId="400"/>
    <cellStyle name="40% - Accent4 3 3 2" xfId="826"/>
    <cellStyle name="40% - Accent4 3 3 2 2" xfId="2118"/>
    <cellStyle name="40% - Accent4 3 3 2 3" xfId="3396"/>
    <cellStyle name="40% - Accent4 3 3 2 4" xfId="4683"/>
    <cellStyle name="40% - Accent4 3 3 3" xfId="1252"/>
    <cellStyle name="40% - Accent4 3 3 3 2" xfId="2544"/>
    <cellStyle name="40% - Accent4 3 3 3 3" xfId="3822"/>
    <cellStyle name="40% - Accent4 3 3 3 4" xfId="5109"/>
    <cellStyle name="40% - Accent4 3 3 4" xfId="1692"/>
    <cellStyle name="40% - Accent4 3 3 5" xfId="2970"/>
    <cellStyle name="40% - Accent4 3 3 6" xfId="4257"/>
    <cellStyle name="40% - Accent4 3 4" xfId="613"/>
    <cellStyle name="40% - Accent4 3 4 2" xfId="1905"/>
    <cellStyle name="40% - Accent4 3 4 3" xfId="3183"/>
    <cellStyle name="40% - Accent4 3 4 4" xfId="4470"/>
    <cellStyle name="40% - Accent4 3 5" xfId="1039"/>
    <cellStyle name="40% - Accent4 3 5 2" xfId="2331"/>
    <cellStyle name="40% - Accent4 3 5 3" xfId="3609"/>
    <cellStyle name="40% - Accent4 3 5 4" xfId="4896"/>
    <cellStyle name="40% - Accent4 3 6" xfId="1479"/>
    <cellStyle name="40% - Accent4 3 7" xfId="2757"/>
    <cellStyle name="40% - Accent4 3 8" xfId="4044"/>
    <cellStyle name="40% - Accent4 3 9" xfId="5284"/>
    <cellStyle name="40% - Accent4 4" xfId="181"/>
    <cellStyle name="40% - Accent4 4 2" xfId="402"/>
    <cellStyle name="40% - Accent4 4 2 2" xfId="828"/>
    <cellStyle name="40% - Accent4 4 2 2 2" xfId="2120"/>
    <cellStyle name="40% - Accent4 4 2 2 3" xfId="3398"/>
    <cellStyle name="40% - Accent4 4 2 2 4" xfId="4685"/>
    <cellStyle name="40% - Accent4 4 2 3" xfId="1254"/>
    <cellStyle name="40% - Accent4 4 2 3 2" xfId="2546"/>
    <cellStyle name="40% - Accent4 4 2 3 3" xfId="3824"/>
    <cellStyle name="40% - Accent4 4 2 3 4" xfId="5111"/>
    <cellStyle name="40% - Accent4 4 2 4" xfId="1694"/>
    <cellStyle name="40% - Accent4 4 2 5" xfId="2972"/>
    <cellStyle name="40% - Accent4 4 2 6" xfId="4259"/>
    <cellStyle name="40% - Accent4 4 3" xfId="615"/>
    <cellStyle name="40% - Accent4 4 3 2" xfId="1907"/>
    <cellStyle name="40% - Accent4 4 3 3" xfId="3185"/>
    <cellStyle name="40% - Accent4 4 3 4" xfId="4472"/>
    <cellStyle name="40% - Accent4 4 4" xfId="1041"/>
    <cellStyle name="40% - Accent4 4 4 2" xfId="2333"/>
    <cellStyle name="40% - Accent4 4 4 3" xfId="3611"/>
    <cellStyle name="40% - Accent4 4 4 4" xfId="4898"/>
    <cellStyle name="40% - Accent4 4 5" xfId="1481"/>
    <cellStyle name="40% - Accent4 4 6" xfId="2759"/>
    <cellStyle name="40% - Accent4 4 7" xfId="4046"/>
    <cellStyle name="40% - Accent4 4 8" xfId="5286"/>
    <cellStyle name="40% - Accent4 5" xfId="182"/>
    <cellStyle name="40% - Accent4 5 2" xfId="403"/>
    <cellStyle name="40% - Accent4 5 2 2" xfId="829"/>
    <cellStyle name="40% - Accent4 5 2 2 2" xfId="2121"/>
    <cellStyle name="40% - Accent4 5 2 2 3" xfId="3399"/>
    <cellStyle name="40% - Accent4 5 2 2 4" xfId="4686"/>
    <cellStyle name="40% - Accent4 5 2 3" xfId="1255"/>
    <cellStyle name="40% - Accent4 5 2 3 2" xfId="2547"/>
    <cellStyle name="40% - Accent4 5 2 3 3" xfId="3825"/>
    <cellStyle name="40% - Accent4 5 2 3 4" xfId="5112"/>
    <cellStyle name="40% - Accent4 5 2 4" xfId="1695"/>
    <cellStyle name="40% - Accent4 5 2 5" xfId="2973"/>
    <cellStyle name="40% - Accent4 5 2 6" xfId="4260"/>
    <cellStyle name="40% - Accent4 5 3" xfId="616"/>
    <cellStyle name="40% - Accent4 5 3 2" xfId="1908"/>
    <cellStyle name="40% - Accent4 5 3 3" xfId="3186"/>
    <cellStyle name="40% - Accent4 5 3 4" xfId="4473"/>
    <cellStyle name="40% - Accent4 5 4" xfId="1042"/>
    <cellStyle name="40% - Accent4 5 4 2" xfId="2334"/>
    <cellStyle name="40% - Accent4 5 4 3" xfId="3612"/>
    <cellStyle name="40% - Accent4 5 4 4" xfId="4899"/>
    <cellStyle name="40% - Accent4 5 5" xfId="1482"/>
    <cellStyle name="40% - Accent4 5 6" xfId="2760"/>
    <cellStyle name="40% - Accent4 5 7" xfId="4047"/>
    <cellStyle name="40% - Accent4 6" xfId="183"/>
    <cellStyle name="40% - Accent4 6 2" xfId="404"/>
    <cellStyle name="40% - Accent4 6 2 2" xfId="830"/>
    <cellStyle name="40% - Accent4 6 2 2 2" xfId="2122"/>
    <cellStyle name="40% - Accent4 6 2 2 3" xfId="3400"/>
    <cellStyle name="40% - Accent4 6 2 2 4" xfId="4687"/>
    <cellStyle name="40% - Accent4 6 2 3" xfId="1256"/>
    <cellStyle name="40% - Accent4 6 2 3 2" xfId="2548"/>
    <cellStyle name="40% - Accent4 6 2 3 3" xfId="3826"/>
    <cellStyle name="40% - Accent4 6 2 3 4" xfId="5113"/>
    <cellStyle name="40% - Accent4 6 2 4" xfId="1696"/>
    <cellStyle name="40% - Accent4 6 2 5" xfId="2974"/>
    <cellStyle name="40% - Accent4 6 2 6" xfId="4261"/>
    <cellStyle name="40% - Accent4 6 3" xfId="617"/>
    <cellStyle name="40% - Accent4 6 3 2" xfId="1909"/>
    <cellStyle name="40% - Accent4 6 3 3" xfId="3187"/>
    <cellStyle name="40% - Accent4 6 3 4" xfId="4474"/>
    <cellStyle name="40% - Accent4 6 4" xfId="1043"/>
    <cellStyle name="40% - Accent4 6 4 2" xfId="2335"/>
    <cellStyle name="40% - Accent4 6 4 3" xfId="3613"/>
    <cellStyle name="40% - Accent4 6 4 4" xfId="4900"/>
    <cellStyle name="40% - Accent4 6 5" xfId="1483"/>
    <cellStyle name="40% - Accent4 6 6" xfId="2761"/>
    <cellStyle name="40% - Accent4 6 7" xfId="4048"/>
    <cellStyle name="40% - Accent4 7" xfId="264"/>
    <cellStyle name="40% - Accent4 7 2" xfId="477"/>
    <cellStyle name="40% - Accent4 7 2 2" xfId="902"/>
    <cellStyle name="40% - Accent4 7 2 2 2" xfId="2194"/>
    <cellStyle name="40% - Accent4 7 2 2 3" xfId="3472"/>
    <cellStyle name="40% - Accent4 7 2 2 4" xfId="4759"/>
    <cellStyle name="40% - Accent4 7 2 3" xfId="1328"/>
    <cellStyle name="40% - Accent4 7 2 3 2" xfId="2620"/>
    <cellStyle name="40% - Accent4 7 2 3 3" xfId="3898"/>
    <cellStyle name="40% - Accent4 7 2 3 4" xfId="5185"/>
    <cellStyle name="40% - Accent4 7 2 4" xfId="1768"/>
    <cellStyle name="40% - Accent4 7 2 5" xfId="3046"/>
    <cellStyle name="40% - Accent4 7 2 6" xfId="4333"/>
    <cellStyle name="40% - Accent4 7 3" xfId="689"/>
    <cellStyle name="40% - Accent4 7 3 2" xfId="1981"/>
    <cellStyle name="40% - Accent4 7 3 3" xfId="3259"/>
    <cellStyle name="40% - Accent4 7 3 4" xfId="4546"/>
    <cellStyle name="40% - Accent4 7 4" xfId="1115"/>
    <cellStyle name="40% - Accent4 7 4 2" xfId="2407"/>
    <cellStyle name="40% - Accent4 7 4 3" xfId="3685"/>
    <cellStyle name="40% - Accent4 7 4 4" xfId="4972"/>
    <cellStyle name="40% - Accent4 7 5" xfId="1555"/>
    <cellStyle name="40% - Accent4 7 6" xfId="2833"/>
    <cellStyle name="40% - Accent4 7 7" xfId="4120"/>
    <cellStyle name="40% - Accent4 8" xfId="393"/>
    <cellStyle name="40% - Accent4 8 2" xfId="819"/>
    <cellStyle name="40% - Accent4 8 2 2" xfId="2111"/>
    <cellStyle name="40% - Accent4 8 2 3" xfId="3389"/>
    <cellStyle name="40% - Accent4 8 2 4" xfId="4676"/>
    <cellStyle name="40% - Accent4 8 3" xfId="1245"/>
    <cellStyle name="40% - Accent4 8 3 2" xfId="2537"/>
    <cellStyle name="40% - Accent4 8 3 3" xfId="3815"/>
    <cellStyle name="40% - Accent4 8 3 4" xfId="5102"/>
    <cellStyle name="40% - Accent4 8 4" xfId="1685"/>
    <cellStyle name="40% - Accent4 8 5" xfId="2963"/>
    <cellStyle name="40% - Accent4 8 6" xfId="4250"/>
    <cellStyle name="40% - Accent4 9" xfId="606"/>
    <cellStyle name="40% - Accent4 9 2" xfId="1898"/>
    <cellStyle name="40% - Accent4 9 3" xfId="3176"/>
    <cellStyle name="40% - Accent4 9 4" xfId="4463"/>
    <cellStyle name="40% - Accent5" xfId="75" builtinId="47" customBuiltin="1"/>
    <cellStyle name="40% - Accent5 10" xfId="1044"/>
    <cellStyle name="40% - Accent5 10 2" xfId="2336"/>
    <cellStyle name="40% - Accent5 10 3" xfId="3614"/>
    <cellStyle name="40% - Accent5 10 4" xfId="4901"/>
    <cellStyle name="40% - Accent5 11" xfId="1484"/>
    <cellStyle name="40% - Accent5 12" xfId="2762"/>
    <cellStyle name="40% - Accent5 13" xfId="4049"/>
    <cellStyle name="40% - Accent5 14" xfId="5287"/>
    <cellStyle name="40% - Accent5 2" xfId="20"/>
    <cellStyle name="40% - Accent5 2 10" xfId="1485"/>
    <cellStyle name="40% - Accent5 2 11" xfId="2763"/>
    <cellStyle name="40% - Accent5 2 12" xfId="4050"/>
    <cellStyle name="40% - Accent5 2 13" xfId="5288"/>
    <cellStyle name="40% - Accent5 2 2" xfId="184"/>
    <cellStyle name="40% - Accent5 2 2 2" xfId="185"/>
    <cellStyle name="40% - Accent5 2 2 2 2" xfId="408"/>
    <cellStyle name="40% - Accent5 2 2 2 2 2" xfId="834"/>
    <cellStyle name="40% - Accent5 2 2 2 2 2 2" xfId="2126"/>
    <cellStyle name="40% - Accent5 2 2 2 2 2 3" xfId="3404"/>
    <cellStyle name="40% - Accent5 2 2 2 2 2 4" xfId="4691"/>
    <cellStyle name="40% - Accent5 2 2 2 2 3" xfId="1260"/>
    <cellStyle name="40% - Accent5 2 2 2 2 3 2" xfId="2552"/>
    <cellStyle name="40% - Accent5 2 2 2 2 3 3" xfId="3830"/>
    <cellStyle name="40% - Accent5 2 2 2 2 3 4" xfId="5117"/>
    <cellStyle name="40% - Accent5 2 2 2 2 4" xfId="1700"/>
    <cellStyle name="40% - Accent5 2 2 2 2 5" xfId="2978"/>
    <cellStyle name="40% - Accent5 2 2 2 2 6" xfId="4265"/>
    <cellStyle name="40% - Accent5 2 2 2 3" xfId="621"/>
    <cellStyle name="40% - Accent5 2 2 2 3 2" xfId="1913"/>
    <cellStyle name="40% - Accent5 2 2 2 3 3" xfId="3191"/>
    <cellStyle name="40% - Accent5 2 2 2 3 4" xfId="4478"/>
    <cellStyle name="40% - Accent5 2 2 2 4" xfId="1047"/>
    <cellStyle name="40% - Accent5 2 2 2 4 2" xfId="2339"/>
    <cellStyle name="40% - Accent5 2 2 2 4 3" xfId="3617"/>
    <cellStyle name="40% - Accent5 2 2 2 4 4" xfId="4904"/>
    <cellStyle name="40% - Accent5 2 2 2 5" xfId="1487"/>
    <cellStyle name="40% - Accent5 2 2 2 6" xfId="2765"/>
    <cellStyle name="40% - Accent5 2 2 2 7" xfId="4052"/>
    <cellStyle name="40% - Accent5 2 2 2 8" xfId="5290"/>
    <cellStyle name="40% - Accent5 2 2 3" xfId="407"/>
    <cellStyle name="40% - Accent5 2 2 3 2" xfId="833"/>
    <cellStyle name="40% - Accent5 2 2 3 2 2" xfId="2125"/>
    <cellStyle name="40% - Accent5 2 2 3 2 3" xfId="3403"/>
    <cellStyle name="40% - Accent5 2 2 3 2 4" xfId="4690"/>
    <cellStyle name="40% - Accent5 2 2 3 3" xfId="1259"/>
    <cellStyle name="40% - Accent5 2 2 3 3 2" xfId="2551"/>
    <cellStyle name="40% - Accent5 2 2 3 3 3" xfId="3829"/>
    <cellStyle name="40% - Accent5 2 2 3 3 4" xfId="5116"/>
    <cellStyle name="40% - Accent5 2 2 3 4" xfId="1699"/>
    <cellStyle name="40% - Accent5 2 2 3 5" xfId="2977"/>
    <cellStyle name="40% - Accent5 2 2 3 6" xfId="4264"/>
    <cellStyle name="40% - Accent5 2 2 4" xfId="620"/>
    <cellStyle name="40% - Accent5 2 2 4 2" xfId="1912"/>
    <cellStyle name="40% - Accent5 2 2 4 3" xfId="3190"/>
    <cellStyle name="40% - Accent5 2 2 4 4" xfId="4477"/>
    <cellStyle name="40% - Accent5 2 2 5" xfId="1046"/>
    <cellStyle name="40% - Accent5 2 2 5 2" xfId="2338"/>
    <cellStyle name="40% - Accent5 2 2 5 3" xfId="3616"/>
    <cellStyle name="40% - Accent5 2 2 5 4" xfId="4903"/>
    <cellStyle name="40% - Accent5 2 2 6" xfId="1486"/>
    <cellStyle name="40% - Accent5 2 2 7" xfId="2764"/>
    <cellStyle name="40% - Accent5 2 2 8" xfId="4051"/>
    <cellStyle name="40% - Accent5 2 2 9" xfId="5289"/>
    <cellStyle name="40% - Accent5 2 3" xfId="186"/>
    <cellStyle name="40% - Accent5 2 3 2" xfId="409"/>
    <cellStyle name="40% - Accent5 2 3 2 2" xfId="835"/>
    <cellStyle name="40% - Accent5 2 3 2 2 2" xfId="2127"/>
    <cellStyle name="40% - Accent5 2 3 2 2 3" xfId="3405"/>
    <cellStyle name="40% - Accent5 2 3 2 2 4" xfId="4692"/>
    <cellStyle name="40% - Accent5 2 3 2 3" xfId="1261"/>
    <cellStyle name="40% - Accent5 2 3 2 3 2" xfId="2553"/>
    <cellStyle name="40% - Accent5 2 3 2 3 3" xfId="3831"/>
    <cellStyle name="40% - Accent5 2 3 2 3 4" xfId="5118"/>
    <cellStyle name="40% - Accent5 2 3 2 4" xfId="1701"/>
    <cellStyle name="40% - Accent5 2 3 2 5" xfId="2979"/>
    <cellStyle name="40% - Accent5 2 3 2 6" xfId="4266"/>
    <cellStyle name="40% - Accent5 2 3 3" xfId="622"/>
    <cellStyle name="40% - Accent5 2 3 3 2" xfId="1914"/>
    <cellStyle name="40% - Accent5 2 3 3 3" xfId="3192"/>
    <cellStyle name="40% - Accent5 2 3 3 4" xfId="4479"/>
    <cellStyle name="40% - Accent5 2 3 4" xfId="1048"/>
    <cellStyle name="40% - Accent5 2 3 4 2" xfId="2340"/>
    <cellStyle name="40% - Accent5 2 3 4 3" xfId="3618"/>
    <cellStyle name="40% - Accent5 2 3 4 4" xfId="4905"/>
    <cellStyle name="40% - Accent5 2 3 5" xfId="1488"/>
    <cellStyle name="40% - Accent5 2 3 6" xfId="2766"/>
    <cellStyle name="40% - Accent5 2 3 7" xfId="4053"/>
    <cellStyle name="40% - Accent5 2 3 8" xfId="5291"/>
    <cellStyle name="40% - Accent5 2 4" xfId="187"/>
    <cellStyle name="40% - Accent5 2 4 2" xfId="410"/>
    <cellStyle name="40% - Accent5 2 4 2 2" xfId="836"/>
    <cellStyle name="40% - Accent5 2 4 2 2 2" xfId="2128"/>
    <cellStyle name="40% - Accent5 2 4 2 2 3" xfId="3406"/>
    <cellStyle name="40% - Accent5 2 4 2 2 4" xfId="4693"/>
    <cellStyle name="40% - Accent5 2 4 2 3" xfId="1262"/>
    <cellStyle name="40% - Accent5 2 4 2 3 2" xfId="2554"/>
    <cellStyle name="40% - Accent5 2 4 2 3 3" xfId="3832"/>
    <cellStyle name="40% - Accent5 2 4 2 3 4" xfId="5119"/>
    <cellStyle name="40% - Accent5 2 4 2 4" xfId="1702"/>
    <cellStyle name="40% - Accent5 2 4 2 5" xfId="2980"/>
    <cellStyle name="40% - Accent5 2 4 2 6" xfId="4267"/>
    <cellStyle name="40% - Accent5 2 4 3" xfId="623"/>
    <cellStyle name="40% - Accent5 2 4 3 2" xfId="1915"/>
    <cellStyle name="40% - Accent5 2 4 3 3" xfId="3193"/>
    <cellStyle name="40% - Accent5 2 4 3 4" xfId="4480"/>
    <cellStyle name="40% - Accent5 2 4 4" xfId="1049"/>
    <cellStyle name="40% - Accent5 2 4 4 2" xfId="2341"/>
    <cellStyle name="40% - Accent5 2 4 4 3" xfId="3619"/>
    <cellStyle name="40% - Accent5 2 4 4 4" xfId="4906"/>
    <cellStyle name="40% - Accent5 2 4 5" xfId="1489"/>
    <cellStyle name="40% - Accent5 2 4 6" xfId="2767"/>
    <cellStyle name="40% - Accent5 2 4 7" xfId="4054"/>
    <cellStyle name="40% - Accent5 2 5" xfId="188"/>
    <cellStyle name="40% - Accent5 2 5 2" xfId="411"/>
    <cellStyle name="40% - Accent5 2 5 2 2" xfId="837"/>
    <cellStyle name="40% - Accent5 2 5 2 2 2" xfId="2129"/>
    <cellStyle name="40% - Accent5 2 5 2 2 3" xfId="3407"/>
    <cellStyle name="40% - Accent5 2 5 2 2 4" xfId="4694"/>
    <cellStyle name="40% - Accent5 2 5 2 3" xfId="1263"/>
    <cellStyle name="40% - Accent5 2 5 2 3 2" xfId="2555"/>
    <cellStyle name="40% - Accent5 2 5 2 3 3" xfId="3833"/>
    <cellStyle name="40% - Accent5 2 5 2 3 4" xfId="5120"/>
    <cellStyle name="40% - Accent5 2 5 2 4" xfId="1703"/>
    <cellStyle name="40% - Accent5 2 5 2 5" xfId="2981"/>
    <cellStyle name="40% - Accent5 2 5 2 6" xfId="4268"/>
    <cellStyle name="40% - Accent5 2 5 3" xfId="624"/>
    <cellStyle name="40% - Accent5 2 5 3 2" xfId="1916"/>
    <cellStyle name="40% - Accent5 2 5 3 3" xfId="3194"/>
    <cellStyle name="40% - Accent5 2 5 3 4" xfId="4481"/>
    <cellStyle name="40% - Accent5 2 5 4" xfId="1050"/>
    <cellStyle name="40% - Accent5 2 5 4 2" xfId="2342"/>
    <cellStyle name="40% - Accent5 2 5 4 3" xfId="3620"/>
    <cellStyle name="40% - Accent5 2 5 4 4" xfId="4907"/>
    <cellStyle name="40% - Accent5 2 5 5" xfId="1490"/>
    <cellStyle name="40% - Accent5 2 5 6" xfId="2768"/>
    <cellStyle name="40% - Accent5 2 5 7" xfId="4055"/>
    <cellStyle name="40% - Accent5 2 6" xfId="279"/>
    <cellStyle name="40% - Accent5 2 6 2" xfId="492"/>
    <cellStyle name="40% - Accent5 2 6 2 2" xfId="917"/>
    <cellStyle name="40% - Accent5 2 6 2 2 2" xfId="2209"/>
    <cellStyle name="40% - Accent5 2 6 2 2 3" xfId="3487"/>
    <cellStyle name="40% - Accent5 2 6 2 2 4" xfId="4774"/>
    <cellStyle name="40% - Accent5 2 6 2 3" xfId="1343"/>
    <cellStyle name="40% - Accent5 2 6 2 3 2" xfId="2635"/>
    <cellStyle name="40% - Accent5 2 6 2 3 3" xfId="3913"/>
    <cellStyle name="40% - Accent5 2 6 2 3 4" xfId="5200"/>
    <cellStyle name="40% - Accent5 2 6 2 4" xfId="1783"/>
    <cellStyle name="40% - Accent5 2 6 2 5" xfId="3061"/>
    <cellStyle name="40% - Accent5 2 6 2 6" xfId="4348"/>
    <cellStyle name="40% - Accent5 2 6 3" xfId="704"/>
    <cellStyle name="40% - Accent5 2 6 3 2" xfId="1996"/>
    <cellStyle name="40% - Accent5 2 6 3 3" xfId="3274"/>
    <cellStyle name="40% - Accent5 2 6 3 4" xfId="4561"/>
    <cellStyle name="40% - Accent5 2 6 4" xfId="1130"/>
    <cellStyle name="40% - Accent5 2 6 4 2" xfId="2422"/>
    <cellStyle name="40% - Accent5 2 6 4 3" xfId="3700"/>
    <cellStyle name="40% - Accent5 2 6 4 4" xfId="4987"/>
    <cellStyle name="40% - Accent5 2 6 5" xfId="1570"/>
    <cellStyle name="40% - Accent5 2 6 6" xfId="2848"/>
    <cellStyle name="40% - Accent5 2 6 7" xfId="4135"/>
    <cellStyle name="40% - Accent5 2 7" xfId="406"/>
    <cellStyle name="40% - Accent5 2 7 2" xfId="832"/>
    <cellStyle name="40% - Accent5 2 7 2 2" xfId="2124"/>
    <cellStyle name="40% - Accent5 2 7 2 3" xfId="3402"/>
    <cellStyle name="40% - Accent5 2 7 2 4" xfId="4689"/>
    <cellStyle name="40% - Accent5 2 7 3" xfId="1258"/>
    <cellStyle name="40% - Accent5 2 7 3 2" xfId="2550"/>
    <cellStyle name="40% - Accent5 2 7 3 3" xfId="3828"/>
    <cellStyle name="40% - Accent5 2 7 3 4" xfId="5115"/>
    <cellStyle name="40% - Accent5 2 7 4" xfId="1698"/>
    <cellStyle name="40% - Accent5 2 7 5" xfId="2976"/>
    <cellStyle name="40% - Accent5 2 7 6" xfId="4263"/>
    <cellStyle name="40% - Accent5 2 8" xfId="619"/>
    <cellStyle name="40% - Accent5 2 8 2" xfId="1911"/>
    <cellStyle name="40% - Accent5 2 8 3" xfId="3189"/>
    <cellStyle name="40% - Accent5 2 8 4" xfId="4476"/>
    <cellStyle name="40% - Accent5 2 9" xfId="1045"/>
    <cellStyle name="40% - Accent5 2 9 2" xfId="2337"/>
    <cellStyle name="40% - Accent5 2 9 3" xfId="3615"/>
    <cellStyle name="40% - Accent5 2 9 4" xfId="4902"/>
    <cellStyle name="40% - Accent5 3" xfId="189"/>
    <cellStyle name="40% - Accent5 3 2" xfId="190"/>
    <cellStyle name="40% - Accent5 3 2 2" xfId="413"/>
    <cellStyle name="40% - Accent5 3 2 2 2" xfId="839"/>
    <cellStyle name="40% - Accent5 3 2 2 2 2" xfId="2131"/>
    <cellStyle name="40% - Accent5 3 2 2 2 3" xfId="3409"/>
    <cellStyle name="40% - Accent5 3 2 2 2 4" xfId="4696"/>
    <cellStyle name="40% - Accent5 3 2 2 3" xfId="1265"/>
    <cellStyle name="40% - Accent5 3 2 2 3 2" xfId="2557"/>
    <cellStyle name="40% - Accent5 3 2 2 3 3" xfId="3835"/>
    <cellStyle name="40% - Accent5 3 2 2 3 4" xfId="5122"/>
    <cellStyle name="40% - Accent5 3 2 2 4" xfId="1705"/>
    <cellStyle name="40% - Accent5 3 2 2 5" xfId="2983"/>
    <cellStyle name="40% - Accent5 3 2 2 6" xfId="4270"/>
    <cellStyle name="40% - Accent5 3 2 3" xfId="626"/>
    <cellStyle name="40% - Accent5 3 2 3 2" xfId="1918"/>
    <cellStyle name="40% - Accent5 3 2 3 3" xfId="3196"/>
    <cellStyle name="40% - Accent5 3 2 3 4" xfId="4483"/>
    <cellStyle name="40% - Accent5 3 2 4" xfId="1052"/>
    <cellStyle name="40% - Accent5 3 2 4 2" xfId="2344"/>
    <cellStyle name="40% - Accent5 3 2 4 3" xfId="3622"/>
    <cellStyle name="40% - Accent5 3 2 4 4" xfId="4909"/>
    <cellStyle name="40% - Accent5 3 2 5" xfId="1492"/>
    <cellStyle name="40% - Accent5 3 2 6" xfId="2770"/>
    <cellStyle name="40% - Accent5 3 2 7" xfId="4057"/>
    <cellStyle name="40% - Accent5 3 2 8" xfId="5293"/>
    <cellStyle name="40% - Accent5 3 3" xfId="412"/>
    <cellStyle name="40% - Accent5 3 3 2" xfId="838"/>
    <cellStyle name="40% - Accent5 3 3 2 2" xfId="2130"/>
    <cellStyle name="40% - Accent5 3 3 2 3" xfId="3408"/>
    <cellStyle name="40% - Accent5 3 3 2 4" xfId="4695"/>
    <cellStyle name="40% - Accent5 3 3 3" xfId="1264"/>
    <cellStyle name="40% - Accent5 3 3 3 2" xfId="2556"/>
    <cellStyle name="40% - Accent5 3 3 3 3" xfId="3834"/>
    <cellStyle name="40% - Accent5 3 3 3 4" xfId="5121"/>
    <cellStyle name="40% - Accent5 3 3 4" xfId="1704"/>
    <cellStyle name="40% - Accent5 3 3 5" xfId="2982"/>
    <cellStyle name="40% - Accent5 3 3 6" xfId="4269"/>
    <cellStyle name="40% - Accent5 3 4" xfId="625"/>
    <cellStyle name="40% - Accent5 3 4 2" xfId="1917"/>
    <cellStyle name="40% - Accent5 3 4 3" xfId="3195"/>
    <cellStyle name="40% - Accent5 3 4 4" xfId="4482"/>
    <cellStyle name="40% - Accent5 3 5" xfId="1051"/>
    <cellStyle name="40% - Accent5 3 5 2" xfId="2343"/>
    <cellStyle name="40% - Accent5 3 5 3" xfId="3621"/>
    <cellStyle name="40% - Accent5 3 5 4" xfId="4908"/>
    <cellStyle name="40% - Accent5 3 6" xfId="1491"/>
    <cellStyle name="40% - Accent5 3 7" xfId="2769"/>
    <cellStyle name="40% - Accent5 3 8" xfId="4056"/>
    <cellStyle name="40% - Accent5 3 9" xfId="5292"/>
    <cellStyle name="40% - Accent5 4" xfId="191"/>
    <cellStyle name="40% - Accent5 4 2" xfId="414"/>
    <cellStyle name="40% - Accent5 4 2 2" xfId="840"/>
    <cellStyle name="40% - Accent5 4 2 2 2" xfId="2132"/>
    <cellStyle name="40% - Accent5 4 2 2 3" xfId="3410"/>
    <cellStyle name="40% - Accent5 4 2 2 4" xfId="4697"/>
    <cellStyle name="40% - Accent5 4 2 3" xfId="1266"/>
    <cellStyle name="40% - Accent5 4 2 3 2" xfId="2558"/>
    <cellStyle name="40% - Accent5 4 2 3 3" xfId="3836"/>
    <cellStyle name="40% - Accent5 4 2 3 4" xfId="5123"/>
    <cellStyle name="40% - Accent5 4 2 4" xfId="1706"/>
    <cellStyle name="40% - Accent5 4 2 5" xfId="2984"/>
    <cellStyle name="40% - Accent5 4 2 6" xfId="4271"/>
    <cellStyle name="40% - Accent5 4 3" xfId="627"/>
    <cellStyle name="40% - Accent5 4 3 2" xfId="1919"/>
    <cellStyle name="40% - Accent5 4 3 3" xfId="3197"/>
    <cellStyle name="40% - Accent5 4 3 4" xfId="4484"/>
    <cellStyle name="40% - Accent5 4 4" xfId="1053"/>
    <cellStyle name="40% - Accent5 4 4 2" xfId="2345"/>
    <cellStyle name="40% - Accent5 4 4 3" xfId="3623"/>
    <cellStyle name="40% - Accent5 4 4 4" xfId="4910"/>
    <cellStyle name="40% - Accent5 4 5" xfId="1493"/>
    <cellStyle name="40% - Accent5 4 6" xfId="2771"/>
    <cellStyle name="40% - Accent5 4 7" xfId="4058"/>
    <cellStyle name="40% - Accent5 4 8" xfId="5294"/>
    <cellStyle name="40% - Accent5 5" xfId="192"/>
    <cellStyle name="40% - Accent5 5 2" xfId="415"/>
    <cellStyle name="40% - Accent5 5 2 2" xfId="841"/>
    <cellStyle name="40% - Accent5 5 2 2 2" xfId="2133"/>
    <cellStyle name="40% - Accent5 5 2 2 3" xfId="3411"/>
    <cellStyle name="40% - Accent5 5 2 2 4" xfId="4698"/>
    <cellStyle name="40% - Accent5 5 2 3" xfId="1267"/>
    <cellStyle name="40% - Accent5 5 2 3 2" xfId="2559"/>
    <cellStyle name="40% - Accent5 5 2 3 3" xfId="3837"/>
    <cellStyle name="40% - Accent5 5 2 3 4" xfId="5124"/>
    <cellStyle name="40% - Accent5 5 2 4" xfId="1707"/>
    <cellStyle name="40% - Accent5 5 2 5" xfId="2985"/>
    <cellStyle name="40% - Accent5 5 2 6" xfId="4272"/>
    <cellStyle name="40% - Accent5 5 3" xfId="628"/>
    <cellStyle name="40% - Accent5 5 3 2" xfId="1920"/>
    <cellStyle name="40% - Accent5 5 3 3" xfId="3198"/>
    <cellStyle name="40% - Accent5 5 3 4" xfId="4485"/>
    <cellStyle name="40% - Accent5 5 4" xfId="1054"/>
    <cellStyle name="40% - Accent5 5 4 2" xfId="2346"/>
    <cellStyle name="40% - Accent5 5 4 3" xfId="3624"/>
    <cellStyle name="40% - Accent5 5 4 4" xfId="4911"/>
    <cellStyle name="40% - Accent5 5 5" xfId="1494"/>
    <cellStyle name="40% - Accent5 5 6" xfId="2772"/>
    <cellStyle name="40% - Accent5 5 7" xfId="4059"/>
    <cellStyle name="40% - Accent5 6" xfId="193"/>
    <cellStyle name="40% - Accent5 6 2" xfId="416"/>
    <cellStyle name="40% - Accent5 6 2 2" xfId="842"/>
    <cellStyle name="40% - Accent5 6 2 2 2" xfId="2134"/>
    <cellStyle name="40% - Accent5 6 2 2 3" xfId="3412"/>
    <cellStyle name="40% - Accent5 6 2 2 4" xfId="4699"/>
    <cellStyle name="40% - Accent5 6 2 3" xfId="1268"/>
    <cellStyle name="40% - Accent5 6 2 3 2" xfId="2560"/>
    <cellStyle name="40% - Accent5 6 2 3 3" xfId="3838"/>
    <cellStyle name="40% - Accent5 6 2 3 4" xfId="5125"/>
    <cellStyle name="40% - Accent5 6 2 4" xfId="1708"/>
    <cellStyle name="40% - Accent5 6 2 5" xfId="2986"/>
    <cellStyle name="40% - Accent5 6 2 6" xfId="4273"/>
    <cellStyle name="40% - Accent5 6 3" xfId="629"/>
    <cellStyle name="40% - Accent5 6 3 2" xfId="1921"/>
    <cellStyle name="40% - Accent5 6 3 3" xfId="3199"/>
    <cellStyle name="40% - Accent5 6 3 4" xfId="4486"/>
    <cellStyle name="40% - Accent5 6 4" xfId="1055"/>
    <cellStyle name="40% - Accent5 6 4 2" xfId="2347"/>
    <cellStyle name="40% - Accent5 6 4 3" xfId="3625"/>
    <cellStyle name="40% - Accent5 6 4 4" xfId="4912"/>
    <cellStyle name="40% - Accent5 6 5" xfId="1495"/>
    <cellStyle name="40% - Accent5 6 6" xfId="2773"/>
    <cellStyle name="40% - Accent5 6 7" xfId="4060"/>
    <cellStyle name="40% - Accent5 7" xfId="265"/>
    <cellStyle name="40% - Accent5 7 2" xfId="478"/>
    <cellStyle name="40% - Accent5 7 2 2" xfId="903"/>
    <cellStyle name="40% - Accent5 7 2 2 2" xfId="2195"/>
    <cellStyle name="40% - Accent5 7 2 2 3" xfId="3473"/>
    <cellStyle name="40% - Accent5 7 2 2 4" xfId="4760"/>
    <cellStyle name="40% - Accent5 7 2 3" xfId="1329"/>
    <cellStyle name="40% - Accent5 7 2 3 2" xfId="2621"/>
    <cellStyle name="40% - Accent5 7 2 3 3" xfId="3899"/>
    <cellStyle name="40% - Accent5 7 2 3 4" xfId="5186"/>
    <cellStyle name="40% - Accent5 7 2 4" xfId="1769"/>
    <cellStyle name="40% - Accent5 7 2 5" xfId="3047"/>
    <cellStyle name="40% - Accent5 7 2 6" xfId="4334"/>
    <cellStyle name="40% - Accent5 7 3" xfId="690"/>
    <cellStyle name="40% - Accent5 7 3 2" xfId="1982"/>
    <cellStyle name="40% - Accent5 7 3 3" xfId="3260"/>
    <cellStyle name="40% - Accent5 7 3 4" xfId="4547"/>
    <cellStyle name="40% - Accent5 7 4" xfId="1116"/>
    <cellStyle name="40% - Accent5 7 4 2" xfId="2408"/>
    <cellStyle name="40% - Accent5 7 4 3" xfId="3686"/>
    <cellStyle name="40% - Accent5 7 4 4" xfId="4973"/>
    <cellStyle name="40% - Accent5 7 5" xfId="1556"/>
    <cellStyle name="40% - Accent5 7 6" xfId="2834"/>
    <cellStyle name="40% - Accent5 7 7" xfId="4121"/>
    <cellStyle name="40% - Accent5 8" xfId="405"/>
    <cellStyle name="40% - Accent5 8 2" xfId="831"/>
    <cellStyle name="40% - Accent5 8 2 2" xfId="2123"/>
    <cellStyle name="40% - Accent5 8 2 3" xfId="3401"/>
    <cellStyle name="40% - Accent5 8 2 4" xfId="4688"/>
    <cellStyle name="40% - Accent5 8 3" xfId="1257"/>
    <cellStyle name="40% - Accent5 8 3 2" xfId="2549"/>
    <cellStyle name="40% - Accent5 8 3 3" xfId="3827"/>
    <cellStyle name="40% - Accent5 8 3 4" xfId="5114"/>
    <cellStyle name="40% - Accent5 8 4" xfId="1697"/>
    <cellStyle name="40% - Accent5 8 5" xfId="2975"/>
    <cellStyle name="40% - Accent5 8 6" xfId="4262"/>
    <cellStyle name="40% - Accent5 9" xfId="618"/>
    <cellStyle name="40% - Accent5 9 2" xfId="1910"/>
    <cellStyle name="40% - Accent5 9 3" xfId="3188"/>
    <cellStyle name="40% - Accent5 9 4" xfId="4475"/>
    <cellStyle name="40% - Accent6" xfId="79" builtinId="51" customBuiltin="1"/>
    <cellStyle name="40% - Accent6 10" xfId="1056"/>
    <cellStyle name="40% - Accent6 10 2" xfId="2348"/>
    <cellStyle name="40% - Accent6 10 3" xfId="3626"/>
    <cellStyle name="40% - Accent6 10 4" xfId="4913"/>
    <cellStyle name="40% - Accent6 11" xfId="1496"/>
    <cellStyle name="40% - Accent6 12" xfId="2774"/>
    <cellStyle name="40% - Accent6 13" xfId="4061"/>
    <cellStyle name="40% - Accent6 14" xfId="5295"/>
    <cellStyle name="40% - Accent6 2" xfId="21"/>
    <cellStyle name="40% - Accent6 2 10" xfId="1497"/>
    <cellStyle name="40% - Accent6 2 11" xfId="2775"/>
    <cellStyle name="40% - Accent6 2 12" xfId="4062"/>
    <cellStyle name="40% - Accent6 2 13" xfId="5296"/>
    <cellStyle name="40% - Accent6 2 2" xfId="194"/>
    <cellStyle name="40% - Accent6 2 2 2" xfId="195"/>
    <cellStyle name="40% - Accent6 2 2 2 2" xfId="420"/>
    <cellStyle name="40% - Accent6 2 2 2 2 2" xfId="846"/>
    <cellStyle name="40% - Accent6 2 2 2 2 2 2" xfId="2138"/>
    <cellStyle name="40% - Accent6 2 2 2 2 2 3" xfId="3416"/>
    <cellStyle name="40% - Accent6 2 2 2 2 2 4" xfId="4703"/>
    <cellStyle name="40% - Accent6 2 2 2 2 3" xfId="1272"/>
    <cellStyle name="40% - Accent6 2 2 2 2 3 2" xfId="2564"/>
    <cellStyle name="40% - Accent6 2 2 2 2 3 3" xfId="3842"/>
    <cellStyle name="40% - Accent6 2 2 2 2 3 4" xfId="5129"/>
    <cellStyle name="40% - Accent6 2 2 2 2 4" xfId="1712"/>
    <cellStyle name="40% - Accent6 2 2 2 2 5" xfId="2990"/>
    <cellStyle name="40% - Accent6 2 2 2 2 6" xfId="4277"/>
    <cellStyle name="40% - Accent6 2 2 2 3" xfId="633"/>
    <cellStyle name="40% - Accent6 2 2 2 3 2" xfId="1925"/>
    <cellStyle name="40% - Accent6 2 2 2 3 3" xfId="3203"/>
    <cellStyle name="40% - Accent6 2 2 2 3 4" xfId="4490"/>
    <cellStyle name="40% - Accent6 2 2 2 4" xfId="1059"/>
    <cellStyle name="40% - Accent6 2 2 2 4 2" xfId="2351"/>
    <cellStyle name="40% - Accent6 2 2 2 4 3" xfId="3629"/>
    <cellStyle name="40% - Accent6 2 2 2 4 4" xfId="4916"/>
    <cellStyle name="40% - Accent6 2 2 2 5" xfId="1499"/>
    <cellStyle name="40% - Accent6 2 2 2 6" xfId="2777"/>
    <cellStyle name="40% - Accent6 2 2 2 7" xfId="4064"/>
    <cellStyle name="40% - Accent6 2 2 2 8" xfId="5298"/>
    <cellStyle name="40% - Accent6 2 2 3" xfId="419"/>
    <cellStyle name="40% - Accent6 2 2 3 2" xfId="845"/>
    <cellStyle name="40% - Accent6 2 2 3 2 2" xfId="2137"/>
    <cellStyle name="40% - Accent6 2 2 3 2 3" xfId="3415"/>
    <cellStyle name="40% - Accent6 2 2 3 2 4" xfId="4702"/>
    <cellStyle name="40% - Accent6 2 2 3 3" xfId="1271"/>
    <cellStyle name="40% - Accent6 2 2 3 3 2" xfId="2563"/>
    <cellStyle name="40% - Accent6 2 2 3 3 3" xfId="3841"/>
    <cellStyle name="40% - Accent6 2 2 3 3 4" xfId="5128"/>
    <cellStyle name="40% - Accent6 2 2 3 4" xfId="1711"/>
    <cellStyle name="40% - Accent6 2 2 3 5" xfId="2989"/>
    <cellStyle name="40% - Accent6 2 2 3 6" xfId="4276"/>
    <cellStyle name="40% - Accent6 2 2 4" xfId="632"/>
    <cellStyle name="40% - Accent6 2 2 4 2" xfId="1924"/>
    <cellStyle name="40% - Accent6 2 2 4 3" xfId="3202"/>
    <cellStyle name="40% - Accent6 2 2 4 4" xfId="4489"/>
    <cellStyle name="40% - Accent6 2 2 5" xfId="1058"/>
    <cellStyle name="40% - Accent6 2 2 5 2" xfId="2350"/>
    <cellStyle name="40% - Accent6 2 2 5 3" xfId="3628"/>
    <cellStyle name="40% - Accent6 2 2 5 4" xfId="4915"/>
    <cellStyle name="40% - Accent6 2 2 6" xfId="1498"/>
    <cellStyle name="40% - Accent6 2 2 7" xfId="2776"/>
    <cellStyle name="40% - Accent6 2 2 8" xfId="4063"/>
    <cellStyle name="40% - Accent6 2 2 9" xfId="5297"/>
    <cellStyle name="40% - Accent6 2 3" xfId="196"/>
    <cellStyle name="40% - Accent6 2 3 2" xfId="421"/>
    <cellStyle name="40% - Accent6 2 3 2 2" xfId="847"/>
    <cellStyle name="40% - Accent6 2 3 2 2 2" xfId="2139"/>
    <cellStyle name="40% - Accent6 2 3 2 2 3" xfId="3417"/>
    <cellStyle name="40% - Accent6 2 3 2 2 4" xfId="4704"/>
    <cellStyle name="40% - Accent6 2 3 2 3" xfId="1273"/>
    <cellStyle name="40% - Accent6 2 3 2 3 2" xfId="2565"/>
    <cellStyle name="40% - Accent6 2 3 2 3 3" xfId="3843"/>
    <cellStyle name="40% - Accent6 2 3 2 3 4" xfId="5130"/>
    <cellStyle name="40% - Accent6 2 3 2 4" xfId="1713"/>
    <cellStyle name="40% - Accent6 2 3 2 5" xfId="2991"/>
    <cellStyle name="40% - Accent6 2 3 2 6" xfId="4278"/>
    <cellStyle name="40% - Accent6 2 3 3" xfId="634"/>
    <cellStyle name="40% - Accent6 2 3 3 2" xfId="1926"/>
    <cellStyle name="40% - Accent6 2 3 3 3" xfId="3204"/>
    <cellStyle name="40% - Accent6 2 3 3 4" xfId="4491"/>
    <cellStyle name="40% - Accent6 2 3 4" xfId="1060"/>
    <cellStyle name="40% - Accent6 2 3 4 2" xfId="2352"/>
    <cellStyle name="40% - Accent6 2 3 4 3" xfId="3630"/>
    <cellStyle name="40% - Accent6 2 3 4 4" xfId="4917"/>
    <cellStyle name="40% - Accent6 2 3 5" xfId="1500"/>
    <cellStyle name="40% - Accent6 2 3 6" xfId="2778"/>
    <cellStyle name="40% - Accent6 2 3 7" xfId="4065"/>
    <cellStyle name="40% - Accent6 2 3 8" xfId="5299"/>
    <cellStyle name="40% - Accent6 2 4" xfId="197"/>
    <cellStyle name="40% - Accent6 2 4 2" xfId="422"/>
    <cellStyle name="40% - Accent6 2 4 2 2" xfId="848"/>
    <cellStyle name="40% - Accent6 2 4 2 2 2" xfId="2140"/>
    <cellStyle name="40% - Accent6 2 4 2 2 3" xfId="3418"/>
    <cellStyle name="40% - Accent6 2 4 2 2 4" xfId="4705"/>
    <cellStyle name="40% - Accent6 2 4 2 3" xfId="1274"/>
    <cellStyle name="40% - Accent6 2 4 2 3 2" xfId="2566"/>
    <cellStyle name="40% - Accent6 2 4 2 3 3" xfId="3844"/>
    <cellStyle name="40% - Accent6 2 4 2 3 4" xfId="5131"/>
    <cellStyle name="40% - Accent6 2 4 2 4" xfId="1714"/>
    <cellStyle name="40% - Accent6 2 4 2 5" xfId="2992"/>
    <cellStyle name="40% - Accent6 2 4 2 6" xfId="4279"/>
    <cellStyle name="40% - Accent6 2 4 3" xfId="635"/>
    <cellStyle name="40% - Accent6 2 4 3 2" xfId="1927"/>
    <cellStyle name="40% - Accent6 2 4 3 3" xfId="3205"/>
    <cellStyle name="40% - Accent6 2 4 3 4" xfId="4492"/>
    <cellStyle name="40% - Accent6 2 4 4" xfId="1061"/>
    <cellStyle name="40% - Accent6 2 4 4 2" xfId="2353"/>
    <cellStyle name="40% - Accent6 2 4 4 3" xfId="3631"/>
    <cellStyle name="40% - Accent6 2 4 4 4" xfId="4918"/>
    <cellStyle name="40% - Accent6 2 4 5" xfId="1501"/>
    <cellStyle name="40% - Accent6 2 4 6" xfId="2779"/>
    <cellStyle name="40% - Accent6 2 4 7" xfId="4066"/>
    <cellStyle name="40% - Accent6 2 5" xfId="198"/>
    <cellStyle name="40% - Accent6 2 5 2" xfId="423"/>
    <cellStyle name="40% - Accent6 2 5 2 2" xfId="849"/>
    <cellStyle name="40% - Accent6 2 5 2 2 2" xfId="2141"/>
    <cellStyle name="40% - Accent6 2 5 2 2 3" xfId="3419"/>
    <cellStyle name="40% - Accent6 2 5 2 2 4" xfId="4706"/>
    <cellStyle name="40% - Accent6 2 5 2 3" xfId="1275"/>
    <cellStyle name="40% - Accent6 2 5 2 3 2" xfId="2567"/>
    <cellStyle name="40% - Accent6 2 5 2 3 3" xfId="3845"/>
    <cellStyle name="40% - Accent6 2 5 2 3 4" xfId="5132"/>
    <cellStyle name="40% - Accent6 2 5 2 4" xfId="1715"/>
    <cellStyle name="40% - Accent6 2 5 2 5" xfId="2993"/>
    <cellStyle name="40% - Accent6 2 5 2 6" xfId="4280"/>
    <cellStyle name="40% - Accent6 2 5 3" xfId="636"/>
    <cellStyle name="40% - Accent6 2 5 3 2" xfId="1928"/>
    <cellStyle name="40% - Accent6 2 5 3 3" xfId="3206"/>
    <cellStyle name="40% - Accent6 2 5 3 4" xfId="4493"/>
    <cellStyle name="40% - Accent6 2 5 4" xfId="1062"/>
    <cellStyle name="40% - Accent6 2 5 4 2" xfId="2354"/>
    <cellStyle name="40% - Accent6 2 5 4 3" xfId="3632"/>
    <cellStyle name="40% - Accent6 2 5 4 4" xfId="4919"/>
    <cellStyle name="40% - Accent6 2 5 5" xfId="1502"/>
    <cellStyle name="40% - Accent6 2 5 6" xfId="2780"/>
    <cellStyle name="40% - Accent6 2 5 7" xfId="4067"/>
    <cellStyle name="40% - Accent6 2 6" xfId="281"/>
    <cellStyle name="40% - Accent6 2 6 2" xfId="494"/>
    <cellStyle name="40% - Accent6 2 6 2 2" xfId="919"/>
    <cellStyle name="40% - Accent6 2 6 2 2 2" xfId="2211"/>
    <cellStyle name="40% - Accent6 2 6 2 2 3" xfId="3489"/>
    <cellStyle name="40% - Accent6 2 6 2 2 4" xfId="4776"/>
    <cellStyle name="40% - Accent6 2 6 2 3" xfId="1345"/>
    <cellStyle name="40% - Accent6 2 6 2 3 2" xfId="2637"/>
    <cellStyle name="40% - Accent6 2 6 2 3 3" xfId="3915"/>
    <cellStyle name="40% - Accent6 2 6 2 3 4" xfId="5202"/>
    <cellStyle name="40% - Accent6 2 6 2 4" xfId="1785"/>
    <cellStyle name="40% - Accent6 2 6 2 5" xfId="3063"/>
    <cellStyle name="40% - Accent6 2 6 2 6" xfId="4350"/>
    <cellStyle name="40% - Accent6 2 6 3" xfId="706"/>
    <cellStyle name="40% - Accent6 2 6 3 2" xfId="1998"/>
    <cellStyle name="40% - Accent6 2 6 3 3" xfId="3276"/>
    <cellStyle name="40% - Accent6 2 6 3 4" xfId="4563"/>
    <cellStyle name="40% - Accent6 2 6 4" xfId="1132"/>
    <cellStyle name="40% - Accent6 2 6 4 2" xfId="2424"/>
    <cellStyle name="40% - Accent6 2 6 4 3" xfId="3702"/>
    <cellStyle name="40% - Accent6 2 6 4 4" xfId="4989"/>
    <cellStyle name="40% - Accent6 2 6 5" xfId="1572"/>
    <cellStyle name="40% - Accent6 2 6 6" xfId="2850"/>
    <cellStyle name="40% - Accent6 2 6 7" xfId="4137"/>
    <cellStyle name="40% - Accent6 2 7" xfId="418"/>
    <cellStyle name="40% - Accent6 2 7 2" xfId="844"/>
    <cellStyle name="40% - Accent6 2 7 2 2" xfId="2136"/>
    <cellStyle name="40% - Accent6 2 7 2 3" xfId="3414"/>
    <cellStyle name="40% - Accent6 2 7 2 4" xfId="4701"/>
    <cellStyle name="40% - Accent6 2 7 3" xfId="1270"/>
    <cellStyle name="40% - Accent6 2 7 3 2" xfId="2562"/>
    <cellStyle name="40% - Accent6 2 7 3 3" xfId="3840"/>
    <cellStyle name="40% - Accent6 2 7 3 4" xfId="5127"/>
    <cellStyle name="40% - Accent6 2 7 4" xfId="1710"/>
    <cellStyle name="40% - Accent6 2 7 5" xfId="2988"/>
    <cellStyle name="40% - Accent6 2 7 6" xfId="4275"/>
    <cellStyle name="40% - Accent6 2 8" xfId="631"/>
    <cellStyle name="40% - Accent6 2 8 2" xfId="1923"/>
    <cellStyle name="40% - Accent6 2 8 3" xfId="3201"/>
    <cellStyle name="40% - Accent6 2 8 4" xfId="4488"/>
    <cellStyle name="40% - Accent6 2 9" xfId="1057"/>
    <cellStyle name="40% - Accent6 2 9 2" xfId="2349"/>
    <cellStyle name="40% - Accent6 2 9 3" xfId="3627"/>
    <cellStyle name="40% - Accent6 2 9 4" xfId="4914"/>
    <cellStyle name="40% - Accent6 3" xfId="199"/>
    <cellStyle name="40% - Accent6 3 2" xfId="200"/>
    <cellStyle name="40% - Accent6 3 2 2" xfId="425"/>
    <cellStyle name="40% - Accent6 3 2 2 2" xfId="851"/>
    <cellStyle name="40% - Accent6 3 2 2 2 2" xfId="2143"/>
    <cellStyle name="40% - Accent6 3 2 2 2 3" xfId="3421"/>
    <cellStyle name="40% - Accent6 3 2 2 2 4" xfId="4708"/>
    <cellStyle name="40% - Accent6 3 2 2 3" xfId="1277"/>
    <cellStyle name="40% - Accent6 3 2 2 3 2" xfId="2569"/>
    <cellStyle name="40% - Accent6 3 2 2 3 3" xfId="3847"/>
    <cellStyle name="40% - Accent6 3 2 2 3 4" xfId="5134"/>
    <cellStyle name="40% - Accent6 3 2 2 4" xfId="1717"/>
    <cellStyle name="40% - Accent6 3 2 2 5" xfId="2995"/>
    <cellStyle name="40% - Accent6 3 2 2 6" xfId="4282"/>
    <cellStyle name="40% - Accent6 3 2 3" xfId="638"/>
    <cellStyle name="40% - Accent6 3 2 3 2" xfId="1930"/>
    <cellStyle name="40% - Accent6 3 2 3 3" xfId="3208"/>
    <cellStyle name="40% - Accent6 3 2 3 4" xfId="4495"/>
    <cellStyle name="40% - Accent6 3 2 4" xfId="1064"/>
    <cellStyle name="40% - Accent6 3 2 4 2" xfId="2356"/>
    <cellStyle name="40% - Accent6 3 2 4 3" xfId="3634"/>
    <cellStyle name="40% - Accent6 3 2 4 4" xfId="4921"/>
    <cellStyle name="40% - Accent6 3 2 5" xfId="1504"/>
    <cellStyle name="40% - Accent6 3 2 6" xfId="2782"/>
    <cellStyle name="40% - Accent6 3 2 7" xfId="4069"/>
    <cellStyle name="40% - Accent6 3 2 8" xfId="5301"/>
    <cellStyle name="40% - Accent6 3 3" xfId="424"/>
    <cellStyle name="40% - Accent6 3 3 2" xfId="850"/>
    <cellStyle name="40% - Accent6 3 3 2 2" xfId="2142"/>
    <cellStyle name="40% - Accent6 3 3 2 3" xfId="3420"/>
    <cellStyle name="40% - Accent6 3 3 2 4" xfId="4707"/>
    <cellStyle name="40% - Accent6 3 3 3" xfId="1276"/>
    <cellStyle name="40% - Accent6 3 3 3 2" xfId="2568"/>
    <cellStyle name="40% - Accent6 3 3 3 3" xfId="3846"/>
    <cellStyle name="40% - Accent6 3 3 3 4" xfId="5133"/>
    <cellStyle name="40% - Accent6 3 3 4" xfId="1716"/>
    <cellStyle name="40% - Accent6 3 3 5" xfId="2994"/>
    <cellStyle name="40% - Accent6 3 3 6" xfId="4281"/>
    <cellStyle name="40% - Accent6 3 4" xfId="637"/>
    <cellStyle name="40% - Accent6 3 4 2" xfId="1929"/>
    <cellStyle name="40% - Accent6 3 4 3" xfId="3207"/>
    <cellStyle name="40% - Accent6 3 4 4" xfId="4494"/>
    <cellStyle name="40% - Accent6 3 5" xfId="1063"/>
    <cellStyle name="40% - Accent6 3 5 2" xfId="2355"/>
    <cellStyle name="40% - Accent6 3 5 3" xfId="3633"/>
    <cellStyle name="40% - Accent6 3 5 4" xfId="4920"/>
    <cellStyle name="40% - Accent6 3 6" xfId="1503"/>
    <cellStyle name="40% - Accent6 3 7" xfId="2781"/>
    <cellStyle name="40% - Accent6 3 8" xfId="4068"/>
    <cellStyle name="40% - Accent6 3 9" xfId="5300"/>
    <cellStyle name="40% - Accent6 4" xfId="201"/>
    <cellStyle name="40% - Accent6 4 2" xfId="426"/>
    <cellStyle name="40% - Accent6 4 2 2" xfId="852"/>
    <cellStyle name="40% - Accent6 4 2 2 2" xfId="2144"/>
    <cellStyle name="40% - Accent6 4 2 2 3" xfId="3422"/>
    <cellStyle name="40% - Accent6 4 2 2 4" xfId="4709"/>
    <cellStyle name="40% - Accent6 4 2 3" xfId="1278"/>
    <cellStyle name="40% - Accent6 4 2 3 2" xfId="2570"/>
    <cellStyle name="40% - Accent6 4 2 3 3" xfId="3848"/>
    <cellStyle name="40% - Accent6 4 2 3 4" xfId="5135"/>
    <cellStyle name="40% - Accent6 4 2 4" xfId="1718"/>
    <cellStyle name="40% - Accent6 4 2 5" xfId="2996"/>
    <cellStyle name="40% - Accent6 4 2 6" xfId="4283"/>
    <cellStyle name="40% - Accent6 4 3" xfId="639"/>
    <cellStyle name="40% - Accent6 4 3 2" xfId="1931"/>
    <cellStyle name="40% - Accent6 4 3 3" xfId="3209"/>
    <cellStyle name="40% - Accent6 4 3 4" xfId="4496"/>
    <cellStyle name="40% - Accent6 4 4" xfId="1065"/>
    <cellStyle name="40% - Accent6 4 4 2" xfId="2357"/>
    <cellStyle name="40% - Accent6 4 4 3" xfId="3635"/>
    <cellStyle name="40% - Accent6 4 4 4" xfId="4922"/>
    <cellStyle name="40% - Accent6 4 5" xfId="1505"/>
    <cellStyle name="40% - Accent6 4 6" xfId="2783"/>
    <cellStyle name="40% - Accent6 4 7" xfId="4070"/>
    <cellStyle name="40% - Accent6 4 8" xfId="5302"/>
    <cellStyle name="40% - Accent6 5" xfId="202"/>
    <cellStyle name="40% - Accent6 5 2" xfId="427"/>
    <cellStyle name="40% - Accent6 5 2 2" xfId="853"/>
    <cellStyle name="40% - Accent6 5 2 2 2" xfId="2145"/>
    <cellStyle name="40% - Accent6 5 2 2 3" xfId="3423"/>
    <cellStyle name="40% - Accent6 5 2 2 4" xfId="4710"/>
    <cellStyle name="40% - Accent6 5 2 3" xfId="1279"/>
    <cellStyle name="40% - Accent6 5 2 3 2" xfId="2571"/>
    <cellStyle name="40% - Accent6 5 2 3 3" xfId="3849"/>
    <cellStyle name="40% - Accent6 5 2 3 4" xfId="5136"/>
    <cellStyle name="40% - Accent6 5 2 4" xfId="1719"/>
    <cellStyle name="40% - Accent6 5 2 5" xfId="2997"/>
    <cellStyle name="40% - Accent6 5 2 6" xfId="4284"/>
    <cellStyle name="40% - Accent6 5 3" xfId="640"/>
    <cellStyle name="40% - Accent6 5 3 2" xfId="1932"/>
    <cellStyle name="40% - Accent6 5 3 3" xfId="3210"/>
    <cellStyle name="40% - Accent6 5 3 4" xfId="4497"/>
    <cellStyle name="40% - Accent6 5 4" xfId="1066"/>
    <cellStyle name="40% - Accent6 5 4 2" xfId="2358"/>
    <cellStyle name="40% - Accent6 5 4 3" xfId="3636"/>
    <cellStyle name="40% - Accent6 5 4 4" xfId="4923"/>
    <cellStyle name="40% - Accent6 5 5" xfId="1506"/>
    <cellStyle name="40% - Accent6 5 6" xfId="2784"/>
    <cellStyle name="40% - Accent6 5 7" xfId="4071"/>
    <cellStyle name="40% - Accent6 6" xfId="203"/>
    <cellStyle name="40% - Accent6 6 2" xfId="428"/>
    <cellStyle name="40% - Accent6 6 2 2" xfId="854"/>
    <cellStyle name="40% - Accent6 6 2 2 2" xfId="2146"/>
    <cellStyle name="40% - Accent6 6 2 2 3" xfId="3424"/>
    <cellStyle name="40% - Accent6 6 2 2 4" xfId="4711"/>
    <cellStyle name="40% - Accent6 6 2 3" xfId="1280"/>
    <cellStyle name="40% - Accent6 6 2 3 2" xfId="2572"/>
    <cellStyle name="40% - Accent6 6 2 3 3" xfId="3850"/>
    <cellStyle name="40% - Accent6 6 2 3 4" xfId="5137"/>
    <cellStyle name="40% - Accent6 6 2 4" xfId="1720"/>
    <cellStyle name="40% - Accent6 6 2 5" xfId="2998"/>
    <cellStyle name="40% - Accent6 6 2 6" xfId="4285"/>
    <cellStyle name="40% - Accent6 6 3" xfId="641"/>
    <cellStyle name="40% - Accent6 6 3 2" xfId="1933"/>
    <cellStyle name="40% - Accent6 6 3 3" xfId="3211"/>
    <cellStyle name="40% - Accent6 6 3 4" xfId="4498"/>
    <cellStyle name="40% - Accent6 6 4" xfId="1067"/>
    <cellStyle name="40% - Accent6 6 4 2" xfId="2359"/>
    <cellStyle name="40% - Accent6 6 4 3" xfId="3637"/>
    <cellStyle name="40% - Accent6 6 4 4" xfId="4924"/>
    <cellStyle name="40% - Accent6 6 5" xfId="1507"/>
    <cellStyle name="40% - Accent6 6 6" xfId="2785"/>
    <cellStyle name="40% - Accent6 6 7" xfId="4072"/>
    <cellStyle name="40% - Accent6 7" xfId="266"/>
    <cellStyle name="40% - Accent6 7 2" xfId="479"/>
    <cellStyle name="40% - Accent6 7 2 2" xfId="904"/>
    <cellStyle name="40% - Accent6 7 2 2 2" xfId="2196"/>
    <cellStyle name="40% - Accent6 7 2 2 3" xfId="3474"/>
    <cellStyle name="40% - Accent6 7 2 2 4" xfId="4761"/>
    <cellStyle name="40% - Accent6 7 2 3" xfId="1330"/>
    <cellStyle name="40% - Accent6 7 2 3 2" xfId="2622"/>
    <cellStyle name="40% - Accent6 7 2 3 3" xfId="3900"/>
    <cellStyle name="40% - Accent6 7 2 3 4" xfId="5187"/>
    <cellStyle name="40% - Accent6 7 2 4" xfId="1770"/>
    <cellStyle name="40% - Accent6 7 2 5" xfId="3048"/>
    <cellStyle name="40% - Accent6 7 2 6" xfId="4335"/>
    <cellStyle name="40% - Accent6 7 3" xfId="691"/>
    <cellStyle name="40% - Accent6 7 3 2" xfId="1983"/>
    <cellStyle name="40% - Accent6 7 3 3" xfId="3261"/>
    <cellStyle name="40% - Accent6 7 3 4" xfId="4548"/>
    <cellStyle name="40% - Accent6 7 4" xfId="1117"/>
    <cellStyle name="40% - Accent6 7 4 2" xfId="2409"/>
    <cellStyle name="40% - Accent6 7 4 3" xfId="3687"/>
    <cellStyle name="40% - Accent6 7 4 4" xfId="4974"/>
    <cellStyle name="40% - Accent6 7 5" xfId="1557"/>
    <cellStyle name="40% - Accent6 7 6" xfId="2835"/>
    <cellStyle name="40% - Accent6 7 7" xfId="4122"/>
    <cellStyle name="40% - Accent6 8" xfId="417"/>
    <cellStyle name="40% - Accent6 8 2" xfId="843"/>
    <cellStyle name="40% - Accent6 8 2 2" xfId="2135"/>
    <cellStyle name="40% - Accent6 8 2 3" xfId="3413"/>
    <cellStyle name="40% - Accent6 8 2 4" xfId="4700"/>
    <cellStyle name="40% - Accent6 8 3" xfId="1269"/>
    <cellStyle name="40% - Accent6 8 3 2" xfId="2561"/>
    <cellStyle name="40% - Accent6 8 3 3" xfId="3839"/>
    <cellStyle name="40% - Accent6 8 3 4" xfId="5126"/>
    <cellStyle name="40% - Accent6 8 4" xfId="1709"/>
    <cellStyle name="40% - Accent6 8 5" xfId="2987"/>
    <cellStyle name="40% - Accent6 8 6" xfId="4274"/>
    <cellStyle name="40% - Accent6 9" xfId="630"/>
    <cellStyle name="40% - Accent6 9 2" xfId="1922"/>
    <cellStyle name="40% - Accent6 9 3" xfId="3200"/>
    <cellStyle name="40% - Accent6 9 4" xfId="4487"/>
    <cellStyle name="60% - Accent1" xfId="61" builtinId="32" customBuiltin="1"/>
    <cellStyle name="60% - Accent2" xfId="65" builtinId="36" customBuiltin="1"/>
    <cellStyle name="60% - Accent3" xfId="69" builtinId="40" customBuiltin="1"/>
    <cellStyle name="60% - Accent4" xfId="72" builtinId="44" customBuiltin="1"/>
    <cellStyle name="60% - Accent5" xfId="76" builtinId="48" customBuiltin="1"/>
    <cellStyle name="60% - Accent6" xfId="80" builtinId="52" customBuiltin="1"/>
    <cellStyle name="Accent1" xfId="58" builtinId="29" customBuiltin="1"/>
    <cellStyle name="Accent2" xfId="62" builtinId="33" customBuiltin="1"/>
    <cellStyle name="Accent3" xfId="66" builtinId="37" customBuiltin="1"/>
    <cellStyle name="Accent4" xfId="70" builtinId="41" customBuiltin="1"/>
    <cellStyle name="Accent5" xfId="73" builtinId="45" customBuiltin="1"/>
    <cellStyle name="Accent6" xfId="77" builtinId="49" customBuiltin="1"/>
    <cellStyle name="Bad" xfId="49" builtinId="27" customBuiltin="1"/>
    <cellStyle name="Calculation" xfId="52" builtinId="22" customBuiltin="1"/>
    <cellStyle name="Check Cell" xfId="54" builtinId="23" customBuiltin="1"/>
    <cellStyle name="Comma" xfId="9" builtinId="3"/>
    <cellStyle name="Comma 2" xfId="7"/>
    <cellStyle name="Comma 2 2" xfId="204"/>
    <cellStyle name="Comma 2 3" xfId="83"/>
    <cellStyle name="Comma 3" xfId="22"/>
    <cellStyle name="Comma 3 2" xfId="205"/>
    <cellStyle name="Comma 3 2 2" xfId="251"/>
    <cellStyle name="Comma 3 2 2 2" xfId="923"/>
    <cellStyle name="Comma 3 2 2 2 2" xfId="2215"/>
    <cellStyle name="Comma 3 2 2 2 3" xfId="3493"/>
    <cellStyle name="Comma 3 2 2 2 4" xfId="4780"/>
    <cellStyle name="Comma 3 2 2 3" xfId="1349"/>
    <cellStyle name="Comma 3 2 2 3 2" xfId="2641"/>
    <cellStyle name="Comma 3 2 2 3 3" xfId="3919"/>
    <cellStyle name="Comma 3 2 2 3 4" xfId="5206"/>
    <cellStyle name="Comma 3 2 2 4" xfId="1789"/>
    <cellStyle name="Comma 3 2 2 5" xfId="3067"/>
    <cellStyle name="Comma 3 2 2 6" xfId="4354"/>
    <cellStyle name="Comma 3 2 2 7" xfId="5334"/>
    <cellStyle name="Comma 3 2 3" xfId="710"/>
    <cellStyle name="Comma 3 2 3 2" xfId="2002"/>
    <cellStyle name="Comma 3 2 3 3" xfId="3280"/>
    <cellStyle name="Comma 3 2 3 4" xfId="4567"/>
    <cellStyle name="Comma 3 2 4" xfId="1136"/>
    <cellStyle name="Comma 3 2 4 2" xfId="2428"/>
    <cellStyle name="Comma 3 2 4 3" xfId="3706"/>
    <cellStyle name="Comma 3 2 4 4" xfId="4993"/>
    <cellStyle name="Comma 3 2 5" xfId="1576"/>
    <cellStyle name="Comma 3 2 6" xfId="2854"/>
    <cellStyle name="Comma 3 2 7" xfId="4141"/>
    <cellStyle name="Comma 3 2 8" xfId="5333"/>
    <cellStyle name="Comma 3 3" xfId="1359"/>
    <cellStyle name="Comma 3 4" xfId="5303"/>
    <cellStyle name="Comma 4" xfId="1356"/>
    <cellStyle name="Comma 5" xfId="1353"/>
    <cellStyle name="Comma 6" xfId="3927"/>
    <cellStyle name="Currency" xfId="1" builtinId="4"/>
    <cellStyle name="Currency 2" xfId="206"/>
    <cellStyle name="Currency 2 2" xfId="249"/>
    <cellStyle name="Currency 2 2 2" xfId="5304"/>
    <cellStyle name="Currency 3" xfId="1357"/>
    <cellStyle name="Explanatory Text" xfId="56" builtinId="53" customBuiltin="1"/>
    <cellStyle name="Good" xfId="48"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xfId="5" builtinId="8"/>
    <cellStyle name="Hyperlink 2" xfId="246"/>
    <cellStyle name="Input" xfId="51" builtinId="20" customBuiltin="1"/>
    <cellStyle name="Linked Cell" xfId="53" builtinId="24" customBuiltin="1"/>
    <cellStyle name="Neutral" xfId="50" builtinId="28" customBuiltin="1"/>
    <cellStyle name="Normal" xfId="0" builtinId="0"/>
    <cellStyle name="Normal 10" xfId="1355"/>
    <cellStyle name="Normal 10 2" xfId="3925"/>
    <cellStyle name="Normal 11" xfId="1352"/>
    <cellStyle name="Normal 12" xfId="3920"/>
    <cellStyle name="Normal 12 2" xfId="3928"/>
    <cellStyle name="Normal 2" xfId="6"/>
    <cellStyle name="Normal 2 2" xfId="23"/>
    <cellStyle name="Normal 2 2 2 2 2" xfId="5338"/>
    <cellStyle name="Normal 2 2 2 2 2 2" xfId="5339"/>
    <cellStyle name="Normal 2 3" xfId="24"/>
    <cellStyle name="Normal 2 3 2" xfId="208"/>
    <cellStyle name="Normal 2 4" xfId="25"/>
    <cellStyle name="Normal 2 4 2" xfId="26"/>
    <cellStyle name="Normal 2 4 3" xfId="3922"/>
    <cellStyle name="Normal 2 5" xfId="27"/>
    <cellStyle name="Normal 2 5 2" xfId="28"/>
    <cellStyle name="Normal 2 6" xfId="29"/>
    <cellStyle name="Normal 2 7" xfId="207"/>
    <cellStyle name="Normal 2 8" xfId="82"/>
    <cellStyle name="Normal 2 9" xfId="3923"/>
    <cellStyle name="Normal 3" xfId="30"/>
    <cellStyle name="Normal 3 2" xfId="209"/>
    <cellStyle name="Normal 3 2 2" xfId="3924"/>
    <cellStyle name="Normal 3 3" xfId="3921"/>
    <cellStyle name="Normal 4" xfId="31"/>
    <cellStyle name="Normal 4 2" xfId="247"/>
    <cellStyle name="Normal 4 2 2" xfId="1360"/>
    <cellStyle name="Normal 4 3" xfId="252"/>
    <cellStyle name="Normal 4 3 2" xfId="1361"/>
    <cellStyle name="Normal 4 4" xfId="253"/>
    <cellStyle name="Normal 4 4 2" xfId="1363"/>
    <cellStyle name="Normal 4 5" xfId="1350"/>
    <cellStyle name="Normal 4 5 2" xfId="1351"/>
    <cellStyle name="Normal 4 6" xfId="3926"/>
    <cellStyle name="Normal 4 6 2" xfId="5335"/>
    <cellStyle name="Normal 5" xfId="32"/>
    <cellStyle name="Normal 6" xfId="33"/>
    <cellStyle name="Normal 6 2" xfId="210"/>
    <cellStyle name="Normal 7" xfId="34"/>
    <cellStyle name="Normal 7 10" xfId="429"/>
    <cellStyle name="Normal 7 10 2" xfId="855"/>
    <cellStyle name="Normal 7 10 2 2" xfId="2147"/>
    <cellStyle name="Normal 7 10 2 3" xfId="3425"/>
    <cellStyle name="Normal 7 10 2 4" xfId="4712"/>
    <cellStyle name="Normal 7 10 3" xfId="1281"/>
    <cellStyle name="Normal 7 10 3 2" xfId="2573"/>
    <cellStyle name="Normal 7 10 3 3" xfId="3851"/>
    <cellStyle name="Normal 7 10 3 4" xfId="5138"/>
    <cellStyle name="Normal 7 10 4" xfId="1721"/>
    <cellStyle name="Normal 7 10 5" xfId="2999"/>
    <cellStyle name="Normal 7 10 6" xfId="4286"/>
    <cellStyle name="Normal 7 11" xfId="642"/>
    <cellStyle name="Normal 7 11 2" xfId="1934"/>
    <cellStyle name="Normal 7 11 3" xfId="3212"/>
    <cellStyle name="Normal 7 11 4" xfId="4499"/>
    <cellStyle name="Normal 7 12" xfId="1068"/>
    <cellStyle name="Normal 7 12 2" xfId="2360"/>
    <cellStyle name="Normal 7 12 3" xfId="3638"/>
    <cellStyle name="Normal 7 12 4" xfId="4925"/>
    <cellStyle name="Normal 7 13" xfId="1508"/>
    <cellStyle name="Normal 7 14" xfId="2786"/>
    <cellStyle name="Normal 7 15" xfId="4073"/>
    <cellStyle name="Normal 7 16" xfId="5305"/>
    <cellStyle name="Normal 7 2" xfId="35"/>
    <cellStyle name="Normal 7 2 10" xfId="1509"/>
    <cellStyle name="Normal 7 2 11" xfId="2787"/>
    <cellStyle name="Normal 7 2 12" xfId="4074"/>
    <cellStyle name="Normal 7 2 13" xfId="5306"/>
    <cellStyle name="Normal 7 2 2" xfId="211"/>
    <cellStyle name="Normal 7 2 2 2" xfId="212"/>
    <cellStyle name="Normal 7 2 2 2 2" xfId="432"/>
    <cellStyle name="Normal 7 2 2 2 2 2" xfId="858"/>
    <cellStyle name="Normal 7 2 2 2 2 2 2" xfId="2150"/>
    <cellStyle name="Normal 7 2 2 2 2 2 3" xfId="3428"/>
    <cellStyle name="Normal 7 2 2 2 2 2 4" xfId="4715"/>
    <cellStyle name="Normal 7 2 2 2 2 3" xfId="1284"/>
    <cellStyle name="Normal 7 2 2 2 2 3 2" xfId="2576"/>
    <cellStyle name="Normal 7 2 2 2 2 3 3" xfId="3854"/>
    <cellStyle name="Normal 7 2 2 2 2 3 4" xfId="5141"/>
    <cellStyle name="Normal 7 2 2 2 2 4" xfId="1724"/>
    <cellStyle name="Normal 7 2 2 2 2 5" xfId="3002"/>
    <cellStyle name="Normal 7 2 2 2 2 6" xfId="4289"/>
    <cellStyle name="Normal 7 2 2 2 3" xfId="645"/>
    <cellStyle name="Normal 7 2 2 2 3 2" xfId="1937"/>
    <cellStyle name="Normal 7 2 2 2 3 3" xfId="3215"/>
    <cellStyle name="Normal 7 2 2 2 3 4" xfId="4502"/>
    <cellStyle name="Normal 7 2 2 2 4" xfId="1071"/>
    <cellStyle name="Normal 7 2 2 2 4 2" xfId="2363"/>
    <cellStyle name="Normal 7 2 2 2 4 3" xfId="3641"/>
    <cellStyle name="Normal 7 2 2 2 4 4" xfId="4928"/>
    <cellStyle name="Normal 7 2 2 2 5" xfId="1511"/>
    <cellStyle name="Normal 7 2 2 2 6" xfId="2789"/>
    <cellStyle name="Normal 7 2 2 2 7" xfId="4076"/>
    <cellStyle name="Normal 7 2 2 2 8" xfId="5308"/>
    <cellStyle name="Normal 7 2 2 3" xfId="431"/>
    <cellStyle name="Normal 7 2 2 3 2" xfId="857"/>
    <cellStyle name="Normal 7 2 2 3 2 2" xfId="2149"/>
    <cellStyle name="Normal 7 2 2 3 2 3" xfId="3427"/>
    <cellStyle name="Normal 7 2 2 3 2 4" xfId="4714"/>
    <cellStyle name="Normal 7 2 2 3 3" xfId="1283"/>
    <cellStyle name="Normal 7 2 2 3 3 2" xfId="2575"/>
    <cellStyle name="Normal 7 2 2 3 3 3" xfId="3853"/>
    <cellStyle name="Normal 7 2 2 3 3 4" xfId="5140"/>
    <cellStyle name="Normal 7 2 2 3 4" xfId="1723"/>
    <cellStyle name="Normal 7 2 2 3 5" xfId="3001"/>
    <cellStyle name="Normal 7 2 2 3 6" xfId="4288"/>
    <cellStyle name="Normal 7 2 2 4" xfId="644"/>
    <cellStyle name="Normal 7 2 2 4 2" xfId="1936"/>
    <cellStyle name="Normal 7 2 2 4 3" xfId="3214"/>
    <cellStyle name="Normal 7 2 2 4 4" xfId="4501"/>
    <cellStyle name="Normal 7 2 2 5" xfId="1070"/>
    <cellStyle name="Normal 7 2 2 5 2" xfId="2362"/>
    <cellStyle name="Normal 7 2 2 5 3" xfId="3640"/>
    <cellStyle name="Normal 7 2 2 5 4" xfId="4927"/>
    <cellStyle name="Normal 7 2 2 6" xfId="1510"/>
    <cellStyle name="Normal 7 2 2 7" xfId="2788"/>
    <cellStyle name="Normal 7 2 2 8" xfId="4075"/>
    <cellStyle name="Normal 7 2 2 9" xfId="5307"/>
    <cellStyle name="Normal 7 2 3" xfId="213"/>
    <cellStyle name="Normal 7 2 3 2" xfId="433"/>
    <cellStyle name="Normal 7 2 3 2 2" xfId="859"/>
    <cellStyle name="Normal 7 2 3 2 2 2" xfId="2151"/>
    <cellStyle name="Normal 7 2 3 2 2 3" xfId="3429"/>
    <cellStyle name="Normal 7 2 3 2 2 4" xfId="4716"/>
    <cellStyle name="Normal 7 2 3 2 3" xfId="1285"/>
    <cellStyle name="Normal 7 2 3 2 3 2" xfId="2577"/>
    <cellStyle name="Normal 7 2 3 2 3 3" xfId="3855"/>
    <cellStyle name="Normal 7 2 3 2 3 4" xfId="5142"/>
    <cellStyle name="Normal 7 2 3 2 4" xfId="1725"/>
    <cellStyle name="Normal 7 2 3 2 5" xfId="3003"/>
    <cellStyle name="Normal 7 2 3 2 6" xfId="4290"/>
    <cellStyle name="Normal 7 2 3 3" xfId="646"/>
    <cellStyle name="Normal 7 2 3 3 2" xfId="1938"/>
    <cellStyle name="Normal 7 2 3 3 3" xfId="3216"/>
    <cellStyle name="Normal 7 2 3 3 4" xfId="4503"/>
    <cellStyle name="Normal 7 2 3 4" xfId="1072"/>
    <cellStyle name="Normal 7 2 3 4 2" xfId="2364"/>
    <cellStyle name="Normal 7 2 3 4 3" xfId="3642"/>
    <cellStyle name="Normal 7 2 3 4 4" xfId="4929"/>
    <cellStyle name="Normal 7 2 3 5" xfId="1512"/>
    <cellStyle name="Normal 7 2 3 6" xfId="2790"/>
    <cellStyle name="Normal 7 2 3 7" xfId="4077"/>
    <cellStyle name="Normal 7 2 3 8" xfId="5309"/>
    <cellStyle name="Normal 7 2 4" xfId="214"/>
    <cellStyle name="Normal 7 2 4 2" xfId="434"/>
    <cellStyle name="Normal 7 2 4 2 2" xfId="860"/>
    <cellStyle name="Normal 7 2 4 2 2 2" xfId="2152"/>
    <cellStyle name="Normal 7 2 4 2 2 3" xfId="3430"/>
    <cellStyle name="Normal 7 2 4 2 2 4" xfId="4717"/>
    <cellStyle name="Normal 7 2 4 2 3" xfId="1286"/>
    <cellStyle name="Normal 7 2 4 2 3 2" xfId="2578"/>
    <cellStyle name="Normal 7 2 4 2 3 3" xfId="3856"/>
    <cellStyle name="Normal 7 2 4 2 3 4" xfId="5143"/>
    <cellStyle name="Normal 7 2 4 2 4" xfId="1726"/>
    <cellStyle name="Normal 7 2 4 2 5" xfId="3004"/>
    <cellStyle name="Normal 7 2 4 2 6" xfId="4291"/>
    <cellStyle name="Normal 7 2 4 3" xfId="647"/>
    <cellStyle name="Normal 7 2 4 3 2" xfId="1939"/>
    <cellStyle name="Normal 7 2 4 3 3" xfId="3217"/>
    <cellStyle name="Normal 7 2 4 3 4" xfId="4504"/>
    <cellStyle name="Normal 7 2 4 4" xfId="1073"/>
    <cellStyle name="Normal 7 2 4 4 2" xfId="2365"/>
    <cellStyle name="Normal 7 2 4 4 3" xfId="3643"/>
    <cellStyle name="Normal 7 2 4 4 4" xfId="4930"/>
    <cellStyle name="Normal 7 2 4 5" xfId="1513"/>
    <cellStyle name="Normal 7 2 4 6" xfId="2791"/>
    <cellStyle name="Normal 7 2 4 7" xfId="4078"/>
    <cellStyle name="Normal 7 2 5" xfId="215"/>
    <cellStyle name="Normal 7 2 5 2" xfId="435"/>
    <cellStyle name="Normal 7 2 5 2 2" xfId="861"/>
    <cellStyle name="Normal 7 2 5 2 2 2" xfId="2153"/>
    <cellStyle name="Normal 7 2 5 2 2 3" xfId="3431"/>
    <cellStyle name="Normal 7 2 5 2 2 4" xfId="4718"/>
    <cellStyle name="Normal 7 2 5 2 3" xfId="1287"/>
    <cellStyle name="Normal 7 2 5 2 3 2" xfId="2579"/>
    <cellStyle name="Normal 7 2 5 2 3 3" xfId="3857"/>
    <cellStyle name="Normal 7 2 5 2 3 4" xfId="5144"/>
    <cellStyle name="Normal 7 2 5 2 4" xfId="1727"/>
    <cellStyle name="Normal 7 2 5 2 5" xfId="3005"/>
    <cellStyle name="Normal 7 2 5 2 6" xfId="4292"/>
    <cellStyle name="Normal 7 2 5 3" xfId="648"/>
    <cellStyle name="Normal 7 2 5 3 2" xfId="1940"/>
    <cellStyle name="Normal 7 2 5 3 3" xfId="3218"/>
    <cellStyle name="Normal 7 2 5 3 4" xfId="4505"/>
    <cellStyle name="Normal 7 2 5 4" xfId="1074"/>
    <cellStyle name="Normal 7 2 5 4 2" xfId="2366"/>
    <cellStyle name="Normal 7 2 5 4 3" xfId="3644"/>
    <cellStyle name="Normal 7 2 5 4 4" xfId="4931"/>
    <cellStyle name="Normal 7 2 5 5" xfId="1514"/>
    <cellStyle name="Normal 7 2 5 6" xfId="2792"/>
    <cellStyle name="Normal 7 2 5 7" xfId="4079"/>
    <cellStyle name="Normal 7 2 6" xfId="282"/>
    <cellStyle name="Normal 7 2 6 2" xfId="495"/>
    <cellStyle name="Normal 7 2 6 2 2" xfId="920"/>
    <cellStyle name="Normal 7 2 6 2 2 2" xfId="2212"/>
    <cellStyle name="Normal 7 2 6 2 2 3" xfId="3490"/>
    <cellStyle name="Normal 7 2 6 2 2 4" xfId="4777"/>
    <cellStyle name="Normal 7 2 6 2 3" xfId="1346"/>
    <cellStyle name="Normal 7 2 6 2 3 2" xfId="2638"/>
    <cellStyle name="Normal 7 2 6 2 3 3" xfId="3916"/>
    <cellStyle name="Normal 7 2 6 2 3 4" xfId="5203"/>
    <cellStyle name="Normal 7 2 6 2 4" xfId="1786"/>
    <cellStyle name="Normal 7 2 6 2 5" xfId="3064"/>
    <cellStyle name="Normal 7 2 6 2 6" xfId="4351"/>
    <cellStyle name="Normal 7 2 6 3" xfId="707"/>
    <cellStyle name="Normal 7 2 6 3 2" xfId="1999"/>
    <cellStyle name="Normal 7 2 6 3 3" xfId="3277"/>
    <cellStyle name="Normal 7 2 6 3 4" xfId="4564"/>
    <cellStyle name="Normal 7 2 6 4" xfId="1133"/>
    <cellStyle name="Normal 7 2 6 4 2" xfId="2425"/>
    <cellStyle name="Normal 7 2 6 4 3" xfId="3703"/>
    <cellStyle name="Normal 7 2 6 4 4" xfId="4990"/>
    <cellStyle name="Normal 7 2 6 5" xfId="1573"/>
    <cellStyle name="Normal 7 2 6 6" xfId="2851"/>
    <cellStyle name="Normal 7 2 6 7" xfId="4138"/>
    <cellStyle name="Normal 7 2 7" xfId="430"/>
    <cellStyle name="Normal 7 2 7 2" xfId="856"/>
    <cellStyle name="Normal 7 2 7 2 2" xfId="2148"/>
    <cellStyle name="Normal 7 2 7 2 3" xfId="3426"/>
    <cellStyle name="Normal 7 2 7 2 4" xfId="4713"/>
    <cellStyle name="Normal 7 2 7 3" xfId="1282"/>
    <cellStyle name="Normal 7 2 7 3 2" xfId="2574"/>
    <cellStyle name="Normal 7 2 7 3 3" xfId="3852"/>
    <cellStyle name="Normal 7 2 7 3 4" xfId="5139"/>
    <cellStyle name="Normal 7 2 7 4" xfId="1722"/>
    <cellStyle name="Normal 7 2 7 5" xfId="3000"/>
    <cellStyle name="Normal 7 2 7 6" xfId="4287"/>
    <cellStyle name="Normal 7 2 8" xfId="643"/>
    <cellStyle name="Normal 7 2 8 2" xfId="1935"/>
    <cellStyle name="Normal 7 2 8 3" xfId="3213"/>
    <cellStyle name="Normal 7 2 8 4" xfId="4500"/>
    <cellStyle name="Normal 7 2 9" xfId="1069"/>
    <cellStyle name="Normal 7 2 9 2" xfId="2361"/>
    <cellStyle name="Normal 7 2 9 3" xfId="3639"/>
    <cellStyle name="Normal 7 2 9 4" xfId="4926"/>
    <cellStyle name="Normal 7 3" xfId="216"/>
    <cellStyle name="Normal 7 3 2" xfId="217"/>
    <cellStyle name="Normal 7 3 2 2" xfId="437"/>
    <cellStyle name="Normal 7 3 2 2 2" xfId="863"/>
    <cellStyle name="Normal 7 3 2 2 2 2" xfId="2155"/>
    <cellStyle name="Normal 7 3 2 2 2 3" xfId="3433"/>
    <cellStyle name="Normal 7 3 2 2 2 4" xfId="4720"/>
    <cellStyle name="Normal 7 3 2 2 3" xfId="1289"/>
    <cellStyle name="Normal 7 3 2 2 3 2" xfId="2581"/>
    <cellStyle name="Normal 7 3 2 2 3 3" xfId="3859"/>
    <cellStyle name="Normal 7 3 2 2 3 4" xfId="5146"/>
    <cellStyle name="Normal 7 3 2 2 4" xfId="1729"/>
    <cellStyle name="Normal 7 3 2 2 5" xfId="3007"/>
    <cellStyle name="Normal 7 3 2 2 6" xfId="4294"/>
    <cellStyle name="Normal 7 3 2 3" xfId="650"/>
    <cellStyle name="Normal 7 3 2 3 2" xfId="1942"/>
    <cellStyle name="Normal 7 3 2 3 3" xfId="3220"/>
    <cellStyle name="Normal 7 3 2 3 4" xfId="4507"/>
    <cellStyle name="Normal 7 3 2 4" xfId="1076"/>
    <cellStyle name="Normal 7 3 2 4 2" xfId="2368"/>
    <cellStyle name="Normal 7 3 2 4 3" xfId="3646"/>
    <cellStyle name="Normal 7 3 2 4 4" xfId="4933"/>
    <cellStyle name="Normal 7 3 2 5" xfId="1516"/>
    <cellStyle name="Normal 7 3 2 6" xfId="2794"/>
    <cellStyle name="Normal 7 3 2 7" xfId="4081"/>
    <cellStyle name="Normal 7 3 2 8" xfId="5311"/>
    <cellStyle name="Normal 7 3 3" xfId="436"/>
    <cellStyle name="Normal 7 3 3 2" xfId="862"/>
    <cellStyle name="Normal 7 3 3 2 2" xfId="2154"/>
    <cellStyle name="Normal 7 3 3 2 3" xfId="3432"/>
    <cellStyle name="Normal 7 3 3 2 4" xfId="4719"/>
    <cellStyle name="Normal 7 3 3 3" xfId="1288"/>
    <cellStyle name="Normal 7 3 3 3 2" xfId="2580"/>
    <cellStyle name="Normal 7 3 3 3 3" xfId="3858"/>
    <cellStyle name="Normal 7 3 3 3 4" xfId="5145"/>
    <cellStyle name="Normal 7 3 3 4" xfId="1728"/>
    <cellStyle name="Normal 7 3 3 5" xfId="3006"/>
    <cellStyle name="Normal 7 3 3 6" xfId="4293"/>
    <cellStyle name="Normal 7 3 4" xfId="649"/>
    <cellStyle name="Normal 7 3 4 2" xfId="1941"/>
    <cellStyle name="Normal 7 3 4 3" xfId="3219"/>
    <cellStyle name="Normal 7 3 4 4" xfId="4506"/>
    <cellStyle name="Normal 7 3 5" xfId="1075"/>
    <cellStyle name="Normal 7 3 5 2" xfId="2367"/>
    <cellStyle name="Normal 7 3 5 3" xfId="3645"/>
    <cellStyle name="Normal 7 3 5 4" xfId="4932"/>
    <cellStyle name="Normal 7 3 6" xfId="1515"/>
    <cellStyle name="Normal 7 3 7" xfId="2793"/>
    <cellStyle name="Normal 7 3 8" xfId="4080"/>
    <cellStyle name="Normal 7 3 9" xfId="5310"/>
    <cellStyle name="Normal 7 4" xfId="218"/>
    <cellStyle name="Normal 7 4 2" xfId="438"/>
    <cellStyle name="Normal 7 4 2 2" xfId="864"/>
    <cellStyle name="Normal 7 4 2 2 2" xfId="2156"/>
    <cellStyle name="Normal 7 4 2 2 3" xfId="3434"/>
    <cellStyle name="Normal 7 4 2 2 4" xfId="4721"/>
    <cellStyle name="Normal 7 4 2 3" xfId="1290"/>
    <cellStyle name="Normal 7 4 2 3 2" xfId="2582"/>
    <cellStyle name="Normal 7 4 2 3 3" xfId="3860"/>
    <cellStyle name="Normal 7 4 2 3 4" xfId="5147"/>
    <cellStyle name="Normal 7 4 2 4" xfId="1730"/>
    <cellStyle name="Normal 7 4 2 5" xfId="3008"/>
    <cellStyle name="Normal 7 4 2 6" xfId="4295"/>
    <cellStyle name="Normal 7 4 3" xfId="651"/>
    <cellStyle name="Normal 7 4 3 2" xfId="1943"/>
    <cellStyle name="Normal 7 4 3 3" xfId="3221"/>
    <cellStyle name="Normal 7 4 3 4" xfId="4508"/>
    <cellStyle name="Normal 7 4 4" xfId="1077"/>
    <cellStyle name="Normal 7 4 4 2" xfId="2369"/>
    <cellStyle name="Normal 7 4 4 3" xfId="3647"/>
    <cellStyle name="Normal 7 4 4 4" xfId="4934"/>
    <cellStyle name="Normal 7 4 5" xfId="1517"/>
    <cellStyle name="Normal 7 4 6" xfId="2795"/>
    <cellStyle name="Normal 7 4 7" xfId="4082"/>
    <cellStyle name="Normal 7 4 8" xfId="5312"/>
    <cellStyle name="Normal 7 5" xfId="219"/>
    <cellStyle name="Normal 7 5 2" xfId="439"/>
    <cellStyle name="Normal 7 5 2 2" xfId="865"/>
    <cellStyle name="Normal 7 5 2 2 2" xfId="2157"/>
    <cellStyle name="Normal 7 5 2 2 3" xfId="3435"/>
    <cellStyle name="Normal 7 5 2 2 4" xfId="4722"/>
    <cellStyle name="Normal 7 5 2 3" xfId="1291"/>
    <cellStyle name="Normal 7 5 2 3 2" xfId="2583"/>
    <cellStyle name="Normal 7 5 2 3 3" xfId="3861"/>
    <cellStyle name="Normal 7 5 2 3 4" xfId="5148"/>
    <cellStyle name="Normal 7 5 2 4" xfId="1731"/>
    <cellStyle name="Normal 7 5 2 5" xfId="3009"/>
    <cellStyle name="Normal 7 5 2 6" xfId="4296"/>
    <cellStyle name="Normal 7 5 3" xfId="652"/>
    <cellStyle name="Normal 7 5 3 2" xfId="1944"/>
    <cellStyle name="Normal 7 5 3 3" xfId="3222"/>
    <cellStyle name="Normal 7 5 3 4" xfId="4509"/>
    <cellStyle name="Normal 7 5 4" xfId="1078"/>
    <cellStyle name="Normal 7 5 4 2" xfId="2370"/>
    <cellStyle name="Normal 7 5 4 3" xfId="3648"/>
    <cellStyle name="Normal 7 5 4 4" xfId="4935"/>
    <cellStyle name="Normal 7 5 5" xfId="1518"/>
    <cellStyle name="Normal 7 5 6" xfId="2796"/>
    <cellStyle name="Normal 7 5 7" xfId="4083"/>
    <cellStyle name="Normal 7 6" xfId="220"/>
    <cellStyle name="Normal 7 6 2" xfId="440"/>
    <cellStyle name="Normal 7 6 2 2" xfId="866"/>
    <cellStyle name="Normal 7 6 2 2 2" xfId="2158"/>
    <cellStyle name="Normal 7 6 2 2 3" xfId="3436"/>
    <cellStyle name="Normal 7 6 2 2 4" xfId="4723"/>
    <cellStyle name="Normal 7 6 2 3" xfId="1292"/>
    <cellStyle name="Normal 7 6 2 3 2" xfId="2584"/>
    <cellStyle name="Normal 7 6 2 3 3" xfId="3862"/>
    <cellStyle name="Normal 7 6 2 3 4" xfId="5149"/>
    <cellStyle name="Normal 7 6 2 4" xfId="1732"/>
    <cellStyle name="Normal 7 6 2 5" xfId="3010"/>
    <cellStyle name="Normal 7 6 2 6" xfId="4297"/>
    <cellStyle name="Normal 7 6 3" xfId="653"/>
    <cellStyle name="Normal 7 6 3 2" xfId="1945"/>
    <cellStyle name="Normal 7 6 3 3" xfId="3223"/>
    <cellStyle name="Normal 7 6 3 4" xfId="4510"/>
    <cellStyle name="Normal 7 6 4" xfId="1079"/>
    <cellStyle name="Normal 7 6 4 2" xfId="2371"/>
    <cellStyle name="Normal 7 6 4 3" xfId="3649"/>
    <cellStyle name="Normal 7 6 4 4" xfId="4936"/>
    <cellStyle name="Normal 7 6 5" xfId="1519"/>
    <cellStyle name="Normal 7 6 6" xfId="2797"/>
    <cellStyle name="Normal 7 6 7" xfId="4084"/>
    <cellStyle name="Normal 7 7" xfId="221"/>
    <cellStyle name="Normal 7 7 2" xfId="441"/>
    <cellStyle name="Normal 7 7 2 2" xfId="867"/>
    <cellStyle name="Normal 7 7 2 2 2" xfId="2159"/>
    <cellStyle name="Normal 7 7 2 2 3" xfId="3437"/>
    <cellStyle name="Normal 7 7 2 2 4" xfId="4724"/>
    <cellStyle name="Normal 7 7 2 3" xfId="1293"/>
    <cellStyle name="Normal 7 7 2 3 2" xfId="2585"/>
    <cellStyle name="Normal 7 7 2 3 3" xfId="3863"/>
    <cellStyle name="Normal 7 7 2 3 4" xfId="5150"/>
    <cellStyle name="Normal 7 7 2 4" xfId="1733"/>
    <cellStyle name="Normal 7 7 2 5" xfId="3011"/>
    <cellStyle name="Normal 7 7 2 6" xfId="4298"/>
    <cellStyle name="Normal 7 7 3" xfId="654"/>
    <cellStyle name="Normal 7 7 3 2" xfId="1946"/>
    <cellStyle name="Normal 7 7 3 3" xfId="3224"/>
    <cellStyle name="Normal 7 7 3 4" xfId="4511"/>
    <cellStyle name="Normal 7 7 4" xfId="1080"/>
    <cellStyle name="Normal 7 7 4 2" xfId="2372"/>
    <cellStyle name="Normal 7 7 4 3" xfId="3650"/>
    <cellStyle name="Normal 7 7 4 4" xfId="4937"/>
    <cellStyle name="Normal 7 7 5" xfId="1520"/>
    <cellStyle name="Normal 7 7 6" xfId="2798"/>
    <cellStyle name="Normal 7 7 7" xfId="4085"/>
    <cellStyle name="Normal 7 8" xfId="222"/>
    <cellStyle name="Normal 7 8 2" xfId="442"/>
    <cellStyle name="Normal 7 8 2 2" xfId="868"/>
    <cellStyle name="Normal 7 8 2 2 2" xfId="2160"/>
    <cellStyle name="Normal 7 8 2 2 3" xfId="3438"/>
    <cellStyle name="Normal 7 8 2 2 4" xfId="4725"/>
    <cellStyle name="Normal 7 8 2 3" xfId="1294"/>
    <cellStyle name="Normal 7 8 2 3 2" xfId="2586"/>
    <cellStyle name="Normal 7 8 2 3 3" xfId="3864"/>
    <cellStyle name="Normal 7 8 2 3 4" xfId="5151"/>
    <cellStyle name="Normal 7 8 2 4" xfId="1734"/>
    <cellStyle name="Normal 7 8 2 5" xfId="3012"/>
    <cellStyle name="Normal 7 8 2 6" xfId="4299"/>
    <cellStyle name="Normal 7 8 3" xfId="655"/>
    <cellStyle name="Normal 7 8 3 2" xfId="1947"/>
    <cellStyle name="Normal 7 8 3 3" xfId="3225"/>
    <cellStyle name="Normal 7 8 3 4" xfId="4512"/>
    <cellStyle name="Normal 7 8 4" xfId="1081"/>
    <cellStyle name="Normal 7 8 4 2" xfId="2373"/>
    <cellStyle name="Normal 7 8 4 3" xfId="3651"/>
    <cellStyle name="Normal 7 8 4 4" xfId="4938"/>
    <cellStyle name="Normal 7 8 5" xfId="1521"/>
    <cellStyle name="Normal 7 8 6" xfId="2799"/>
    <cellStyle name="Normal 7 8 7" xfId="4086"/>
    <cellStyle name="Normal 7 9" xfId="267"/>
    <cellStyle name="Normal 7 9 2" xfId="480"/>
    <cellStyle name="Normal 7 9 2 2" xfId="905"/>
    <cellStyle name="Normal 7 9 2 2 2" xfId="2197"/>
    <cellStyle name="Normal 7 9 2 2 3" xfId="3475"/>
    <cellStyle name="Normal 7 9 2 2 4" xfId="4762"/>
    <cellStyle name="Normal 7 9 2 3" xfId="1331"/>
    <cellStyle name="Normal 7 9 2 3 2" xfId="2623"/>
    <cellStyle name="Normal 7 9 2 3 3" xfId="3901"/>
    <cellStyle name="Normal 7 9 2 3 4" xfId="5188"/>
    <cellStyle name="Normal 7 9 2 4" xfId="1771"/>
    <cellStyle name="Normal 7 9 2 5" xfId="3049"/>
    <cellStyle name="Normal 7 9 2 6" xfId="4336"/>
    <cellStyle name="Normal 7 9 3" xfId="692"/>
    <cellStyle name="Normal 7 9 3 2" xfId="1984"/>
    <cellStyle name="Normal 7 9 3 3" xfId="3262"/>
    <cellStyle name="Normal 7 9 3 4" xfId="4549"/>
    <cellStyle name="Normal 7 9 4" xfId="1118"/>
    <cellStyle name="Normal 7 9 4 2" xfId="2410"/>
    <cellStyle name="Normal 7 9 4 3" xfId="3688"/>
    <cellStyle name="Normal 7 9 4 4" xfId="4975"/>
    <cellStyle name="Normal 7 9 5" xfId="1558"/>
    <cellStyle name="Normal 7 9 6" xfId="2836"/>
    <cellStyle name="Normal 7 9 7" xfId="4123"/>
    <cellStyle name="Normal 8" xfId="223"/>
    <cellStyle name="Normal 8 2" xfId="248"/>
    <cellStyle name="Normal 8 2 2" xfId="443"/>
    <cellStyle name="Normal 8 3" xfId="5313"/>
    <cellStyle name="Normal 9" xfId="254"/>
    <cellStyle name="Normal 9 2" xfId="1362"/>
    <cellStyle name="Normal_A" xfId="5336"/>
    <cellStyle name="Normal_Indirects" xfId="41"/>
    <cellStyle name="Normal_Indirects_1" xfId="42"/>
    <cellStyle name="Normal_Sheet1" xfId="81"/>
    <cellStyle name="Normal_Sheet2_1" xfId="5337"/>
    <cellStyle name="Note" xfId="8" builtinId="10"/>
    <cellStyle name="Note 2" xfId="36"/>
    <cellStyle name="Note 2 10" xfId="1082"/>
    <cellStyle name="Note 2 10 2" xfId="2374"/>
    <cellStyle name="Note 2 10 3" xfId="3652"/>
    <cellStyle name="Note 2 10 4" xfId="4939"/>
    <cellStyle name="Note 2 11" xfId="1522"/>
    <cellStyle name="Note 2 12" xfId="2800"/>
    <cellStyle name="Note 2 13" xfId="4087"/>
    <cellStyle name="Note 2 14" xfId="5314"/>
    <cellStyle name="Note 2 2" xfId="37"/>
    <cellStyle name="Note 2 2 10" xfId="1523"/>
    <cellStyle name="Note 2 2 11" xfId="2801"/>
    <cellStyle name="Note 2 2 12" xfId="4088"/>
    <cellStyle name="Note 2 2 13" xfId="5315"/>
    <cellStyle name="Note 2 2 2" xfId="224"/>
    <cellStyle name="Note 2 2 2 2" xfId="225"/>
    <cellStyle name="Note 2 2 2 2 2" xfId="447"/>
    <cellStyle name="Note 2 2 2 2 2 2" xfId="872"/>
    <cellStyle name="Note 2 2 2 2 2 2 2" xfId="2164"/>
    <cellStyle name="Note 2 2 2 2 2 2 3" xfId="3442"/>
    <cellStyle name="Note 2 2 2 2 2 2 4" xfId="4729"/>
    <cellStyle name="Note 2 2 2 2 2 3" xfId="1298"/>
    <cellStyle name="Note 2 2 2 2 2 3 2" xfId="2590"/>
    <cellStyle name="Note 2 2 2 2 2 3 3" xfId="3868"/>
    <cellStyle name="Note 2 2 2 2 2 3 4" xfId="5155"/>
    <cellStyle name="Note 2 2 2 2 2 4" xfId="1738"/>
    <cellStyle name="Note 2 2 2 2 2 5" xfId="3016"/>
    <cellStyle name="Note 2 2 2 2 2 6" xfId="4303"/>
    <cellStyle name="Note 2 2 2 2 3" xfId="659"/>
    <cellStyle name="Note 2 2 2 2 3 2" xfId="1951"/>
    <cellStyle name="Note 2 2 2 2 3 3" xfId="3229"/>
    <cellStyle name="Note 2 2 2 2 3 4" xfId="4516"/>
    <cellStyle name="Note 2 2 2 2 4" xfId="1085"/>
    <cellStyle name="Note 2 2 2 2 4 2" xfId="2377"/>
    <cellStyle name="Note 2 2 2 2 4 3" xfId="3655"/>
    <cellStyle name="Note 2 2 2 2 4 4" xfId="4942"/>
    <cellStyle name="Note 2 2 2 2 5" xfId="1525"/>
    <cellStyle name="Note 2 2 2 2 6" xfId="2803"/>
    <cellStyle name="Note 2 2 2 2 7" xfId="4090"/>
    <cellStyle name="Note 2 2 2 2 8" xfId="5317"/>
    <cellStyle name="Note 2 2 2 3" xfId="446"/>
    <cellStyle name="Note 2 2 2 3 2" xfId="871"/>
    <cellStyle name="Note 2 2 2 3 2 2" xfId="2163"/>
    <cellStyle name="Note 2 2 2 3 2 3" xfId="3441"/>
    <cellStyle name="Note 2 2 2 3 2 4" xfId="4728"/>
    <cellStyle name="Note 2 2 2 3 3" xfId="1297"/>
    <cellStyle name="Note 2 2 2 3 3 2" xfId="2589"/>
    <cellStyle name="Note 2 2 2 3 3 3" xfId="3867"/>
    <cellStyle name="Note 2 2 2 3 3 4" xfId="5154"/>
    <cellStyle name="Note 2 2 2 3 4" xfId="1737"/>
    <cellStyle name="Note 2 2 2 3 5" xfId="3015"/>
    <cellStyle name="Note 2 2 2 3 6" xfId="4302"/>
    <cellStyle name="Note 2 2 2 4" xfId="658"/>
    <cellStyle name="Note 2 2 2 4 2" xfId="1950"/>
    <cellStyle name="Note 2 2 2 4 3" xfId="3228"/>
    <cellStyle name="Note 2 2 2 4 4" xfId="4515"/>
    <cellStyle name="Note 2 2 2 5" xfId="1084"/>
    <cellStyle name="Note 2 2 2 5 2" xfId="2376"/>
    <cellStyle name="Note 2 2 2 5 3" xfId="3654"/>
    <cellStyle name="Note 2 2 2 5 4" xfId="4941"/>
    <cellStyle name="Note 2 2 2 6" xfId="1524"/>
    <cellStyle name="Note 2 2 2 7" xfId="2802"/>
    <cellStyle name="Note 2 2 2 8" xfId="4089"/>
    <cellStyle name="Note 2 2 2 9" xfId="5316"/>
    <cellStyle name="Note 2 2 3" xfId="226"/>
    <cellStyle name="Note 2 2 3 2" xfId="448"/>
    <cellStyle name="Note 2 2 3 2 2" xfId="873"/>
    <cellStyle name="Note 2 2 3 2 2 2" xfId="2165"/>
    <cellStyle name="Note 2 2 3 2 2 3" xfId="3443"/>
    <cellStyle name="Note 2 2 3 2 2 4" xfId="4730"/>
    <cellStyle name="Note 2 2 3 2 3" xfId="1299"/>
    <cellStyle name="Note 2 2 3 2 3 2" xfId="2591"/>
    <cellStyle name="Note 2 2 3 2 3 3" xfId="3869"/>
    <cellStyle name="Note 2 2 3 2 3 4" xfId="5156"/>
    <cellStyle name="Note 2 2 3 2 4" xfId="1739"/>
    <cellStyle name="Note 2 2 3 2 5" xfId="3017"/>
    <cellStyle name="Note 2 2 3 2 6" xfId="4304"/>
    <cellStyle name="Note 2 2 3 3" xfId="660"/>
    <cellStyle name="Note 2 2 3 3 2" xfId="1952"/>
    <cellStyle name="Note 2 2 3 3 3" xfId="3230"/>
    <cellStyle name="Note 2 2 3 3 4" xfId="4517"/>
    <cellStyle name="Note 2 2 3 4" xfId="1086"/>
    <cellStyle name="Note 2 2 3 4 2" xfId="2378"/>
    <cellStyle name="Note 2 2 3 4 3" xfId="3656"/>
    <cellStyle name="Note 2 2 3 4 4" xfId="4943"/>
    <cellStyle name="Note 2 2 3 5" xfId="1526"/>
    <cellStyle name="Note 2 2 3 6" xfId="2804"/>
    <cellStyle name="Note 2 2 3 7" xfId="4091"/>
    <cellStyle name="Note 2 2 3 8" xfId="5318"/>
    <cellStyle name="Note 2 2 4" xfId="227"/>
    <cellStyle name="Note 2 2 4 2" xfId="449"/>
    <cellStyle name="Note 2 2 4 2 2" xfId="874"/>
    <cellStyle name="Note 2 2 4 2 2 2" xfId="2166"/>
    <cellStyle name="Note 2 2 4 2 2 3" xfId="3444"/>
    <cellStyle name="Note 2 2 4 2 2 4" xfId="4731"/>
    <cellStyle name="Note 2 2 4 2 3" xfId="1300"/>
    <cellStyle name="Note 2 2 4 2 3 2" xfId="2592"/>
    <cellStyle name="Note 2 2 4 2 3 3" xfId="3870"/>
    <cellStyle name="Note 2 2 4 2 3 4" xfId="5157"/>
    <cellStyle name="Note 2 2 4 2 4" xfId="1740"/>
    <cellStyle name="Note 2 2 4 2 5" xfId="3018"/>
    <cellStyle name="Note 2 2 4 2 6" xfId="4305"/>
    <cellStyle name="Note 2 2 4 3" xfId="661"/>
    <cellStyle name="Note 2 2 4 3 2" xfId="1953"/>
    <cellStyle name="Note 2 2 4 3 3" xfId="3231"/>
    <cellStyle name="Note 2 2 4 3 4" xfId="4518"/>
    <cellStyle name="Note 2 2 4 4" xfId="1087"/>
    <cellStyle name="Note 2 2 4 4 2" xfId="2379"/>
    <cellStyle name="Note 2 2 4 4 3" xfId="3657"/>
    <cellStyle name="Note 2 2 4 4 4" xfId="4944"/>
    <cellStyle name="Note 2 2 4 5" xfId="1527"/>
    <cellStyle name="Note 2 2 4 6" xfId="2805"/>
    <cellStyle name="Note 2 2 4 7" xfId="4092"/>
    <cellStyle name="Note 2 2 5" xfId="228"/>
    <cellStyle name="Note 2 2 5 2" xfId="450"/>
    <cellStyle name="Note 2 2 5 2 2" xfId="875"/>
    <cellStyle name="Note 2 2 5 2 2 2" xfId="2167"/>
    <cellStyle name="Note 2 2 5 2 2 3" xfId="3445"/>
    <cellStyle name="Note 2 2 5 2 2 4" xfId="4732"/>
    <cellStyle name="Note 2 2 5 2 3" xfId="1301"/>
    <cellStyle name="Note 2 2 5 2 3 2" xfId="2593"/>
    <cellStyle name="Note 2 2 5 2 3 3" xfId="3871"/>
    <cellStyle name="Note 2 2 5 2 3 4" xfId="5158"/>
    <cellStyle name="Note 2 2 5 2 4" xfId="1741"/>
    <cellStyle name="Note 2 2 5 2 5" xfId="3019"/>
    <cellStyle name="Note 2 2 5 2 6" xfId="4306"/>
    <cellStyle name="Note 2 2 5 3" xfId="662"/>
    <cellStyle name="Note 2 2 5 3 2" xfId="1954"/>
    <cellStyle name="Note 2 2 5 3 3" xfId="3232"/>
    <cellStyle name="Note 2 2 5 3 4" xfId="4519"/>
    <cellStyle name="Note 2 2 5 4" xfId="1088"/>
    <cellStyle name="Note 2 2 5 4 2" xfId="2380"/>
    <cellStyle name="Note 2 2 5 4 3" xfId="3658"/>
    <cellStyle name="Note 2 2 5 4 4" xfId="4945"/>
    <cellStyle name="Note 2 2 5 5" xfId="1528"/>
    <cellStyle name="Note 2 2 5 6" xfId="2806"/>
    <cellStyle name="Note 2 2 5 7" xfId="4093"/>
    <cellStyle name="Note 2 2 6" xfId="283"/>
    <cellStyle name="Note 2 2 6 2" xfId="496"/>
    <cellStyle name="Note 2 2 6 2 2" xfId="921"/>
    <cellStyle name="Note 2 2 6 2 2 2" xfId="2213"/>
    <cellStyle name="Note 2 2 6 2 2 3" xfId="3491"/>
    <cellStyle name="Note 2 2 6 2 2 4" xfId="4778"/>
    <cellStyle name="Note 2 2 6 2 3" xfId="1347"/>
    <cellStyle name="Note 2 2 6 2 3 2" xfId="2639"/>
    <cellStyle name="Note 2 2 6 2 3 3" xfId="3917"/>
    <cellStyle name="Note 2 2 6 2 3 4" xfId="5204"/>
    <cellStyle name="Note 2 2 6 2 4" xfId="1787"/>
    <cellStyle name="Note 2 2 6 2 5" xfId="3065"/>
    <cellStyle name="Note 2 2 6 2 6" xfId="4352"/>
    <cellStyle name="Note 2 2 6 3" xfId="708"/>
    <cellStyle name="Note 2 2 6 3 2" xfId="2000"/>
    <cellStyle name="Note 2 2 6 3 3" xfId="3278"/>
    <cellStyle name="Note 2 2 6 3 4" xfId="4565"/>
    <cellStyle name="Note 2 2 6 4" xfId="1134"/>
    <cellStyle name="Note 2 2 6 4 2" xfId="2426"/>
    <cellStyle name="Note 2 2 6 4 3" xfId="3704"/>
    <cellStyle name="Note 2 2 6 4 4" xfId="4991"/>
    <cellStyle name="Note 2 2 6 5" xfId="1574"/>
    <cellStyle name="Note 2 2 6 6" xfId="2852"/>
    <cellStyle name="Note 2 2 6 7" xfId="4139"/>
    <cellStyle name="Note 2 2 7" xfId="445"/>
    <cellStyle name="Note 2 2 7 2" xfId="870"/>
    <cellStyle name="Note 2 2 7 2 2" xfId="2162"/>
    <cellStyle name="Note 2 2 7 2 3" xfId="3440"/>
    <cellStyle name="Note 2 2 7 2 4" xfId="4727"/>
    <cellStyle name="Note 2 2 7 3" xfId="1296"/>
    <cellStyle name="Note 2 2 7 3 2" xfId="2588"/>
    <cellStyle name="Note 2 2 7 3 3" xfId="3866"/>
    <cellStyle name="Note 2 2 7 3 4" xfId="5153"/>
    <cellStyle name="Note 2 2 7 4" xfId="1736"/>
    <cellStyle name="Note 2 2 7 5" xfId="3014"/>
    <cellStyle name="Note 2 2 7 6" xfId="4301"/>
    <cellStyle name="Note 2 2 8" xfId="657"/>
    <cellStyle name="Note 2 2 8 2" xfId="1949"/>
    <cellStyle name="Note 2 2 8 3" xfId="3227"/>
    <cellStyle name="Note 2 2 8 4" xfId="4514"/>
    <cellStyle name="Note 2 2 9" xfId="1083"/>
    <cellStyle name="Note 2 2 9 2" xfId="2375"/>
    <cellStyle name="Note 2 2 9 3" xfId="3653"/>
    <cellStyle name="Note 2 2 9 4" xfId="4940"/>
    <cellStyle name="Note 2 3" xfId="229"/>
    <cellStyle name="Note 2 3 2" xfId="230"/>
    <cellStyle name="Note 2 3 2 2" xfId="452"/>
    <cellStyle name="Note 2 3 2 2 2" xfId="877"/>
    <cellStyle name="Note 2 3 2 2 2 2" xfId="2169"/>
    <cellStyle name="Note 2 3 2 2 2 3" xfId="3447"/>
    <cellStyle name="Note 2 3 2 2 2 4" xfId="4734"/>
    <cellStyle name="Note 2 3 2 2 3" xfId="1303"/>
    <cellStyle name="Note 2 3 2 2 3 2" xfId="2595"/>
    <cellStyle name="Note 2 3 2 2 3 3" xfId="3873"/>
    <cellStyle name="Note 2 3 2 2 3 4" xfId="5160"/>
    <cellStyle name="Note 2 3 2 2 4" xfId="1743"/>
    <cellStyle name="Note 2 3 2 2 5" xfId="3021"/>
    <cellStyle name="Note 2 3 2 2 6" xfId="4308"/>
    <cellStyle name="Note 2 3 2 3" xfId="664"/>
    <cellStyle name="Note 2 3 2 3 2" xfId="1956"/>
    <cellStyle name="Note 2 3 2 3 3" xfId="3234"/>
    <cellStyle name="Note 2 3 2 3 4" xfId="4521"/>
    <cellStyle name="Note 2 3 2 4" xfId="1090"/>
    <cellStyle name="Note 2 3 2 4 2" xfId="2382"/>
    <cellStyle name="Note 2 3 2 4 3" xfId="3660"/>
    <cellStyle name="Note 2 3 2 4 4" xfId="4947"/>
    <cellStyle name="Note 2 3 2 5" xfId="1530"/>
    <cellStyle name="Note 2 3 2 6" xfId="2808"/>
    <cellStyle name="Note 2 3 2 7" xfId="4095"/>
    <cellStyle name="Note 2 3 2 8" xfId="5320"/>
    <cellStyle name="Note 2 3 3" xfId="451"/>
    <cellStyle name="Note 2 3 3 2" xfId="876"/>
    <cellStyle name="Note 2 3 3 2 2" xfId="2168"/>
    <cellStyle name="Note 2 3 3 2 3" xfId="3446"/>
    <cellStyle name="Note 2 3 3 2 4" xfId="4733"/>
    <cellStyle name="Note 2 3 3 3" xfId="1302"/>
    <cellStyle name="Note 2 3 3 3 2" xfId="2594"/>
    <cellStyle name="Note 2 3 3 3 3" xfId="3872"/>
    <cellStyle name="Note 2 3 3 3 4" xfId="5159"/>
    <cellStyle name="Note 2 3 3 4" xfId="1742"/>
    <cellStyle name="Note 2 3 3 5" xfId="3020"/>
    <cellStyle name="Note 2 3 3 6" xfId="4307"/>
    <cellStyle name="Note 2 3 4" xfId="663"/>
    <cellStyle name="Note 2 3 4 2" xfId="1955"/>
    <cellStyle name="Note 2 3 4 3" xfId="3233"/>
    <cellStyle name="Note 2 3 4 4" xfId="4520"/>
    <cellStyle name="Note 2 3 5" xfId="1089"/>
    <cellStyle name="Note 2 3 5 2" xfId="2381"/>
    <cellStyle name="Note 2 3 5 3" xfId="3659"/>
    <cellStyle name="Note 2 3 5 4" xfId="4946"/>
    <cellStyle name="Note 2 3 6" xfId="1529"/>
    <cellStyle name="Note 2 3 7" xfId="2807"/>
    <cellStyle name="Note 2 3 8" xfId="4094"/>
    <cellStyle name="Note 2 3 9" xfId="5319"/>
    <cellStyle name="Note 2 4" xfId="231"/>
    <cellStyle name="Note 2 4 2" xfId="453"/>
    <cellStyle name="Note 2 4 2 2" xfId="878"/>
    <cellStyle name="Note 2 4 2 2 2" xfId="2170"/>
    <cellStyle name="Note 2 4 2 2 3" xfId="3448"/>
    <cellStyle name="Note 2 4 2 2 4" xfId="4735"/>
    <cellStyle name="Note 2 4 2 3" xfId="1304"/>
    <cellStyle name="Note 2 4 2 3 2" xfId="2596"/>
    <cellStyle name="Note 2 4 2 3 3" xfId="3874"/>
    <cellStyle name="Note 2 4 2 3 4" xfId="5161"/>
    <cellStyle name="Note 2 4 2 4" xfId="1744"/>
    <cellStyle name="Note 2 4 2 5" xfId="3022"/>
    <cellStyle name="Note 2 4 2 6" xfId="4309"/>
    <cellStyle name="Note 2 4 3" xfId="665"/>
    <cellStyle name="Note 2 4 3 2" xfId="1957"/>
    <cellStyle name="Note 2 4 3 3" xfId="3235"/>
    <cellStyle name="Note 2 4 3 4" xfId="4522"/>
    <cellStyle name="Note 2 4 4" xfId="1091"/>
    <cellStyle name="Note 2 4 4 2" xfId="2383"/>
    <cellStyle name="Note 2 4 4 3" xfId="3661"/>
    <cellStyle name="Note 2 4 4 4" xfId="4948"/>
    <cellStyle name="Note 2 4 5" xfId="1531"/>
    <cellStyle name="Note 2 4 6" xfId="2809"/>
    <cellStyle name="Note 2 4 7" xfId="4096"/>
    <cellStyle name="Note 2 4 8" xfId="5321"/>
    <cellStyle name="Note 2 5" xfId="232"/>
    <cellStyle name="Note 2 5 2" xfId="454"/>
    <cellStyle name="Note 2 5 2 2" xfId="879"/>
    <cellStyle name="Note 2 5 2 2 2" xfId="2171"/>
    <cellStyle name="Note 2 5 2 2 3" xfId="3449"/>
    <cellStyle name="Note 2 5 2 2 4" xfId="4736"/>
    <cellStyle name="Note 2 5 2 3" xfId="1305"/>
    <cellStyle name="Note 2 5 2 3 2" xfId="2597"/>
    <cellStyle name="Note 2 5 2 3 3" xfId="3875"/>
    <cellStyle name="Note 2 5 2 3 4" xfId="5162"/>
    <cellStyle name="Note 2 5 2 4" xfId="1745"/>
    <cellStyle name="Note 2 5 2 5" xfId="3023"/>
    <cellStyle name="Note 2 5 2 6" xfId="4310"/>
    <cellStyle name="Note 2 5 3" xfId="666"/>
    <cellStyle name="Note 2 5 3 2" xfId="1958"/>
    <cellStyle name="Note 2 5 3 3" xfId="3236"/>
    <cellStyle name="Note 2 5 3 4" xfId="4523"/>
    <cellStyle name="Note 2 5 4" xfId="1092"/>
    <cellStyle name="Note 2 5 4 2" xfId="2384"/>
    <cellStyle name="Note 2 5 4 3" xfId="3662"/>
    <cellStyle name="Note 2 5 4 4" xfId="4949"/>
    <cellStyle name="Note 2 5 5" xfId="1532"/>
    <cellStyle name="Note 2 5 6" xfId="2810"/>
    <cellStyle name="Note 2 5 7" xfId="4097"/>
    <cellStyle name="Note 2 6" xfId="233"/>
    <cellStyle name="Note 2 6 2" xfId="455"/>
    <cellStyle name="Note 2 6 2 2" xfId="880"/>
    <cellStyle name="Note 2 6 2 2 2" xfId="2172"/>
    <cellStyle name="Note 2 6 2 2 3" xfId="3450"/>
    <cellStyle name="Note 2 6 2 2 4" xfId="4737"/>
    <cellStyle name="Note 2 6 2 3" xfId="1306"/>
    <cellStyle name="Note 2 6 2 3 2" xfId="2598"/>
    <cellStyle name="Note 2 6 2 3 3" xfId="3876"/>
    <cellStyle name="Note 2 6 2 3 4" xfId="5163"/>
    <cellStyle name="Note 2 6 2 4" xfId="1746"/>
    <cellStyle name="Note 2 6 2 5" xfId="3024"/>
    <cellStyle name="Note 2 6 2 6" xfId="4311"/>
    <cellStyle name="Note 2 6 3" xfId="667"/>
    <cellStyle name="Note 2 6 3 2" xfId="1959"/>
    <cellStyle name="Note 2 6 3 3" xfId="3237"/>
    <cellStyle name="Note 2 6 3 4" xfId="4524"/>
    <cellStyle name="Note 2 6 4" xfId="1093"/>
    <cellStyle name="Note 2 6 4 2" xfId="2385"/>
    <cellStyle name="Note 2 6 4 3" xfId="3663"/>
    <cellStyle name="Note 2 6 4 4" xfId="4950"/>
    <cellStyle name="Note 2 6 5" xfId="1533"/>
    <cellStyle name="Note 2 6 6" xfId="2811"/>
    <cellStyle name="Note 2 6 7" xfId="4098"/>
    <cellStyle name="Note 2 7" xfId="268"/>
    <cellStyle name="Note 2 7 2" xfId="481"/>
    <cellStyle name="Note 2 7 2 2" xfId="906"/>
    <cellStyle name="Note 2 7 2 2 2" xfId="2198"/>
    <cellStyle name="Note 2 7 2 2 3" xfId="3476"/>
    <cellStyle name="Note 2 7 2 2 4" xfId="4763"/>
    <cellStyle name="Note 2 7 2 3" xfId="1332"/>
    <cellStyle name="Note 2 7 2 3 2" xfId="2624"/>
    <cellStyle name="Note 2 7 2 3 3" xfId="3902"/>
    <cellStyle name="Note 2 7 2 3 4" xfId="5189"/>
    <cellStyle name="Note 2 7 2 4" xfId="1772"/>
    <cellStyle name="Note 2 7 2 5" xfId="3050"/>
    <cellStyle name="Note 2 7 2 6" xfId="4337"/>
    <cellStyle name="Note 2 7 3" xfId="693"/>
    <cellStyle name="Note 2 7 3 2" xfId="1985"/>
    <cellStyle name="Note 2 7 3 3" xfId="3263"/>
    <cellStyle name="Note 2 7 3 4" xfId="4550"/>
    <cellStyle name="Note 2 7 4" xfId="1119"/>
    <cellStyle name="Note 2 7 4 2" xfId="2411"/>
    <cellStyle name="Note 2 7 4 3" xfId="3689"/>
    <cellStyle name="Note 2 7 4 4" xfId="4976"/>
    <cellStyle name="Note 2 7 5" xfId="1559"/>
    <cellStyle name="Note 2 7 6" xfId="2837"/>
    <cellStyle name="Note 2 7 7" xfId="4124"/>
    <cellStyle name="Note 2 8" xfId="444"/>
    <cellStyle name="Note 2 8 2" xfId="869"/>
    <cellStyle name="Note 2 8 2 2" xfId="2161"/>
    <cellStyle name="Note 2 8 2 3" xfId="3439"/>
    <cellStyle name="Note 2 8 2 4" xfId="4726"/>
    <cellStyle name="Note 2 8 3" xfId="1295"/>
    <cellStyle name="Note 2 8 3 2" xfId="2587"/>
    <cellStyle name="Note 2 8 3 3" xfId="3865"/>
    <cellStyle name="Note 2 8 3 4" xfId="5152"/>
    <cellStyle name="Note 2 8 4" xfId="1735"/>
    <cellStyle name="Note 2 8 5" xfId="3013"/>
    <cellStyle name="Note 2 8 6" xfId="4300"/>
    <cellStyle name="Note 2 9" xfId="656"/>
    <cellStyle name="Note 2 9 2" xfId="1948"/>
    <cellStyle name="Note 2 9 3" xfId="3226"/>
    <cellStyle name="Note 2 9 4" xfId="4513"/>
    <cellStyle name="Note 3" xfId="38"/>
    <cellStyle name="Note 3 10" xfId="1094"/>
    <cellStyle name="Note 3 10 2" xfId="2386"/>
    <cellStyle name="Note 3 10 3" xfId="3664"/>
    <cellStyle name="Note 3 10 4" xfId="4951"/>
    <cellStyle name="Note 3 11" xfId="1534"/>
    <cellStyle name="Note 3 12" xfId="2812"/>
    <cellStyle name="Note 3 13" xfId="4099"/>
    <cellStyle name="Note 3 14" xfId="5322"/>
    <cellStyle name="Note 3 2" xfId="39"/>
    <cellStyle name="Note 3 2 10" xfId="1535"/>
    <cellStyle name="Note 3 2 11" xfId="2813"/>
    <cellStyle name="Note 3 2 12" xfId="4100"/>
    <cellStyle name="Note 3 2 13" xfId="5323"/>
    <cellStyle name="Note 3 2 2" xfId="234"/>
    <cellStyle name="Note 3 2 2 2" xfId="235"/>
    <cellStyle name="Note 3 2 2 2 2" xfId="459"/>
    <cellStyle name="Note 3 2 2 2 2 2" xfId="884"/>
    <cellStyle name="Note 3 2 2 2 2 2 2" xfId="2176"/>
    <cellStyle name="Note 3 2 2 2 2 2 3" xfId="3454"/>
    <cellStyle name="Note 3 2 2 2 2 2 4" xfId="4741"/>
    <cellStyle name="Note 3 2 2 2 2 3" xfId="1310"/>
    <cellStyle name="Note 3 2 2 2 2 3 2" xfId="2602"/>
    <cellStyle name="Note 3 2 2 2 2 3 3" xfId="3880"/>
    <cellStyle name="Note 3 2 2 2 2 3 4" xfId="5167"/>
    <cellStyle name="Note 3 2 2 2 2 4" xfId="1750"/>
    <cellStyle name="Note 3 2 2 2 2 5" xfId="3028"/>
    <cellStyle name="Note 3 2 2 2 2 6" xfId="4315"/>
    <cellStyle name="Note 3 2 2 2 3" xfId="671"/>
    <cellStyle name="Note 3 2 2 2 3 2" xfId="1963"/>
    <cellStyle name="Note 3 2 2 2 3 3" xfId="3241"/>
    <cellStyle name="Note 3 2 2 2 3 4" xfId="4528"/>
    <cellStyle name="Note 3 2 2 2 4" xfId="1097"/>
    <cellStyle name="Note 3 2 2 2 4 2" xfId="2389"/>
    <cellStyle name="Note 3 2 2 2 4 3" xfId="3667"/>
    <cellStyle name="Note 3 2 2 2 4 4" xfId="4954"/>
    <cellStyle name="Note 3 2 2 2 5" xfId="1537"/>
    <cellStyle name="Note 3 2 2 2 6" xfId="2815"/>
    <cellStyle name="Note 3 2 2 2 7" xfId="4102"/>
    <cellStyle name="Note 3 2 2 2 8" xfId="5325"/>
    <cellStyle name="Note 3 2 2 3" xfId="458"/>
    <cellStyle name="Note 3 2 2 3 2" xfId="883"/>
    <cellStyle name="Note 3 2 2 3 2 2" xfId="2175"/>
    <cellStyle name="Note 3 2 2 3 2 3" xfId="3453"/>
    <cellStyle name="Note 3 2 2 3 2 4" xfId="4740"/>
    <cellStyle name="Note 3 2 2 3 3" xfId="1309"/>
    <cellStyle name="Note 3 2 2 3 3 2" xfId="2601"/>
    <cellStyle name="Note 3 2 2 3 3 3" xfId="3879"/>
    <cellStyle name="Note 3 2 2 3 3 4" xfId="5166"/>
    <cellStyle name="Note 3 2 2 3 4" xfId="1749"/>
    <cellStyle name="Note 3 2 2 3 5" xfId="3027"/>
    <cellStyle name="Note 3 2 2 3 6" xfId="4314"/>
    <cellStyle name="Note 3 2 2 4" xfId="670"/>
    <cellStyle name="Note 3 2 2 4 2" xfId="1962"/>
    <cellStyle name="Note 3 2 2 4 3" xfId="3240"/>
    <cellStyle name="Note 3 2 2 4 4" xfId="4527"/>
    <cellStyle name="Note 3 2 2 5" xfId="1096"/>
    <cellStyle name="Note 3 2 2 5 2" xfId="2388"/>
    <cellStyle name="Note 3 2 2 5 3" xfId="3666"/>
    <cellStyle name="Note 3 2 2 5 4" xfId="4953"/>
    <cellStyle name="Note 3 2 2 6" xfId="1536"/>
    <cellStyle name="Note 3 2 2 7" xfId="2814"/>
    <cellStyle name="Note 3 2 2 8" xfId="4101"/>
    <cellStyle name="Note 3 2 2 9" xfId="5324"/>
    <cellStyle name="Note 3 2 3" xfId="236"/>
    <cellStyle name="Note 3 2 3 2" xfId="460"/>
    <cellStyle name="Note 3 2 3 2 2" xfId="885"/>
    <cellStyle name="Note 3 2 3 2 2 2" xfId="2177"/>
    <cellStyle name="Note 3 2 3 2 2 3" xfId="3455"/>
    <cellStyle name="Note 3 2 3 2 2 4" xfId="4742"/>
    <cellStyle name="Note 3 2 3 2 3" xfId="1311"/>
    <cellStyle name="Note 3 2 3 2 3 2" xfId="2603"/>
    <cellStyle name="Note 3 2 3 2 3 3" xfId="3881"/>
    <cellStyle name="Note 3 2 3 2 3 4" xfId="5168"/>
    <cellStyle name="Note 3 2 3 2 4" xfId="1751"/>
    <cellStyle name="Note 3 2 3 2 5" xfId="3029"/>
    <cellStyle name="Note 3 2 3 2 6" xfId="4316"/>
    <cellStyle name="Note 3 2 3 3" xfId="672"/>
    <cellStyle name="Note 3 2 3 3 2" xfId="1964"/>
    <cellStyle name="Note 3 2 3 3 3" xfId="3242"/>
    <cellStyle name="Note 3 2 3 3 4" xfId="4529"/>
    <cellStyle name="Note 3 2 3 4" xfId="1098"/>
    <cellStyle name="Note 3 2 3 4 2" xfId="2390"/>
    <cellStyle name="Note 3 2 3 4 3" xfId="3668"/>
    <cellStyle name="Note 3 2 3 4 4" xfId="4955"/>
    <cellStyle name="Note 3 2 3 5" xfId="1538"/>
    <cellStyle name="Note 3 2 3 6" xfId="2816"/>
    <cellStyle name="Note 3 2 3 7" xfId="4103"/>
    <cellStyle name="Note 3 2 3 8" xfId="5326"/>
    <cellStyle name="Note 3 2 4" xfId="237"/>
    <cellStyle name="Note 3 2 4 2" xfId="461"/>
    <cellStyle name="Note 3 2 4 2 2" xfId="886"/>
    <cellStyle name="Note 3 2 4 2 2 2" xfId="2178"/>
    <cellStyle name="Note 3 2 4 2 2 3" xfId="3456"/>
    <cellStyle name="Note 3 2 4 2 2 4" xfId="4743"/>
    <cellStyle name="Note 3 2 4 2 3" xfId="1312"/>
    <cellStyle name="Note 3 2 4 2 3 2" xfId="2604"/>
    <cellStyle name="Note 3 2 4 2 3 3" xfId="3882"/>
    <cellStyle name="Note 3 2 4 2 3 4" xfId="5169"/>
    <cellStyle name="Note 3 2 4 2 4" xfId="1752"/>
    <cellStyle name="Note 3 2 4 2 5" xfId="3030"/>
    <cellStyle name="Note 3 2 4 2 6" xfId="4317"/>
    <cellStyle name="Note 3 2 4 3" xfId="673"/>
    <cellStyle name="Note 3 2 4 3 2" xfId="1965"/>
    <cellStyle name="Note 3 2 4 3 3" xfId="3243"/>
    <cellStyle name="Note 3 2 4 3 4" xfId="4530"/>
    <cellStyle name="Note 3 2 4 4" xfId="1099"/>
    <cellStyle name="Note 3 2 4 4 2" xfId="2391"/>
    <cellStyle name="Note 3 2 4 4 3" xfId="3669"/>
    <cellStyle name="Note 3 2 4 4 4" xfId="4956"/>
    <cellStyle name="Note 3 2 4 5" xfId="1539"/>
    <cellStyle name="Note 3 2 4 6" xfId="2817"/>
    <cellStyle name="Note 3 2 4 7" xfId="4104"/>
    <cellStyle name="Note 3 2 5" xfId="238"/>
    <cellStyle name="Note 3 2 5 2" xfId="462"/>
    <cellStyle name="Note 3 2 5 2 2" xfId="887"/>
    <cellStyle name="Note 3 2 5 2 2 2" xfId="2179"/>
    <cellStyle name="Note 3 2 5 2 2 3" xfId="3457"/>
    <cellStyle name="Note 3 2 5 2 2 4" xfId="4744"/>
    <cellStyle name="Note 3 2 5 2 3" xfId="1313"/>
    <cellStyle name="Note 3 2 5 2 3 2" xfId="2605"/>
    <cellStyle name="Note 3 2 5 2 3 3" xfId="3883"/>
    <cellStyle name="Note 3 2 5 2 3 4" xfId="5170"/>
    <cellStyle name="Note 3 2 5 2 4" xfId="1753"/>
    <cellStyle name="Note 3 2 5 2 5" xfId="3031"/>
    <cellStyle name="Note 3 2 5 2 6" xfId="4318"/>
    <cellStyle name="Note 3 2 5 3" xfId="674"/>
    <cellStyle name="Note 3 2 5 3 2" xfId="1966"/>
    <cellStyle name="Note 3 2 5 3 3" xfId="3244"/>
    <cellStyle name="Note 3 2 5 3 4" xfId="4531"/>
    <cellStyle name="Note 3 2 5 4" xfId="1100"/>
    <cellStyle name="Note 3 2 5 4 2" xfId="2392"/>
    <cellStyle name="Note 3 2 5 4 3" xfId="3670"/>
    <cellStyle name="Note 3 2 5 4 4" xfId="4957"/>
    <cellStyle name="Note 3 2 5 5" xfId="1540"/>
    <cellStyle name="Note 3 2 5 6" xfId="2818"/>
    <cellStyle name="Note 3 2 5 7" xfId="4105"/>
    <cellStyle name="Note 3 2 6" xfId="284"/>
    <cellStyle name="Note 3 2 6 2" xfId="497"/>
    <cellStyle name="Note 3 2 6 2 2" xfId="922"/>
    <cellStyle name="Note 3 2 6 2 2 2" xfId="2214"/>
    <cellStyle name="Note 3 2 6 2 2 3" xfId="3492"/>
    <cellStyle name="Note 3 2 6 2 2 4" xfId="4779"/>
    <cellStyle name="Note 3 2 6 2 3" xfId="1348"/>
    <cellStyle name="Note 3 2 6 2 3 2" xfId="2640"/>
    <cellStyle name="Note 3 2 6 2 3 3" xfId="3918"/>
    <cellStyle name="Note 3 2 6 2 3 4" xfId="5205"/>
    <cellStyle name="Note 3 2 6 2 4" xfId="1788"/>
    <cellStyle name="Note 3 2 6 2 5" xfId="3066"/>
    <cellStyle name="Note 3 2 6 2 6" xfId="4353"/>
    <cellStyle name="Note 3 2 6 3" xfId="709"/>
    <cellStyle name="Note 3 2 6 3 2" xfId="2001"/>
    <cellStyle name="Note 3 2 6 3 3" xfId="3279"/>
    <cellStyle name="Note 3 2 6 3 4" xfId="4566"/>
    <cellStyle name="Note 3 2 6 4" xfId="1135"/>
    <cellStyle name="Note 3 2 6 4 2" xfId="2427"/>
    <cellStyle name="Note 3 2 6 4 3" xfId="3705"/>
    <cellStyle name="Note 3 2 6 4 4" xfId="4992"/>
    <cellStyle name="Note 3 2 6 5" xfId="1575"/>
    <cellStyle name="Note 3 2 6 6" xfId="2853"/>
    <cellStyle name="Note 3 2 6 7" xfId="4140"/>
    <cellStyle name="Note 3 2 7" xfId="457"/>
    <cellStyle name="Note 3 2 7 2" xfId="882"/>
    <cellStyle name="Note 3 2 7 2 2" xfId="2174"/>
    <cellStyle name="Note 3 2 7 2 3" xfId="3452"/>
    <cellStyle name="Note 3 2 7 2 4" xfId="4739"/>
    <cellStyle name="Note 3 2 7 3" xfId="1308"/>
    <cellStyle name="Note 3 2 7 3 2" xfId="2600"/>
    <cellStyle name="Note 3 2 7 3 3" xfId="3878"/>
    <cellStyle name="Note 3 2 7 3 4" xfId="5165"/>
    <cellStyle name="Note 3 2 7 4" xfId="1748"/>
    <cellStyle name="Note 3 2 7 5" xfId="3026"/>
    <cellStyle name="Note 3 2 7 6" xfId="4313"/>
    <cellStyle name="Note 3 2 8" xfId="669"/>
    <cellStyle name="Note 3 2 8 2" xfId="1961"/>
    <cellStyle name="Note 3 2 8 3" xfId="3239"/>
    <cellStyle name="Note 3 2 8 4" xfId="4526"/>
    <cellStyle name="Note 3 2 9" xfId="1095"/>
    <cellStyle name="Note 3 2 9 2" xfId="2387"/>
    <cellStyle name="Note 3 2 9 3" xfId="3665"/>
    <cellStyle name="Note 3 2 9 4" xfId="4952"/>
    <cellStyle name="Note 3 3" xfId="239"/>
    <cellStyle name="Note 3 3 2" xfId="240"/>
    <cellStyle name="Note 3 3 2 2" xfId="464"/>
    <cellStyle name="Note 3 3 2 2 2" xfId="889"/>
    <cellStyle name="Note 3 3 2 2 2 2" xfId="2181"/>
    <cellStyle name="Note 3 3 2 2 2 3" xfId="3459"/>
    <cellStyle name="Note 3 3 2 2 2 4" xfId="4746"/>
    <cellStyle name="Note 3 3 2 2 3" xfId="1315"/>
    <cellStyle name="Note 3 3 2 2 3 2" xfId="2607"/>
    <cellStyle name="Note 3 3 2 2 3 3" xfId="3885"/>
    <cellStyle name="Note 3 3 2 2 3 4" xfId="5172"/>
    <cellStyle name="Note 3 3 2 2 4" xfId="1755"/>
    <cellStyle name="Note 3 3 2 2 5" xfId="3033"/>
    <cellStyle name="Note 3 3 2 2 6" xfId="4320"/>
    <cellStyle name="Note 3 3 2 3" xfId="676"/>
    <cellStyle name="Note 3 3 2 3 2" xfId="1968"/>
    <cellStyle name="Note 3 3 2 3 3" xfId="3246"/>
    <cellStyle name="Note 3 3 2 3 4" xfId="4533"/>
    <cellStyle name="Note 3 3 2 4" xfId="1102"/>
    <cellStyle name="Note 3 3 2 4 2" xfId="2394"/>
    <cellStyle name="Note 3 3 2 4 3" xfId="3672"/>
    <cellStyle name="Note 3 3 2 4 4" xfId="4959"/>
    <cellStyle name="Note 3 3 2 5" xfId="1542"/>
    <cellStyle name="Note 3 3 2 6" xfId="2820"/>
    <cellStyle name="Note 3 3 2 7" xfId="4107"/>
    <cellStyle name="Note 3 3 2 8" xfId="5328"/>
    <cellStyle name="Note 3 3 3" xfId="463"/>
    <cellStyle name="Note 3 3 3 2" xfId="888"/>
    <cellStyle name="Note 3 3 3 2 2" xfId="2180"/>
    <cellStyle name="Note 3 3 3 2 3" xfId="3458"/>
    <cellStyle name="Note 3 3 3 2 4" xfId="4745"/>
    <cellStyle name="Note 3 3 3 3" xfId="1314"/>
    <cellStyle name="Note 3 3 3 3 2" xfId="2606"/>
    <cellStyle name="Note 3 3 3 3 3" xfId="3884"/>
    <cellStyle name="Note 3 3 3 3 4" xfId="5171"/>
    <cellStyle name="Note 3 3 3 4" xfId="1754"/>
    <cellStyle name="Note 3 3 3 5" xfId="3032"/>
    <cellStyle name="Note 3 3 3 6" xfId="4319"/>
    <cellStyle name="Note 3 3 4" xfId="675"/>
    <cellStyle name="Note 3 3 4 2" xfId="1967"/>
    <cellStyle name="Note 3 3 4 3" xfId="3245"/>
    <cellStyle name="Note 3 3 4 4" xfId="4532"/>
    <cellStyle name="Note 3 3 5" xfId="1101"/>
    <cellStyle name="Note 3 3 5 2" xfId="2393"/>
    <cellStyle name="Note 3 3 5 3" xfId="3671"/>
    <cellStyle name="Note 3 3 5 4" xfId="4958"/>
    <cellStyle name="Note 3 3 6" xfId="1541"/>
    <cellStyle name="Note 3 3 7" xfId="2819"/>
    <cellStyle name="Note 3 3 8" xfId="4106"/>
    <cellStyle name="Note 3 3 9" xfId="5327"/>
    <cellStyle name="Note 3 4" xfId="241"/>
    <cellStyle name="Note 3 4 2" xfId="465"/>
    <cellStyle name="Note 3 4 2 2" xfId="890"/>
    <cellStyle name="Note 3 4 2 2 2" xfId="2182"/>
    <cellStyle name="Note 3 4 2 2 3" xfId="3460"/>
    <cellStyle name="Note 3 4 2 2 4" xfId="4747"/>
    <cellStyle name="Note 3 4 2 3" xfId="1316"/>
    <cellStyle name="Note 3 4 2 3 2" xfId="2608"/>
    <cellStyle name="Note 3 4 2 3 3" xfId="3886"/>
    <cellStyle name="Note 3 4 2 3 4" xfId="5173"/>
    <cellStyle name="Note 3 4 2 4" xfId="1756"/>
    <cellStyle name="Note 3 4 2 5" xfId="3034"/>
    <cellStyle name="Note 3 4 2 6" xfId="4321"/>
    <cellStyle name="Note 3 4 3" xfId="677"/>
    <cellStyle name="Note 3 4 3 2" xfId="1969"/>
    <cellStyle name="Note 3 4 3 3" xfId="3247"/>
    <cellStyle name="Note 3 4 3 4" xfId="4534"/>
    <cellStyle name="Note 3 4 4" xfId="1103"/>
    <cellStyle name="Note 3 4 4 2" xfId="2395"/>
    <cellStyle name="Note 3 4 4 3" xfId="3673"/>
    <cellStyle name="Note 3 4 4 4" xfId="4960"/>
    <cellStyle name="Note 3 4 5" xfId="1543"/>
    <cellStyle name="Note 3 4 6" xfId="2821"/>
    <cellStyle name="Note 3 4 7" xfId="4108"/>
    <cellStyle name="Note 3 4 8" xfId="5329"/>
    <cellStyle name="Note 3 5" xfId="242"/>
    <cellStyle name="Note 3 5 2" xfId="466"/>
    <cellStyle name="Note 3 5 2 2" xfId="891"/>
    <cellStyle name="Note 3 5 2 2 2" xfId="2183"/>
    <cellStyle name="Note 3 5 2 2 3" xfId="3461"/>
    <cellStyle name="Note 3 5 2 2 4" xfId="4748"/>
    <cellStyle name="Note 3 5 2 3" xfId="1317"/>
    <cellStyle name="Note 3 5 2 3 2" xfId="2609"/>
    <cellStyle name="Note 3 5 2 3 3" xfId="3887"/>
    <cellStyle name="Note 3 5 2 3 4" xfId="5174"/>
    <cellStyle name="Note 3 5 2 4" xfId="1757"/>
    <cellStyle name="Note 3 5 2 5" xfId="3035"/>
    <cellStyle name="Note 3 5 2 6" xfId="4322"/>
    <cellStyle name="Note 3 5 3" xfId="678"/>
    <cellStyle name="Note 3 5 3 2" xfId="1970"/>
    <cellStyle name="Note 3 5 3 3" xfId="3248"/>
    <cellStyle name="Note 3 5 3 4" xfId="4535"/>
    <cellStyle name="Note 3 5 4" xfId="1104"/>
    <cellStyle name="Note 3 5 4 2" xfId="2396"/>
    <cellStyle name="Note 3 5 4 3" xfId="3674"/>
    <cellStyle name="Note 3 5 4 4" xfId="4961"/>
    <cellStyle name="Note 3 5 5" xfId="1544"/>
    <cellStyle name="Note 3 5 6" xfId="2822"/>
    <cellStyle name="Note 3 5 7" xfId="4109"/>
    <cellStyle name="Note 3 6" xfId="243"/>
    <cellStyle name="Note 3 6 2" xfId="467"/>
    <cellStyle name="Note 3 6 2 2" xfId="892"/>
    <cellStyle name="Note 3 6 2 2 2" xfId="2184"/>
    <cellStyle name="Note 3 6 2 2 3" xfId="3462"/>
    <cellStyle name="Note 3 6 2 2 4" xfId="4749"/>
    <cellStyle name="Note 3 6 2 3" xfId="1318"/>
    <cellStyle name="Note 3 6 2 3 2" xfId="2610"/>
    <cellStyle name="Note 3 6 2 3 3" xfId="3888"/>
    <cellStyle name="Note 3 6 2 3 4" xfId="5175"/>
    <cellStyle name="Note 3 6 2 4" xfId="1758"/>
    <cellStyle name="Note 3 6 2 5" xfId="3036"/>
    <cellStyle name="Note 3 6 2 6" xfId="4323"/>
    <cellStyle name="Note 3 6 3" xfId="679"/>
    <cellStyle name="Note 3 6 3 2" xfId="1971"/>
    <cellStyle name="Note 3 6 3 3" xfId="3249"/>
    <cellStyle name="Note 3 6 3 4" xfId="4536"/>
    <cellStyle name="Note 3 6 4" xfId="1105"/>
    <cellStyle name="Note 3 6 4 2" xfId="2397"/>
    <cellStyle name="Note 3 6 4 3" xfId="3675"/>
    <cellStyle name="Note 3 6 4 4" xfId="4962"/>
    <cellStyle name="Note 3 6 5" xfId="1545"/>
    <cellStyle name="Note 3 6 6" xfId="2823"/>
    <cellStyle name="Note 3 6 7" xfId="4110"/>
    <cellStyle name="Note 3 7" xfId="269"/>
    <cellStyle name="Note 3 7 2" xfId="482"/>
    <cellStyle name="Note 3 7 2 2" xfId="907"/>
    <cellStyle name="Note 3 7 2 2 2" xfId="2199"/>
    <cellStyle name="Note 3 7 2 2 3" xfId="3477"/>
    <cellStyle name="Note 3 7 2 2 4" xfId="4764"/>
    <cellStyle name="Note 3 7 2 3" xfId="1333"/>
    <cellStyle name="Note 3 7 2 3 2" xfId="2625"/>
    <cellStyle name="Note 3 7 2 3 3" xfId="3903"/>
    <cellStyle name="Note 3 7 2 3 4" xfId="5190"/>
    <cellStyle name="Note 3 7 2 4" xfId="1773"/>
    <cellStyle name="Note 3 7 2 5" xfId="3051"/>
    <cellStyle name="Note 3 7 2 6" xfId="4338"/>
    <cellStyle name="Note 3 7 3" xfId="694"/>
    <cellStyle name="Note 3 7 3 2" xfId="1986"/>
    <cellStyle name="Note 3 7 3 3" xfId="3264"/>
    <cellStyle name="Note 3 7 3 4" xfId="4551"/>
    <cellStyle name="Note 3 7 4" xfId="1120"/>
    <cellStyle name="Note 3 7 4 2" xfId="2412"/>
    <cellStyle name="Note 3 7 4 3" xfId="3690"/>
    <cellStyle name="Note 3 7 4 4" xfId="4977"/>
    <cellStyle name="Note 3 7 5" xfId="1560"/>
    <cellStyle name="Note 3 7 6" xfId="2838"/>
    <cellStyle name="Note 3 7 7" xfId="4125"/>
    <cellStyle name="Note 3 8" xfId="456"/>
    <cellStyle name="Note 3 8 2" xfId="881"/>
    <cellStyle name="Note 3 8 2 2" xfId="2173"/>
    <cellStyle name="Note 3 8 2 3" xfId="3451"/>
    <cellStyle name="Note 3 8 2 4" xfId="4738"/>
    <cellStyle name="Note 3 8 3" xfId="1307"/>
    <cellStyle name="Note 3 8 3 2" xfId="2599"/>
    <cellStyle name="Note 3 8 3 3" xfId="3877"/>
    <cellStyle name="Note 3 8 3 4" xfId="5164"/>
    <cellStyle name="Note 3 8 4" xfId="1747"/>
    <cellStyle name="Note 3 8 5" xfId="3025"/>
    <cellStyle name="Note 3 8 6" xfId="4312"/>
    <cellStyle name="Note 3 9" xfId="668"/>
    <cellStyle name="Note 3 9 2" xfId="1960"/>
    <cellStyle name="Note 3 9 3" xfId="3238"/>
    <cellStyle name="Note 3 9 4" xfId="4525"/>
    <cellStyle name="Output" xfId="3" builtinId="21" customBuiltin="1"/>
    <cellStyle name="Percent" xfId="2" builtinId="5"/>
    <cellStyle name="Percent 2" xfId="40"/>
    <cellStyle name="Percent 2 2" xfId="250"/>
    <cellStyle name="Percent 2 2 2" xfId="5330"/>
    <cellStyle name="Percent 3" xfId="244"/>
    <cellStyle name="Percent 3 2" xfId="1358"/>
    <cellStyle name="Percent 3 2 2" xfId="5331"/>
    <cellStyle name="Percent 4" xfId="245"/>
    <cellStyle name="Percent 4 2" xfId="1354"/>
    <cellStyle name="Percent 4 2 2" xfId="5332"/>
    <cellStyle name="Title" xfId="43" builtinId="15" customBuiltin="1"/>
    <cellStyle name="Total" xfId="57" builtinId="25" customBuiltin="1"/>
    <cellStyle name="Warning Text" xfId="55" builtinId="11" customBuiltin="1"/>
  </cellStyles>
  <dxfs count="56">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b/>
        <i val="0"/>
        <color rgb="FF191970"/>
      </font>
      <fill>
        <patternFill>
          <bgColor rgb="FFFFDEAD"/>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E1FF"/>
      <color rgb="FFFD8BF5"/>
      <color rgb="FFFFFFCC"/>
      <color rgb="FFFFCCFF"/>
      <color rgb="FF66FF33"/>
      <color rgb="FF00FF00"/>
      <color rgb="FF0000FF"/>
      <color rgb="FFCC0099"/>
      <color rgb="FFE9F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762000</xdr:colOff>
      <xdr:row>55</xdr:row>
      <xdr:rowOff>140494</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068050"/>
          <a:ext cx="762000" cy="1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0</xdr:rowOff>
    </xdr:from>
    <xdr:to>
      <xdr:col>14</xdr:col>
      <xdr:colOff>1</xdr:colOff>
      <xdr:row>17</xdr:row>
      <xdr:rowOff>171450</xdr:rowOff>
    </xdr:to>
    <xdr:sp macro="" textlink="">
      <xdr:nvSpPr>
        <xdr:cNvPr id="2" name="TextBox 1" title="GL 810 Guidance">
          <a:extLst>
            <a:ext uri="{FF2B5EF4-FFF2-40B4-BE49-F238E27FC236}">
              <a16:creationId xmlns:a16="http://schemas.microsoft.com/office/drawing/2014/main" id="{00000000-0008-0000-0400-000002000000}"/>
            </a:ext>
          </a:extLst>
        </xdr:cNvPr>
        <xdr:cNvSpPr txBox="1"/>
      </xdr:nvSpPr>
      <xdr:spPr>
        <a:xfrm>
          <a:off x="9525001" y="0"/>
          <a:ext cx="365760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810 Restricted for Other Items </a:t>
          </a:r>
        </a:p>
        <a:p>
          <a:pPr algn="l"/>
          <a:r>
            <a:rPr lang="en-US" sz="1100" b="0" i="0"/>
            <a:t>This account is used for recording</a:t>
          </a:r>
          <a:r>
            <a:rPr lang="en-US" sz="1100" b="0" i="0" baseline="0"/>
            <a:t> restrictions on spendable fund balance for amounts that have not been recorded in other accounts.</a:t>
          </a:r>
        </a:p>
        <a:p>
          <a:pPr algn="l"/>
          <a:endParaRPr lang="en-US" sz="1100" b="0" i="0" baseline="0"/>
        </a:p>
        <a:p>
          <a:pPr algn="l"/>
          <a:r>
            <a:rPr lang="en-US" sz="1100" b="1" i="0" baseline="0"/>
            <a:t>Beginning in 2011-2012: </a:t>
          </a:r>
          <a:r>
            <a:rPr lang="en-US" sz="1100" b="0" i="0" baseline="0"/>
            <a:t>Record amounts from the ASB Fund and the Debt Service Fund that are neither Nonspendable or recorded in a separate Restricted account. The fund balance for these funds should be reported in this GL  beginning  in 2011-2012. Districts are encouraged to use this GL for their Transportation Vehicle Fund balance as well.</a:t>
          </a:r>
          <a:endParaRPr lang="en-US" sz="1100" b="1" i="0" baseline="0"/>
        </a:p>
        <a:p>
          <a:pPr algn="l"/>
          <a:endParaRPr lang="en-US" sz="1100" b="0" i="0" baseline="0"/>
        </a:p>
        <a:p>
          <a:pPr algn="ctr"/>
          <a:r>
            <a:rPr lang="en-US" sz="1100" b="0" i="1" baseline="0"/>
            <a:t>Instructions for this sheet</a:t>
          </a:r>
        </a:p>
        <a:p>
          <a:pPr algn="l"/>
          <a:r>
            <a:rPr lang="en-US" sz="1100" b="0" i="0" baseline="0"/>
            <a:t>Space is provided for a number of restrictions on fund balance use. Restrictions come from outside of the district (Legislature, creditors, etc.). Each fund has its own column. Enter a description and enter the amount in the appropriate column.</a:t>
          </a:r>
          <a:endParaRPr lang="en-US" sz="1100" b="0" i="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0</xdr:rowOff>
    </xdr:from>
    <xdr:to>
      <xdr:col>14</xdr:col>
      <xdr:colOff>0</xdr:colOff>
      <xdr:row>18</xdr:row>
      <xdr:rowOff>0</xdr:rowOff>
    </xdr:to>
    <xdr:sp macro="" textlink="">
      <xdr:nvSpPr>
        <xdr:cNvPr id="2" name="TextBox 1" title="GL 815 Guidance">
          <a:extLst>
            <a:ext uri="{FF2B5EF4-FFF2-40B4-BE49-F238E27FC236}">
              <a16:creationId xmlns:a16="http://schemas.microsoft.com/office/drawing/2014/main" id="{00000000-0008-0000-0500-000002000000}"/>
            </a:ext>
          </a:extLst>
        </xdr:cNvPr>
        <xdr:cNvSpPr txBox="1"/>
      </xdr:nvSpPr>
      <xdr:spPr>
        <a:xfrm>
          <a:off x="6362700" y="0"/>
          <a:ext cx="4876800"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a:t>
          </a:r>
          <a:r>
            <a:rPr lang="en-US" sz="1100" b="1" i="1" baseline="0"/>
            <a:t> 815 Restricted for Unequalized Deductible Revenues </a:t>
          </a:r>
        </a:p>
        <a:p>
          <a:r>
            <a:rPr lang="en-US" sz="1100" b="0" i="0" baseline="0"/>
            <a:t>This account is provided as a means for restricting fund balance for future recovery of deductible revenues. Refer to Chapter 2 for more information on deductible revenues. Cash basis districts make a restriction of fund balance for recoverable revenue at the time the revenue is received for reversal at the time the revenue is recovered. This account would be used for the following funding streams: 1400 Local in Lieu of Taxes, </a:t>
          </a:r>
          <a:r>
            <a:rPr lang="en-US" sz="1100" b="0" i="0" strike="sngStrike" baseline="0"/>
            <a:t>1600 County-Administered Forests, 3600 State Forests,</a:t>
          </a:r>
          <a:r>
            <a:rPr lang="en-US" sz="1100" b="0" i="0" baseline="0"/>
            <a:t> 5400 Federal in Lieu of Taxes. These General Fund revenues of the school district reduce the state payment to the district in Revenue 3100 Apportionment.</a:t>
          </a:r>
        </a:p>
        <a:p>
          <a:endParaRPr lang="en-US" sz="1100" b="0" i="0" baseline="0"/>
        </a:p>
        <a:p>
          <a:pPr algn="ctr"/>
          <a:r>
            <a:rPr lang="en-US" sz="1100" b="0" i="1" baseline="0"/>
            <a:t>Instructions for this sheet</a:t>
          </a:r>
        </a:p>
        <a:p>
          <a:pPr algn="l"/>
          <a:r>
            <a:rPr lang="en-US" sz="1100" b="0" i="0" baseline="0"/>
            <a:t>In the yellow cells, enter the amounts for prior year beginning balance, then deductible revenues reduced in the fiscal year (these are the prior year amounts that should have been reduced in the current year). </a:t>
          </a:r>
        </a:p>
        <a:p>
          <a:pPr algn="l"/>
          <a:endParaRPr lang="en-US" sz="1100" b="0" i="0" baseline="0"/>
        </a:p>
        <a:p>
          <a:pPr algn="l"/>
          <a:r>
            <a:rPr lang="en-US" sz="1100" b="0" i="0" baseline="0"/>
            <a:t>Next, enter any deductible revenues that have been received but not yet equalized against the district's General Apportionment payment. These amounts will be equalized in the coming year.</a:t>
          </a:r>
          <a:endParaRPr lang="en-US" sz="1100" b="0" i="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123825</xdr:rowOff>
    </xdr:from>
    <xdr:to>
      <xdr:col>13</xdr:col>
      <xdr:colOff>428625</xdr:colOff>
      <xdr:row>18</xdr:row>
      <xdr:rowOff>28575</xdr:rowOff>
    </xdr:to>
    <xdr:sp macro="" textlink="">
      <xdr:nvSpPr>
        <xdr:cNvPr id="2" name="TextBox 1" title="GL 819 Guidance">
          <a:extLst>
            <a:ext uri="{FF2B5EF4-FFF2-40B4-BE49-F238E27FC236}">
              <a16:creationId xmlns:a16="http://schemas.microsoft.com/office/drawing/2014/main" id="{00000000-0008-0000-0600-000002000000}"/>
            </a:ext>
          </a:extLst>
        </xdr:cNvPr>
        <xdr:cNvSpPr txBox="1"/>
      </xdr:nvSpPr>
      <xdr:spPr>
        <a:xfrm>
          <a:off x="228600" y="123825"/>
          <a:ext cx="8124825"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819 Restricted for Fund Purposes</a:t>
          </a:r>
          <a:endParaRPr lang="en-US" sz="1100" b="1" i="1" baseline="0"/>
        </a:p>
        <a:p>
          <a:pPr algn="ctr"/>
          <a:r>
            <a:rPr lang="en-US" sz="1100" b="1" i="1" baseline="0"/>
            <a:t>ASB, TVF</a:t>
          </a:r>
        </a:p>
        <a:p>
          <a:pPr algn="l"/>
          <a:r>
            <a:rPr lang="en-US" sz="1100" b="0" i="0" baseline="0"/>
            <a:t>This account is used to record the ending fund balance in governmental funds relating to resources that are restricted by enabling legislation, legal requirements, or other enforceable claims. Amounts in this account are  restricted to being used only for the purposes of the fund they are in.</a:t>
          </a:r>
        </a:p>
        <a:p>
          <a:pPr algn="l"/>
          <a:endParaRPr lang="en-US" sz="1100" b="0" i="0" baseline="0"/>
        </a:p>
        <a:p>
          <a:pPr algn="l"/>
          <a:r>
            <a:rPr lang="en-US" sz="1100" b="0" i="0" baseline="0"/>
            <a:t>The amount in this account is equal to the fund's assets less liabilities, less amounts that are Nonspendable or otherwise Restricted. If this account would be negative, record the amount in GL 890 Unassigned Fund Balance instead.</a:t>
          </a:r>
        </a:p>
        <a:p>
          <a:pPr algn="l"/>
          <a:endParaRPr lang="en-US" sz="1100" b="0" i="0" baseline="0"/>
        </a:p>
        <a:p>
          <a:pPr algn="ctr"/>
          <a:r>
            <a:rPr lang="en-US" sz="1100" b="0" i="1" baseline="0"/>
            <a:t>Instructions for this Sheet</a:t>
          </a:r>
        </a:p>
        <a:p>
          <a:pPr algn="l"/>
          <a:r>
            <a:rPr lang="en-US" sz="1100" b="0" i="0" baseline="0"/>
            <a:t>This is a residual account for the ASB Fund and Transportation Vehicle Fund. No entry is necessary for this sheet.</a:t>
          </a:r>
          <a:endParaRPr lang="en-US" sz="1100" b="0" i="0"/>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9524</xdr:colOff>
      <xdr:row>0</xdr:row>
      <xdr:rowOff>0</xdr:rowOff>
    </xdr:from>
    <xdr:to>
      <xdr:col>13</xdr:col>
      <xdr:colOff>609599</xdr:colOff>
      <xdr:row>24</xdr:row>
      <xdr:rowOff>66675</xdr:rowOff>
    </xdr:to>
    <xdr:sp macro="" textlink="">
      <xdr:nvSpPr>
        <xdr:cNvPr id="2" name="TextBox 1" title="GL 821 Guidance">
          <a:extLst>
            <a:ext uri="{FF2B5EF4-FFF2-40B4-BE49-F238E27FC236}">
              <a16:creationId xmlns:a16="http://schemas.microsoft.com/office/drawing/2014/main" id="{00000000-0008-0000-0800-000002000000}"/>
            </a:ext>
          </a:extLst>
        </xdr:cNvPr>
        <xdr:cNvSpPr txBox="1"/>
      </xdr:nvSpPr>
      <xdr:spPr>
        <a:xfrm>
          <a:off x="10106024" y="0"/>
          <a:ext cx="5286375" cy="475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a:t>
          </a:r>
          <a:r>
            <a:rPr lang="en-US" sz="1100" b="1" i="1" u="none" baseline="0"/>
            <a:t> 821 Restricted for Carryover of Restricted Revenue</a:t>
          </a:r>
        </a:p>
        <a:p>
          <a:r>
            <a:rPr lang="en-US" sz="1100" b="0" i="0" u="none"/>
            <a:t>This account is</a:t>
          </a:r>
          <a:r>
            <a:rPr lang="en-US" sz="1100" b="0" i="0" u="none" baseline="0"/>
            <a:t> provided as a means for accumulating and restricting fund balance for future uses. All districts must identify a restriction of fund balance at year-end for amounts determined to be unspent carryover funds with restricted used. This would include the following state funding streams: Learning Assistance Program, Transitional Bilingual, Highly Capable, Student Transportation, State Institutions, Special Education, Fire District, Vocational Funds, and other such unspent funds as may be subject to carryover.</a:t>
          </a:r>
        </a:p>
        <a:p>
          <a:endParaRPr lang="en-US" sz="1100" b="0" i="0" u="none" baseline="0"/>
        </a:p>
        <a:p>
          <a:pPr algn="ctr"/>
          <a:r>
            <a:rPr lang="en-US" sz="1100" b="0" i="1" u="none" baseline="0"/>
            <a:t>Instructions for this sheet</a:t>
          </a:r>
        </a:p>
        <a:p>
          <a:pPr algn="l"/>
          <a:r>
            <a:rPr lang="en-US" sz="1100" b="0" i="0" u="none" baseline="0"/>
            <a:t>The CCDDD reference in cell F1 is linked to the summary sheet and should not be changed.</a:t>
          </a:r>
        </a:p>
        <a:p>
          <a:pPr algn="l"/>
          <a:endParaRPr lang="en-US" sz="1100" b="0" i="0" u="none" baseline="0"/>
        </a:p>
        <a:p>
          <a:pPr algn="l"/>
          <a:r>
            <a:rPr lang="en-US" sz="1100" b="0" i="0" u="none" baseline="0"/>
            <a:t>This sheet is based on Melissa Jarmon's Estimated Recovery sheet. Allocations are as of August 2020. This sheet is intended to provide a reasonable estimate of carryover/recovery amounts. </a:t>
          </a:r>
          <a:r>
            <a:rPr lang="en-US" sz="1100" b="0" i="1" u="sng" baseline="0"/>
            <a:t>Final recovery/carryover calculations will be performed in January, and amounts may differ from the amounts shown here. </a:t>
          </a:r>
          <a:r>
            <a:rPr lang="en-US" sz="1100" b="0" i="0" u="none" baseline="0"/>
            <a:t>If there is a discrepancy between this sheet and </a:t>
          </a:r>
          <a:r>
            <a:rPr lang="en-US" sz="1100" b="0" i="0" baseline="0">
              <a:solidFill>
                <a:schemeClr val="dk1"/>
              </a:solidFill>
              <a:effectLst/>
              <a:latin typeface="+mn-lt"/>
              <a:ea typeface="+mn-ea"/>
              <a:cs typeface="+mn-cs"/>
            </a:rPr>
            <a:t>Melissa Jarmon's </a:t>
          </a:r>
          <a:r>
            <a:rPr lang="en-US" sz="1100" b="0" i="0" u="none" baseline="0"/>
            <a:t>Estimated Recovery Sheet, use the amount from Melissa </a:t>
          </a:r>
          <a:r>
            <a:rPr lang="en-US" sz="1100" b="0" i="0" baseline="0">
              <a:solidFill>
                <a:schemeClr val="dk1"/>
              </a:solidFill>
              <a:effectLst/>
              <a:latin typeface="+mn-lt"/>
              <a:ea typeface="+mn-ea"/>
              <a:cs typeface="+mn-cs"/>
            </a:rPr>
            <a:t>Jarmon's</a:t>
          </a:r>
          <a:r>
            <a:rPr lang="en-US" sz="1100" b="0" i="0" u="none" baseline="0"/>
            <a:t> sheet.</a:t>
          </a:r>
          <a:endParaRPr lang="en-US" sz="1100" b="0" i="1" u="sng" baseline="0"/>
        </a:p>
        <a:p>
          <a:pPr algn="l"/>
          <a:endParaRPr lang="en-US" sz="1100" b="0" i="0" u="none" baseline="0"/>
        </a:p>
        <a:p>
          <a:pPr algn="l"/>
          <a:r>
            <a:rPr lang="en-US" sz="1100" b="0" i="0" u="none" baseline="0"/>
            <a:t>Most of this sheet will auto-populate. </a:t>
          </a:r>
          <a:r>
            <a:rPr lang="en-US" sz="1100" b="1" i="0" u="none" baseline="0"/>
            <a:t>Enter missing information,</a:t>
          </a:r>
          <a:r>
            <a:rPr lang="en-US" sz="1100" b="0" i="0" u="none" baseline="0"/>
            <a:t> as appropriate, into the </a:t>
          </a:r>
          <a:r>
            <a:rPr lang="en-US" sz="1100" b="1" i="0" u="none" baseline="0">
              <a:solidFill>
                <a:sysClr val="windowText" lastClr="000000"/>
              </a:solidFill>
            </a:rPr>
            <a:t>yellow cells</a:t>
          </a:r>
          <a:r>
            <a:rPr lang="en-US" sz="1100" b="0" i="0" u="none" baseline="0"/>
            <a:t>.</a:t>
          </a:r>
        </a:p>
        <a:p>
          <a:pPr algn="l"/>
          <a:endParaRPr lang="en-US" sz="1100" b="0" i="0" u="none" baseline="0"/>
        </a:p>
        <a:p>
          <a:pPr algn="l"/>
          <a:r>
            <a:rPr lang="en-US" sz="1100" b="0" i="0" u="none" baseline="0"/>
            <a:t>If the district is a cash-basis district, recovery amounts are calculated and should be included in the balance of GL 821. For accrual-basis districts, recovery amounts should be accrued as a liability (GL 630 Due to Other Governmental Units).</a:t>
          </a:r>
          <a:endParaRPr lang="en-US" sz="1100" b="0" i="0" u="non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190499</xdr:rowOff>
    </xdr:from>
    <xdr:to>
      <xdr:col>15</xdr:col>
      <xdr:colOff>466725</xdr:colOff>
      <xdr:row>32</xdr:row>
      <xdr:rowOff>85724</xdr:rowOff>
    </xdr:to>
    <xdr:pic>
      <xdr:nvPicPr>
        <xdr:cNvPr id="4" name="Picture 3" title="GL 825 Guidanc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850" y="380999"/>
          <a:ext cx="5953125" cy="5857875"/>
        </a:xfrm>
        <a:prstGeom prst="rect">
          <a:avLst/>
        </a:prstGeom>
        <a:solidFill>
          <a:schemeClr val="bg1"/>
        </a:solidFill>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29</xdr:col>
      <xdr:colOff>0</xdr:colOff>
      <xdr:row>1</xdr:row>
      <xdr:rowOff>0</xdr:rowOff>
    </xdr:from>
    <xdr:to>
      <xdr:col>38</xdr:col>
      <xdr:colOff>466725</xdr:colOff>
      <xdr:row>33</xdr:row>
      <xdr:rowOff>66675</xdr:rowOff>
    </xdr:to>
    <xdr:pic>
      <xdr:nvPicPr>
        <xdr:cNvPr id="3" name="Picture 2" title="GL 828 Guidanc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88650" y="190500"/>
          <a:ext cx="5953125" cy="6477000"/>
        </a:xfrm>
        <a:prstGeom prst="rect">
          <a:avLst/>
        </a:prstGeom>
        <a:solidFill>
          <a:schemeClr val="bg1"/>
        </a:solidFill>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600075</xdr:colOff>
      <xdr:row>0</xdr:row>
      <xdr:rowOff>0</xdr:rowOff>
    </xdr:from>
    <xdr:to>
      <xdr:col>14</xdr:col>
      <xdr:colOff>0</xdr:colOff>
      <xdr:row>18</xdr:row>
      <xdr:rowOff>123825</xdr:rowOff>
    </xdr:to>
    <xdr:sp macro="" textlink="">
      <xdr:nvSpPr>
        <xdr:cNvPr id="2" name="TextBox 1" title="gl 830 guidance">
          <a:extLst>
            <a:ext uri="{FF2B5EF4-FFF2-40B4-BE49-F238E27FC236}">
              <a16:creationId xmlns:a16="http://schemas.microsoft.com/office/drawing/2014/main" id="{00000000-0008-0000-0E00-000002000000}"/>
            </a:ext>
          </a:extLst>
        </xdr:cNvPr>
        <xdr:cNvSpPr txBox="1"/>
      </xdr:nvSpPr>
      <xdr:spPr>
        <a:xfrm>
          <a:off x="6743700" y="0"/>
          <a:ext cx="3667125" cy="355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830 Restricted for Debt Service</a:t>
          </a:r>
          <a:r>
            <a:rPr lang="en-US" sz="1100" b="1" i="1" baseline="0"/>
            <a:t> </a:t>
          </a:r>
        </a:p>
        <a:p>
          <a:r>
            <a:rPr lang="en-US" sz="1100" b="0" i="0" baseline="0"/>
            <a:t>This account provides the means for accumulating and restricting fund balance for the future payment of contractual obligations incurred and carried in the Schedule of Long-Term Debt. The balance of this account represents a restriction of both fund cash and fund balance.</a:t>
          </a:r>
        </a:p>
        <a:p>
          <a:endParaRPr lang="en-US" sz="1100" b="0" i="0" baseline="0"/>
        </a:p>
        <a:p>
          <a:pPr algn="ctr"/>
          <a:r>
            <a:rPr lang="en-US" sz="1100" b="0" i="1" baseline="0"/>
            <a:t>Instructions for this sheet</a:t>
          </a:r>
        </a:p>
        <a:p>
          <a:pPr algn="l"/>
          <a:r>
            <a:rPr lang="en-US" sz="1100" b="0" i="0" baseline="0"/>
            <a:t>Space is provided in rows 7-26 for any amounts that are being restricted for debt service payments in funds other than the Debt Service Fund. The extra space is provided in the event of multiple restrictions that the district wants to track separately.</a:t>
          </a:r>
        </a:p>
        <a:p>
          <a:pPr algn="l"/>
          <a:endParaRPr lang="en-US" sz="1100" b="0" i="0" baseline="0"/>
        </a:p>
        <a:p>
          <a:pPr algn="l"/>
          <a:r>
            <a:rPr lang="en-US" sz="1100" b="0" i="0" baseline="0"/>
            <a:t>There is a column for the Debt Service Fund as well, but there is no entry for the DSF. Aside from money needed for arbitrage rebate or any fund balance amounts that are derived from state forest revenues, the residual should go into this account. No entry is necessary.</a:t>
          </a:r>
          <a:endParaRPr lang="en-US" sz="1100" b="0" i="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14</xdr:col>
      <xdr:colOff>0</xdr:colOff>
      <xdr:row>8</xdr:row>
      <xdr:rowOff>180974</xdr:rowOff>
    </xdr:to>
    <xdr:sp macro="" textlink="">
      <xdr:nvSpPr>
        <xdr:cNvPr id="2" name="TextBox 1" title="gl 835 guidance">
          <a:extLst>
            <a:ext uri="{FF2B5EF4-FFF2-40B4-BE49-F238E27FC236}">
              <a16:creationId xmlns:a16="http://schemas.microsoft.com/office/drawing/2014/main" id="{00000000-0008-0000-0F00-000002000000}"/>
            </a:ext>
          </a:extLst>
        </xdr:cNvPr>
        <xdr:cNvSpPr txBox="1"/>
      </xdr:nvSpPr>
      <xdr:spPr>
        <a:xfrm>
          <a:off x="8877300" y="0"/>
          <a:ext cx="36576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 835 Restricted for Arbitrage</a:t>
          </a:r>
          <a:r>
            <a:rPr lang="en-US" sz="1100" b="1" i="1" u="none" baseline="0"/>
            <a:t> Rebate</a:t>
          </a:r>
        </a:p>
        <a:p>
          <a:r>
            <a:rPr lang="en-US" sz="1100" b="0" i="0" u="none" baseline="0"/>
            <a:t>The purpose of this account is to show a restriction on fund balance for the amount of arbitrage rebate payable to the IRS more than one year in the future.</a:t>
          </a:r>
        </a:p>
        <a:p>
          <a:endParaRPr lang="en-US" sz="1100" b="0" i="0" u="none" baseline="0"/>
        </a:p>
        <a:p>
          <a:pPr algn="ctr"/>
          <a:r>
            <a:rPr lang="en-US" sz="1100" b="0" i="1" u="none" baseline="0"/>
            <a:t>Instructions for this sheet</a:t>
          </a:r>
        </a:p>
        <a:p>
          <a:pPr algn="l"/>
          <a:r>
            <a:rPr lang="en-US" sz="1100" b="0" i="0" u="none" baseline="0"/>
            <a:t>If the district owes (or expects to owe) arbitrage rebate that is due more than one year in the future, enter the amount in the appropriate fund column of the amount that is owed.</a:t>
          </a:r>
          <a:endParaRPr lang="en-US" sz="1100" b="0" i="0"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1</xdr:rowOff>
    </xdr:from>
    <xdr:to>
      <xdr:col>16</xdr:col>
      <xdr:colOff>609599</xdr:colOff>
      <xdr:row>11</xdr:row>
      <xdr:rowOff>1</xdr:rowOff>
    </xdr:to>
    <xdr:sp macro="" textlink="">
      <xdr:nvSpPr>
        <xdr:cNvPr id="2" name="TextBox 1" title="gl 840 guidance">
          <a:extLst>
            <a:ext uri="{FF2B5EF4-FFF2-40B4-BE49-F238E27FC236}">
              <a16:creationId xmlns:a16="http://schemas.microsoft.com/office/drawing/2014/main" id="{00000000-0008-0000-1000-000002000000}"/>
            </a:ext>
          </a:extLst>
        </xdr:cNvPr>
        <xdr:cNvSpPr txBox="1"/>
      </xdr:nvSpPr>
      <xdr:spPr>
        <a:xfrm>
          <a:off x="8305800" y="1"/>
          <a:ext cx="4876799"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840 Nonspendable</a:t>
          </a:r>
          <a:r>
            <a:rPr lang="en-US" sz="1100" b="1" i="1" baseline="0"/>
            <a:t> Fund Balance—Inventory and Prepaid Items </a:t>
          </a:r>
        </a:p>
        <a:p>
          <a:r>
            <a:rPr lang="en-US" sz="1100" b="0" i="0" baseline="0"/>
            <a:t>This account balance should reflect the district's recorded inventories and/or prepaid items on the balance sheet. These are assets of the district that are not in spendable form.</a:t>
          </a:r>
        </a:p>
        <a:p>
          <a:endParaRPr lang="en-US" sz="1100" b="0" i="0" baseline="0"/>
        </a:p>
        <a:p>
          <a:pPr algn="ctr"/>
          <a:r>
            <a:rPr lang="en-US" sz="1100" b="0" i="1" baseline="0"/>
            <a:t>Instructions for this sheet</a:t>
          </a:r>
        </a:p>
        <a:p>
          <a:pPr algn="l"/>
          <a:r>
            <a:rPr lang="en-US" sz="1100" b="0" i="0" baseline="0"/>
            <a:t>In the yellow cells, enter the amounts in the appropriate corresponding GL code for the appropriate fund. The General Fund and ASB Fund calculate separately.</a:t>
          </a:r>
        </a:p>
        <a:p>
          <a:pPr algn="l"/>
          <a:endParaRPr lang="en-US" sz="1100" b="0" i="0" baseline="0"/>
        </a:p>
        <a:p>
          <a:pPr algn="l"/>
          <a:r>
            <a:rPr lang="en-US" sz="1100" b="0" i="0" baseline="0"/>
            <a:t>These amounts represent net assets (fund balance) of the district that are not in spendable form.</a:t>
          </a:r>
          <a:endParaRPr lang="en-US" sz="1100" b="0" i="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667125" cy="1914524"/>
    <xdr:sp macro="" textlink="">
      <xdr:nvSpPr>
        <xdr:cNvPr id="2" name="TextBox 1" title="gl 845 guidance">
          <a:extLst>
            <a:ext uri="{FF2B5EF4-FFF2-40B4-BE49-F238E27FC236}">
              <a16:creationId xmlns:a16="http://schemas.microsoft.com/office/drawing/2014/main" id="{00000000-0008-0000-1100-000002000000}"/>
            </a:ext>
          </a:extLst>
        </xdr:cNvPr>
        <xdr:cNvSpPr txBox="1"/>
      </xdr:nvSpPr>
      <xdr:spPr>
        <a:xfrm>
          <a:off x="5600700" y="0"/>
          <a:ext cx="3667125" cy="1914524"/>
        </a:xfrm>
        <a:prstGeom prst="rect">
          <a:avLst/>
        </a:prstGeom>
        <a:solidFill>
          <a:schemeClr val="bg1"/>
        </a:solidFill>
        <a:ln>
          <a:solidFill>
            <a:schemeClr val="bg2">
              <a:lumMod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i="1"/>
            <a:t>GL 845 Restricted</a:t>
          </a:r>
          <a:r>
            <a:rPr lang="en-US" sz="1100" b="1" i="1" baseline="0"/>
            <a:t> for Self-Insurance</a:t>
          </a:r>
        </a:p>
        <a:p>
          <a:r>
            <a:rPr lang="en-US" sz="1100" b="0" i="0" baseline="0"/>
            <a:t>This account is used to restrict fund balance for amounts that the district is legally required to maintain as a condition of being self-insured (with the Department of Labor and Industries). </a:t>
          </a:r>
        </a:p>
        <a:p>
          <a:endParaRPr lang="en-US" sz="1100" b="0" i="0" baseline="0"/>
        </a:p>
        <a:p>
          <a:pPr algn="ctr"/>
          <a:r>
            <a:rPr lang="en-US" sz="1100" b="0" i="1" baseline="0"/>
            <a:t>Instructions for this sheet</a:t>
          </a:r>
        </a:p>
        <a:p>
          <a:pPr algn="l"/>
          <a:r>
            <a:rPr lang="en-US" sz="1100" b="0" i="0" baseline="0"/>
            <a:t>If the district is self-insured for industrial insurance, enter the amount that the district is required to maintain in reserve as a condition of being self-insured.</a:t>
          </a:r>
          <a:endParaRPr lang="en-US" sz="1100" b="0" i="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17</xdr:col>
      <xdr:colOff>0</xdr:colOff>
      <xdr:row>12</xdr:row>
      <xdr:rowOff>9524</xdr:rowOff>
    </xdr:to>
    <xdr:sp macro="" textlink="">
      <xdr:nvSpPr>
        <xdr:cNvPr id="2" name="TextBox 1" title="gl 850 guidance">
          <a:extLst>
            <a:ext uri="{FF2B5EF4-FFF2-40B4-BE49-F238E27FC236}">
              <a16:creationId xmlns:a16="http://schemas.microsoft.com/office/drawing/2014/main" id="{00000000-0008-0000-1200-000002000000}"/>
            </a:ext>
          </a:extLst>
        </xdr:cNvPr>
        <xdr:cNvSpPr txBox="1"/>
      </xdr:nvSpPr>
      <xdr:spPr>
        <a:xfrm>
          <a:off x="7515225" y="0"/>
          <a:ext cx="4876800" cy="229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850 Restricted for</a:t>
          </a:r>
          <a:r>
            <a:rPr lang="en-US" sz="1100" b="1" i="1" baseline="0"/>
            <a:t> Uninsured Risks </a:t>
          </a:r>
          <a:endParaRPr lang="en-US" sz="1100" b="0" i="0" baseline="0"/>
        </a:p>
        <a:p>
          <a:r>
            <a:rPr lang="en-US" sz="1100" b="0" i="0" baseline="0"/>
            <a:t>This account is used to restrict a portion of fund balance for future losses not covered by insurance. The amounts put in this account are required under self-insurance. Contra entries are made to Account 890 Unassigned Fund Balance (GF) or 889 Assigned to Fund Purposes (all other listed funds).</a:t>
          </a:r>
        </a:p>
        <a:p>
          <a:endParaRPr lang="en-US" sz="1100" b="0" i="0" baseline="0"/>
        </a:p>
        <a:p>
          <a:pPr algn="ctr"/>
          <a:r>
            <a:rPr lang="en-US" sz="1100" b="0" i="1" baseline="0"/>
            <a:t>Instructions for this sheet</a:t>
          </a:r>
        </a:p>
        <a:p>
          <a:pPr algn="l"/>
          <a:r>
            <a:rPr lang="en-US" sz="1100" b="0" i="0" baseline="0"/>
            <a:t>If the district maintains self-insurance for items other than industrial insurance, any amounts that the district is required to keep in reserve should be reported in this account. Space is provided for multiple accounts if necessary. Also, any other contractual obligations to maintain coverage in the event of losses not covered by insurance should be reported here.</a:t>
          </a:r>
          <a:endParaRPr lang="en-US" sz="1100" b="1" i="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11</xdr:row>
      <xdr:rowOff>0</xdr:rowOff>
    </xdr:to>
    <xdr:sp macro="" textlink="">
      <xdr:nvSpPr>
        <xdr:cNvPr id="2" name="TextBox 1" title="gl 855 guidance">
          <a:extLst>
            <a:ext uri="{FF2B5EF4-FFF2-40B4-BE49-F238E27FC236}">
              <a16:creationId xmlns:a16="http://schemas.microsoft.com/office/drawing/2014/main" id="{00000000-0008-0000-1300-000002000000}"/>
            </a:ext>
          </a:extLst>
        </xdr:cNvPr>
        <xdr:cNvSpPr txBox="1"/>
      </xdr:nvSpPr>
      <xdr:spPr>
        <a:xfrm>
          <a:off x="5514975" y="0"/>
          <a:ext cx="36480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855 Nonspendable</a:t>
          </a:r>
          <a:r>
            <a:rPr lang="en-US" sz="1100" b="1" i="1" baseline="0"/>
            <a:t> Fund Balance—Trust Principal           </a:t>
          </a:r>
        </a:p>
        <a:p>
          <a:r>
            <a:rPr lang="en-US" sz="1100" b="0" i="0" baseline="0"/>
            <a:t>For use only in trust funds where the principal may not be expended, this account shows the portion of trust assets that represents principal. After the closing of the nonoperating revenue and nonoperating expense accounts, this account is equal to the principal of the trust.</a:t>
          </a:r>
        </a:p>
        <a:p>
          <a:endParaRPr lang="en-US" sz="1100" b="0" i="0" baseline="0"/>
        </a:p>
        <a:p>
          <a:pPr algn="ctr"/>
          <a:r>
            <a:rPr lang="en-US" sz="1100" b="0" i="1" baseline="0"/>
            <a:t>Instructions for this sheet</a:t>
          </a:r>
        </a:p>
        <a:p>
          <a:pPr algn="l"/>
          <a:r>
            <a:rPr lang="en-US" sz="1100" b="0" i="0" baseline="0"/>
            <a:t>If the district has a permanent fund (a donation or other endowment that is limited such that only interest earnings may be spent), enter the amount of the principal of that fund in this account.</a:t>
          </a:r>
          <a:endParaRPr lang="en-US" sz="1100" b="0" i="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600074</xdr:colOff>
      <xdr:row>0</xdr:row>
      <xdr:rowOff>1</xdr:rowOff>
    </xdr:from>
    <xdr:to>
      <xdr:col>12</xdr:col>
      <xdr:colOff>609599</xdr:colOff>
      <xdr:row>10</xdr:row>
      <xdr:rowOff>0</xdr:rowOff>
    </xdr:to>
    <xdr:sp macro="" textlink="">
      <xdr:nvSpPr>
        <xdr:cNvPr id="2" name="TextBox 1" title="gl 861 guidance">
          <a:extLst>
            <a:ext uri="{FF2B5EF4-FFF2-40B4-BE49-F238E27FC236}">
              <a16:creationId xmlns:a16="http://schemas.microsoft.com/office/drawing/2014/main" id="{00000000-0008-0000-1400-000002000000}"/>
            </a:ext>
          </a:extLst>
        </xdr:cNvPr>
        <xdr:cNvSpPr txBox="1"/>
      </xdr:nvSpPr>
      <xdr:spPr>
        <a:xfrm>
          <a:off x="6143624" y="1"/>
          <a:ext cx="4276725"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861 Restricted from Bond Proceeds</a:t>
          </a:r>
          <a:endParaRPr lang="en-US" sz="1100" b="1" i="1" baseline="0"/>
        </a:p>
        <a:p>
          <a:r>
            <a:rPr lang="en-US" sz="1100" b="0" i="0" baseline="0"/>
            <a:t>This account is provided to record the amounts remaining from bond issues and earnings from bond proceeds investments that have been allocated for specific projects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Bonds sold and interest earned should be equal to CPF revenues with a source/use code of 1. Expenditures with a source/use code of 1 should be recorded in the appropriate place.</a:t>
          </a:r>
          <a:endParaRPr lang="en-US" sz="1100" b="0" i="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10</xdr:row>
      <xdr:rowOff>9524</xdr:rowOff>
    </xdr:to>
    <xdr:sp macro="" textlink="">
      <xdr:nvSpPr>
        <xdr:cNvPr id="2" name="TextBox 1" title="gl 862 guidance">
          <a:extLst>
            <a:ext uri="{FF2B5EF4-FFF2-40B4-BE49-F238E27FC236}">
              <a16:creationId xmlns:a16="http://schemas.microsoft.com/office/drawing/2014/main" id="{00000000-0008-0000-1500-000002000000}"/>
            </a:ext>
          </a:extLst>
        </xdr:cNvPr>
        <xdr:cNvSpPr txBox="1"/>
      </xdr:nvSpPr>
      <xdr:spPr>
        <a:xfrm>
          <a:off x="6153150" y="0"/>
          <a:ext cx="4267200" cy="191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862</a:t>
          </a:r>
          <a:r>
            <a:rPr lang="en-US" sz="1100" b="1" i="1" baseline="0"/>
            <a:t> Committed from Levy Proceeds</a:t>
          </a:r>
        </a:p>
        <a:p>
          <a:r>
            <a:rPr lang="en-US" sz="1100" b="0" i="0" baseline="0"/>
            <a:t>This account is provided to record the amounts remaining from capital projects levies that have been allocated for specific purposes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with a source/use code of "2".</a:t>
          </a:r>
          <a:endParaRPr lang="en-US" sz="1100" b="0" i="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3 guidance">
          <a:extLst>
            <a:ext uri="{FF2B5EF4-FFF2-40B4-BE49-F238E27FC236}">
              <a16:creationId xmlns:a16="http://schemas.microsoft.com/office/drawing/2014/main" id="{00000000-0008-0000-16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863 Restricted from</a:t>
          </a:r>
          <a:r>
            <a:rPr lang="en-US" sz="1100" b="1" i="1" baseline="0"/>
            <a:t> State Proceeds</a:t>
          </a:r>
        </a:p>
        <a:p>
          <a:r>
            <a:rPr lang="en-US" sz="1100" b="0" i="0" baseline="0"/>
            <a:t>This account is provided to close project revenues and expenditures for projects funded totally or in part with state funds.</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that have a source/use code of "3".</a:t>
          </a:r>
          <a:endParaRPr lang="en-US" sz="1100" b="0" i="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9525</xdr:colOff>
      <xdr:row>8</xdr:row>
      <xdr:rowOff>9525</xdr:rowOff>
    </xdr:to>
    <xdr:sp macro="" textlink="">
      <xdr:nvSpPr>
        <xdr:cNvPr id="2" name="TextBox 1" title="GL 864 Guiidance">
          <a:extLst>
            <a:ext uri="{FF2B5EF4-FFF2-40B4-BE49-F238E27FC236}">
              <a16:creationId xmlns:a16="http://schemas.microsoft.com/office/drawing/2014/main" id="{00000000-0008-0000-1700-000002000000}"/>
            </a:ext>
          </a:extLst>
        </xdr:cNvPr>
        <xdr:cNvSpPr txBox="1"/>
      </xdr:nvSpPr>
      <xdr:spPr>
        <a:xfrm>
          <a:off x="6762750" y="0"/>
          <a:ext cx="36671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864 Restricted from</a:t>
          </a:r>
          <a:r>
            <a:rPr lang="en-US" sz="1100" b="1" i="1" baseline="0"/>
            <a:t> Federal Proceeds </a:t>
          </a:r>
        </a:p>
        <a:p>
          <a:r>
            <a:rPr lang="en-US" sz="1100" b="0" i="0" baseline="0"/>
            <a:t>This account is provided to close project revenues and expenditures for projects funded totally or in part by federal agencies.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"4".</a:t>
          </a:r>
          <a:endParaRPr lang="en-US" sz="1100" b="0" i="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600075</xdr:colOff>
      <xdr:row>10</xdr:row>
      <xdr:rowOff>0</xdr:rowOff>
    </xdr:to>
    <xdr:sp macro="" textlink="">
      <xdr:nvSpPr>
        <xdr:cNvPr id="2" name="TextBox 1" title="GL 865 Guidance">
          <a:extLst>
            <a:ext uri="{FF2B5EF4-FFF2-40B4-BE49-F238E27FC236}">
              <a16:creationId xmlns:a16="http://schemas.microsoft.com/office/drawing/2014/main" id="{00000000-0008-0000-1800-000002000000}"/>
            </a:ext>
          </a:extLst>
        </xdr:cNvPr>
        <xdr:cNvSpPr txBox="1"/>
      </xdr:nvSpPr>
      <xdr:spPr>
        <a:xfrm>
          <a:off x="6762750" y="0"/>
          <a:ext cx="425767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865 Restricted from Other Proceeds</a:t>
          </a:r>
          <a:r>
            <a:rPr lang="en-US" sz="1100" b="1" i="1" baseline="0"/>
            <a:t> </a:t>
          </a:r>
        </a:p>
        <a:p>
          <a:r>
            <a:rPr lang="en-US" sz="1100" b="0" i="0" baseline="0"/>
            <a:t>This account is provided to close project revenues and expenditures for projects funded totally or in part by sources other than bond, levy, state, or federal proceeds. For example, the district may receive resources from a private citizen for the construction of a library; these resources would be restricted for that purpose.</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"5".</a:t>
          </a:r>
          <a:endParaRPr lang="en-US" sz="1100" b="0" i="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6 Guidance">
          <a:extLst>
            <a:ext uri="{FF2B5EF4-FFF2-40B4-BE49-F238E27FC236}">
              <a16:creationId xmlns:a16="http://schemas.microsoft.com/office/drawing/2014/main" id="{00000000-0008-0000-19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866</a:t>
          </a:r>
          <a:r>
            <a:rPr lang="en-US" sz="1100" b="1" i="1" baseline="0"/>
            <a:t> Restricted from Impact Fee Proceeds </a:t>
          </a:r>
        </a:p>
        <a:p>
          <a:r>
            <a:rPr lang="en-US" sz="1100" b="0" i="0" baseline="0"/>
            <a:t>This account is provided to close project revenues and expenditures for projects funded totally or in part by impact fees collected in accordance with the Growth Management Act.</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"6".</a:t>
          </a:r>
          <a:endParaRPr lang="en-US" sz="1100" b="0" i="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1</xdr:rowOff>
    </xdr:from>
    <xdr:to>
      <xdr:col>13</xdr:col>
      <xdr:colOff>0</xdr:colOff>
      <xdr:row>8</xdr:row>
      <xdr:rowOff>1</xdr:rowOff>
    </xdr:to>
    <xdr:sp macro="" textlink="">
      <xdr:nvSpPr>
        <xdr:cNvPr id="2" name="TextBox 1" title="GL 867 Guidance">
          <a:extLst>
            <a:ext uri="{FF2B5EF4-FFF2-40B4-BE49-F238E27FC236}">
              <a16:creationId xmlns:a16="http://schemas.microsoft.com/office/drawing/2014/main" id="{00000000-0008-0000-1A00-000002000000}"/>
            </a:ext>
          </a:extLst>
        </xdr:cNvPr>
        <xdr:cNvSpPr txBox="1"/>
      </xdr:nvSpPr>
      <xdr:spPr>
        <a:xfrm>
          <a:off x="6762750" y="1"/>
          <a:ext cx="36576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867</a:t>
          </a:r>
          <a:r>
            <a:rPr lang="en-US" sz="1100" b="1" i="1" baseline="0"/>
            <a:t> Restricted from Mitigation Fee Proceeds</a:t>
          </a:r>
        </a:p>
        <a:p>
          <a:r>
            <a:rPr lang="en-US" sz="1100" b="0" i="0" baseline="0"/>
            <a:t>This account is provided to close project revenues and expenditures for projects funded totally or in part by State Environmental Protection Act (SEPA) mitigation fees.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"7".</a:t>
          </a:r>
          <a:endParaRPr lang="en-US" sz="1100" b="0" i="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7</xdr:row>
      <xdr:rowOff>0</xdr:rowOff>
    </xdr:to>
    <xdr:sp macro="" textlink="">
      <xdr:nvSpPr>
        <xdr:cNvPr id="2" name="TextBox 1" title="GL 869 Guidance">
          <a:extLst>
            <a:ext uri="{FF2B5EF4-FFF2-40B4-BE49-F238E27FC236}">
              <a16:creationId xmlns:a16="http://schemas.microsoft.com/office/drawing/2014/main" id="{00000000-0008-0000-1B00-000002000000}"/>
            </a:ext>
          </a:extLst>
        </xdr:cNvPr>
        <xdr:cNvSpPr txBox="1"/>
      </xdr:nvSpPr>
      <xdr:spPr>
        <a:xfrm>
          <a:off x="6762750" y="0"/>
          <a:ext cx="36480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869 Restricted from</a:t>
          </a:r>
          <a:r>
            <a:rPr lang="en-US" sz="1100" b="1" i="1" baseline="0"/>
            <a:t> Undistributed Proceeds</a:t>
          </a:r>
        </a:p>
        <a:p>
          <a:r>
            <a:rPr lang="en-US" sz="1100" b="0" i="0" baseline="0"/>
            <a:t>This account is provided to record unassigned amounts distributed to other restriction accounts at year-end.</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"9".</a:t>
          </a:r>
          <a:endParaRPr lang="en-US" sz="1100" b="0" i="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0</xdr:row>
      <xdr:rowOff>0</xdr:rowOff>
    </xdr:from>
    <xdr:to>
      <xdr:col>16</xdr:col>
      <xdr:colOff>0</xdr:colOff>
      <xdr:row>12</xdr:row>
      <xdr:rowOff>0</xdr:rowOff>
    </xdr:to>
    <xdr:sp macro="" textlink="">
      <xdr:nvSpPr>
        <xdr:cNvPr id="2" name="TextBox 1" title="GL 870 Guidance">
          <a:extLst>
            <a:ext uri="{FF2B5EF4-FFF2-40B4-BE49-F238E27FC236}">
              <a16:creationId xmlns:a16="http://schemas.microsoft.com/office/drawing/2014/main" id="{00000000-0008-0000-1C00-000002000000}"/>
            </a:ext>
          </a:extLst>
        </xdr:cNvPr>
        <xdr:cNvSpPr txBox="1"/>
      </xdr:nvSpPr>
      <xdr:spPr>
        <a:xfrm>
          <a:off x="9172575" y="0"/>
          <a:ext cx="426720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870 Committed to Other Purposes </a:t>
          </a:r>
        </a:p>
        <a:p>
          <a:r>
            <a:rPr lang="en-US" sz="1100" b="0" i="0"/>
            <a:t>This</a:t>
          </a:r>
          <a:r>
            <a:rPr lang="en-US" sz="1100" b="0" i="0" baseline="0"/>
            <a:t> account is provided as a means for accumulating and recording commitments of district resources for future uses. Commitments represent the board of directors' intended use of resources, and a resolution has been passed to commit funds for those purposes.</a:t>
          </a:r>
        </a:p>
        <a:p>
          <a:endParaRPr lang="en-US" sz="1100" b="0" i="0" baseline="0"/>
        </a:p>
        <a:p>
          <a:pPr algn="ctr"/>
          <a:r>
            <a:rPr lang="en-US" sz="1100" b="0" i="1" baseline="0"/>
            <a:t>Instructions for this sheet</a:t>
          </a:r>
        </a:p>
        <a:p>
          <a:pPr algn="l"/>
          <a:r>
            <a:rPr lang="en-US" sz="1100" b="0" i="0" baseline="0"/>
            <a:t>If the district has passed any resolutions committing funds for a particular purpose, or if there are existing board policies setting aside funds for a particular purpose other than maintaining a policy of economic stabilization,  record those amounts here. Space is provided for multiple different commitments if needed.</a:t>
          </a:r>
          <a:endParaRPr lang="en-US" sz="1100" b="0" i="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5" name="TextBox 4" title="GL 872 Guidance">
          <a:extLst>
            <a:ext uri="{FF2B5EF4-FFF2-40B4-BE49-F238E27FC236}">
              <a16:creationId xmlns:a16="http://schemas.microsoft.com/office/drawing/2014/main" id="{00000000-0008-0000-1D00-000005000000}"/>
            </a:ext>
          </a:extLst>
        </xdr:cNvPr>
        <xdr:cNvSpPr txBox="1"/>
      </xdr:nvSpPr>
      <xdr:spPr>
        <a:xfrm>
          <a:off x="7105650"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872 Committed to Economic Stabilization</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These circumstances cannot be expected to routinely occur, and using the term “in an emergency” is not sufficient. If amounts are set aside to offset anticipated revenue shortfalls, the shortfall must be quantifiable and of a magnitude that distinguishes it from other revenue shortfalls that normally occur. </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p>
        <a:p>
          <a:endParaRPr lang="en-US" sz="1100" b="0" i="0" u="none" strike="noStrike" baseline="0">
            <a:latin typeface="+mn-lt"/>
            <a:ea typeface="+mn-ea"/>
            <a:cs typeface="+mn-cs"/>
          </a:endParaRPr>
        </a:p>
        <a:p>
          <a:r>
            <a:rPr lang="en-US" sz="1100" b="0" i="0" u="none" strike="noStrike" baseline="0">
              <a:latin typeface="+mn-lt"/>
              <a:ea typeface="+mn-ea"/>
              <a:cs typeface="+mn-cs"/>
            </a:rPr>
            <a:t>This account is to be used in districts where the school board has taken such action to create an economic stabilization policy which meets the criteria of a stabilization arrangement. The board action taken must outline the amount to be used in such a policy, whether it is a dollar amount or a percentage of the district’s revenues or expenditures. This information must also be included in the Notes to the Financial Statements.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in an Economic Stabilization Policy, record those amounts here. Space is provided for multiple  specific  circumstances  and conditions  detailed in the policy, if needed.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14</xdr:row>
      <xdr:rowOff>0</xdr:rowOff>
    </xdr:to>
    <xdr:sp macro="" textlink="">
      <xdr:nvSpPr>
        <xdr:cNvPr id="2" name="TextBox 1" title="GL 875 guidance">
          <a:extLst>
            <a:ext uri="{FF2B5EF4-FFF2-40B4-BE49-F238E27FC236}">
              <a16:creationId xmlns:a16="http://schemas.microsoft.com/office/drawing/2014/main" id="{00000000-0008-0000-1E00-000002000000}"/>
            </a:ext>
          </a:extLst>
        </xdr:cNvPr>
        <xdr:cNvSpPr txBox="1"/>
      </xdr:nvSpPr>
      <xdr:spPr>
        <a:xfrm>
          <a:off x="5448300" y="0"/>
          <a:ext cx="42672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875 Assigned</a:t>
          </a:r>
          <a:r>
            <a:rPr lang="en-US" sz="1100" b="1" i="1" baseline="0"/>
            <a:t> to Contingencies </a:t>
          </a:r>
        </a:p>
        <a:p>
          <a:r>
            <a:rPr lang="en-US" sz="1100" b="0" i="0" baseline="0"/>
            <a:t>This account is used to assign a portion of the school district's fund balance for contingencies, such as unanticipated changes in the tax and spending policies of federal and state governments, court decisions, financial impacts of labor agreements (arbitration), natural disasters, and unexpected or emergency capital expenditures. Assignments represent management's and/or board of directors' intended use of resources.</a:t>
          </a:r>
        </a:p>
        <a:p>
          <a:endParaRPr lang="en-US" sz="1100" b="0" i="0" baseline="0"/>
        </a:p>
        <a:p>
          <a:pPr algn="ctr"/>
          <a:r>
            <a:rPr lang="en-US" sz="1100" b="0" i="1" baseline="0"/>
            <a:t>Instructions for this sheet</a:t>
          </a:r>
        </a:p>
        <a:p>
          <a:pPr algn="l"/>
          <a:r>
            <a:rPr lang="en-US" sz="1100" b="0" i="0" baseline="0"/>
            <a:t>If the district has identified possible contingencies and wishes to set aside money for them without a formal resolution, those amounts should be recorded in this account. Space is provided for multiple contingencies as needed.</a:t>
          </a:r>
          <a:endParaRPr lang="en-US" sz="1100" b="0" i="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xdr:colOff>
      <xdr:row>0</xdr:row>
      <xdr:rowOff>1</xdr:rowOff>
    </xdr:from>
    <xdr:to>
      <xdr:col>15</xdr:col>
      <xdr:colOff>1</xdr:colOff>
      <xdr:row>10</xdr:row>
      <xdr:rowOff>1</xdr:rowOff>
    </xdr:to>
    <xdr:sp macro="" textlink="">
      <xdr:nvSpPr>
        <xdr:cNvPr id="2" name="TextBox 1" title="GL 884 Guidance">
          <a:extLst>
            <a:ext uri="{FF2B5EF4-FFF2-40B4-BE49-F238E27FC236}">
              <a16:creationId xmlns:a16="http://schemas.microsoft.com/office/drawing/2014/main" id="{00000000-0008-0000-1F00-000002000000}"/>
            </a:ext>
          </a:extLst>
        </xdr:cNvPr>
        <xdr:cNvSpPr txBox="1"/>
      </xdr:nvSpPr>
      <xdr:spPr>
        <a:xfrm>
          <a:off x="5886451" y="1"/>
          <a:ext cx="487680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884 Assigned</a:t>
          </a:r>
          <a:r>
            <a:rPr lang="en-US" sz="1100" b="1" i="1" baseline="0"/>
            <a:t> to Other Capital Projects </a:t>
          </a:r>
        </a:p>
        <a:p>
          <a:r>
            <a:rPr lang="en-US" sz="1100" b="0" i="0" baseline="0"/>
            <a:t>This account is used to record those funds the district intends to use for capital project purposes other than those funds that have been legally restricted for those purposes. Capital Project Fund bond or levy proceeds, or Transportation Vehicle Fund levy proceeds are never recorded in this account.</a:t>
          </a:r>
        </a:p>
        <a:p>
          <a:endParaRPr lang="en-US" sz="1100" b="0" i="0" baseline="0"/>
        </a:p>
        <a:p>
          <a:pPr algn="ctr"/>
          <a:r>
            <a:rPr lang="en-US" sz="1100" b="0" i="1" baseline="0"/>
            <a:t>Instructions for this sheet</a:t>
          </a:r>
        </a:p>
        <a:p>
          <a:pPr algn="l"/>
          <a:r>
            <a:rPr lang="en-US" sz="1100" b="0" i="0" baseline="0"/>
            <a:t>If the district desires to put money aside for capital improvements using money in the General Fund, space is provided to record those amounts here. In the event of multiple projects, there is additional space provided.</a:t>
          </a:r>
          <a:endParaRPr lang="en-US" sz="1100" b="0" i="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1</xdr:colOff>
      <xdr:row>0</xdr:row>
      <xdr:rowOff>1</xdr:rowOff>
    </xdr:from>
    <xdr:to>
      <xdr:col>14</xdr:col>
      <xdr:colOff>1</xdr:colOff>
      <xdr:row>11</xdr:row>
      <xdr:rowOff>1</xdr:rowOff>
    </xdr:to>
    <xdr:sp macro="" textlink="">
      <xdr:nvSpPr>
        <xdr:cNvPr id="2" name="TextBox 1" title="GL 888 Guidance">
          <a:extLst>
            <a:ext uri="{FF2B5EF4-FFF2-40B4-BE49-F238E27FC236}">
              <a16:creationId xmlns:a16="http://schemas.microsoft.com/office/drawing/2014/main" id="{00000000-0008-0000-2000-000002000000}"/>
            </a:ext>
          </a:extLst>
        </xdr:cNvPr>
        <xdr:cNvSpPr txBox="1"/>
      </xdr:nvSpPr>
      <xdr:spPr>
        <a:xfrm>
          <a:off x="6743701" y="1"/>
          <a:ext cx="42672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888 Assigned</a:t>
          </a:r>
          <a:r>
            <a:rPr lang="en-US" sz="1100" b="1" i="1" baseline="0"/>
            <a:t> to Other Purposes </a:t>
          </a:r>
        </a:p>
        <a:p>
          <a:r>
            <a:rPr lang="en-US" sz="1100" b="0" i="0" baseline="0"/>
            <a:t>This account is provided as a means to assign a portion of the district's ending fund balance for items that are not recorded in other accounts. Assignments represent management's and/or the board of directors' intended use of resources.</a:t>
          </a:r>
        </a:p>
        <a:p>
          <a:endParaRPr lang="en-US" sz="1100" b="0" i="0" baseline="0"/>
        </a:p>
        <a:p>
          <a:pPr algn="ctr"/>
          <a:r>
            <a:rPr lang="en-US" sz="1100" b="0" i="1" baseline="0"/>
            <a:t>Instructions for this sheet</a:t>
          </a:r>
        </a:p>
        <a:p>
          <a:pPr algn="l"/>
          <a:r>
            <a:rPr lang="en-US" sz="1100" b="0" i="0" baseline="0"/>
            <a:t>Space is provided for the district to record different assignments of fund balance. Assignments represent a desire to spend money for a particular item (such as new curriculum) without the necessity for formal board action.</a:t>
          </a:r>
          <a:endParaRPr lang="en-US" sz="1100" b="0" i="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11</xdr:row>
      <xdr:rowOff>0</xdr:rowOff>
    </xdr:to>
    <xdr:sp macro="" textlink="">
      <xdr:nvSpPr>
        <xdr:cNvPr id="2" name="TextBox 1" title="GL 889 Guidance">
          <a:extLst>
            <a:ext uri="{FF2B5EF4-FFF2-40B4-BE49-F238E27FC236}">
              <a16:creationId xmlns:a16="http://schemas.microsoft.com/office/drawing/2014/main" id="{00000000-0008-0000-2100-000002000000}"/>
            </a:ext>
          </a:extLst>
        </xdr:cNvPr>
        <xdr:cNvSpPr txBox="1"/>
      </xdr:nvSpPr>
      <xdr:spPr>
        <a:xfrm>
          <a:off x="0" y="0"/>
          <a:ext cx="67056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889 Assigned</a:t>
          </a:r>
          <a:r>
            <a:rPr lang="en-US" sz="1100" b="1" i="1" baseline="0"/>
            <a:t> to Fund Purposes (p 4-36)</a:t>
          </a:r>
        </a:p>
        <a:p>
          <a:pPr algn="ctr"/>
          <a:r>
            <a:rPr lang="en-US" sz="1100" b="1" i="1" baseline="0"/>
            <a:t>All Funds Other Than General Fund</a:t>
          </a:r>
        </a:p>
        <a:p>
          <a:r>
            <a:rPr lang="en-US" sz="1100" b="0" i="0"/>
            <a:t>After the closing</a:t>
          </a:r>
          <a:r>
            <a:rPr lang="en-US" sz="1100" b="0" i="0" baseline="0"/>
            <a:t> of the budgetary, revenue, other financing sources, expenditures, and the establishment of any amounts that are Nonspendable, Restricted, Committed, or otherwise Assigned, this account is equal to the ending available fund balance. The net results of operations is summarized in this account. If there is a deficit balance, it should be recorded in GL 890 Unassigned Fund Balance.</a:t>
          </a:r>
        </a:p>
        <a:p>
          <a:endParaRPr lang="en-US" sz="1100" b="0" i="0" baseline="0"/>
        </a:p>
        <a:p>
          <a:r>
            <a:rPr lang="en-US" sz="1100" b="0" i="0" baseline="0"/>
            <a:t>In the ASB Fund, subsidiary accounts represent the equity of each school's ASB within the district, and the subcategory activities within each school's ASB.</a:t>
          </a:r>
        </a:p>
        <a:p>
          <a:endParaRPr lang="en-US" sz="1100" b="0" i="0" baseline="0"/>
        </a:p>
        <a:p>
          <a:r>
            <a:rPr lang="en-US" sz="1100" b="1" i="1" u="sng" baseline="0"/>
            <a:t>SPECIAL NOTE:</a:t>
          </a:r>
          <a:r>
            <a:rPr lang="en-US" sz="1100" b="1" i="0" u="none" baseline="0"/>
            <a:t> </a:t>
          </a:r>
          <a:r>
            <a:rPr lang="en-US" sz="1100" b="0" i="0" u="none" baseline="0"/>
            <a:t>This is a residual account. No entry on this sheet is necessary.</a:t>
          </a:r>
          <a:endParaRPr lang="en-US" sz="1100" b="1" i="1" u="sng"/>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xdr:colOff>
      <xdr:row>13</xdr:row>
      <xdr:rowOff>0</xdr:rowOff>
    </xdr:to>
    <xdr:sp macro="" textlink="">
      <xdr:nvSpPr>
        <xdr:cNvPr id="2" name="TextBox 1" title="GL 890 Guidance">
          <a:extLst>
            <a:ext uri="{FF2B5EF4-FFF2-40B4-BE49-F238E27FC236}">
              <a16:creationId xmlns:a16="http://schemas.microsoft.com/office/drawing/2014/main" id="{00000000-0008-0000-2200-000002000000}"/>
            </a:ext>
          </a:extLst>
        </xdr:cNvPr>
        <xdr:cNvSpPr txBox="1"/>
      </xdr:nvSpPr>
      <xdr:spPr>
        <a:xfrm>
          <a:off x="1" y="0"/>
          <a:ext cx="73152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890 Unassigned</a:t>
          </a:r>
          <a:r>
            <a:rPr lang="en-US" sz="1100" b="1" i="1" baseline="0"/>
            <a:t> Fund Balance</a:t>
          </a:r>
        </a:p>
        <a:p>
          <a:pPr algn="l"/>
          <a:r>
            <a:rPr lang="en-US" sz="1100" b="1" i="0" baseline="0"/>
            <a:t>In the General Fund only:</a:t>
          </a:r>
        </a:p>
        <a:p>
          <a:pPr algn="l"/>
          <a:r>
            <a:rPr lang="en-US" sz="1100" b="0" i="0" baseline="0"/>
            <a:t>After the closing of the budgetary, revenue, other financing sources, and expenditure accounts, this account is equal to the excess of assets over liabilities, all Nonspendable amounts set aside, and then all Restrictions, Commitments, and Assignments have been made. The net result of fund operations is summarized in this account.</a:t>
          </a:r>
        </a:p>
        <a:p>
          <a:pPr algn="l"/>
          <a:endParaRPr lang="en-US" sz="1100" b="0" i="0" baseline="0"/>
        </a:p>
        <a:p>
          <a:pPr algn="l"/>
          <a:r>
            <a:rPr lang="en-US" sz="1100" b="1" i="0" baseline="0"/>
            <a:t>In all other funds:</a:t>
          </a:r>
        </a:p>
        <a:p>
          <a:pPr algn="l"/>
          <a:r>
            <a:rPr lang="en-US" sz="1100" b="0" i="0" baseline="0"/>
            <a:t>If after the closing of the budgetary, revenue, other financing sources, and expenditure accounts, and the establishment of any amounts that are Nonspendable, Restricted, or Committed, a fund other than the General Fund has a deficit balance (that is, a negative fund balance), they would record that deficit in this account. Funds other than the General Fund never record a positive amount in this account.</a:t>
          </a:r>
        </a:p>
        <a:p>
          <a:pPr algn="l"/>
          <a:endParaRPr lang="en-US" sz="1100" b="0" i="0" baseline="0"/>
        </a:p>
        <a:p>
          <a:pPr algn="l"/>
          <a:r>
            <a:rPr lang="en-US" sz="1100" b="1" i="1" u="sng" baseline="0"/>
            <a:t>SPECIAL NOTE:</a:t>
          </a:r>
          <a:r>
            <a:rPr lang="en-US" sz="1100" b="0" i="0" u="none" baseline="0"/>
            <a:t> This is a residual account. For the purposes of this reporting tool, no entry is necessary on this sheet.</a:t>
          </a:r>
          <a:endParaRPr lang="en-US" sz="1100" b="1" i="1" u="sng" baseline="0"/>
        </a:p>
        <a:p>
          <a:endParaRPr lang="en-US" sz="1100" b="1" i="1"/>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0</xdr:row>
      <xdr:rowOff>0</xdr:rowOff>
    </xdr:from>
    <xdr:to>
      <xdr:col>16</xdr:col>
      <xdr:colOff>0</xdr:colOff>
      <xdr:row>27</xdr:row>
      <xdr:rowOff>133350</xdr:rowOff>
    </xdr:to>
    <xdr:sp macro="" textlink="">
      <xdr:nvSpPr>
        <xdr:cNvPr id="2" name="TextBox 1" title="GL 891 Guidance">
          <a:extLst>
            <a:ext uri="{FF2B5EF4-FFF2-40B4-BE49-F238E27FC236}">
              <a16:creationId xmlns:a16="http://schemas.microsoft.com/office/drawing/2014/main" id="{00000000-0008-0000-2300-000002000000}"/>
            </a:ext>
          </a:extLst>
        </xdr:cNvPr>
        <xdr:cNvSpPr txBox="1"/>
      </xdr:nvSpPr>
      <xdr:spPr>
        <a:xfrm>
          <a:off x="7496175" y="0"/>
          <a:ext cx="6096000" cy="52768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891 Unassigned</a:t>
          </a:r>
          <a:r>
            <a:rPr lang="en-US" sz="1100" b="1" i="1" baseline="0"/>
            <a:t> </a:t>
          </a:r>
          <a:r>
            <a:rPr lang="en-US" sz="1100" b="1" i="1"/>
            <a:t> to Minimum Fund Balance Policy </a:t>
          </a:r>
          <a:endParaRPr lang="en-US" sz="1100" b="1" i="1">
            <a:solidFill>
              <a:sysClr val="windowText" lastClr="000000"/>
            </a:solidFill>
          </a:endParaRPr>
        </a:p>
        <a:p>
          <a:endParaRPr lang="en-US" sz="1100" b="0" i="0"/>
        </a:p>
        <a:p>
          <a:r>
            <a:rPr lang="en-US" sz="1100" b="1" i="0"/>
            <a:t>Updated</a:t>
          </a:r>
          <a:r>
            <a:rPr lang="en-US" sz="1100" b="1" i="0" baseline="0"/>
            <a:t> for FY14-15</a:t>
          </a:r>
          <a:r>
            <a:rPr lang="en-US" sz="1100" b="0" i="0" baseline="0"/>
            <a:t>: Per GASBS 54, Minimum Fund Balance Policies have no effect on the classification of Fund Balance  for financial reporting .  Note disclosure , however, is required.  </a:t>
          </a:r>
          <a:r>
            <a:rPr lang="en-US" sz="1100" b="0" i="0"/>
            <a:t>This</a:t>
          </a:r>
          <a:r>
            <a:rPr lang="en-US" sz="1100" b="0" i="0" baseline="0"/>
            <a:t> account has been added to the chart of accounts  to allow those districts that wish to segregate and identify the  amounts set aside  by policy on the district's trial balance reports.  Amounts entered into GL 891 are included in the single Unassigned Fund Balance  classification on the F-196.  </a:t>
          </a:r>
          <a:r>
            <a:rPr lang="en-US" sz="1100" b="1" i="0" baseline="0"/>
            <a:t>Use of this account is optional</a:t>
          </a:r>
          <a:r>
            <a:rPr lang="en-US" sz="1100" b="0" i="0" baseline="0"/>
            <a:t>. </a:t>
          </a:r>
        </a:p>
        <a:p>
          <a:endParaRPr lang="en-US" sz="1100" b="0" i="0" baseline="0"/>
        </a:p>
        <a:p>
          <a:r>
            <a:rPr lang="en-US" sz="1100" b="0" i="0" baseline="0"/>
            <a:t>This account is used in districts whose boards have passed a resolution establishing a policy of maintaining a minimum fund balance in the General Fund. The board policy on such a fiscal strategy should identify whether the amounts dedicated  are for a given dollar amount or if it is based on a percentage of the district's revenues or expenditures.</a:t>
          </a:r>
        </a:p>
        <a:p>
          <a:endParaRPr lang="en-US" sz="1100" b="0" i="0" baseline="0"/>
        </a:p>
        <a:p>
          <a:pPr algn="ctr"/>
          <a:r>
            <a:rPr lang="en-US" sz="1100" b="0" i="1" baseline="0"/>
            <a:t>Instructions for this sheet</a:t>
          </a:r>
        </a:p>
        <a:p>
          <a:pPr algn="l"/>
          <a:r>
            <a:rPr lang="en-US" sz="1100" b="0" i="0" baseline="0"/>
            <a:t>If the district has a board policy that indicates that the districts shall maintain a minimum amount of fund balance, the value of the fund balance set aside can be recorded in this account. There are different options for a minimum fund balance policy; we have included three general ones here.</a:t>
          </a:r>
        </a:p>
        <a:p>
          <a:pPr algn="l"/>
          <a:endParaRPr lang="en-US" sz="1100" b="0" i="0" baseline="0"/>
        </a:p>
        <a:p>
          <a:pPr algn="l"/>
          <a:r>
            <a:rPr lang="en-US" sz="1100" b="0" i="0" u="sng" baseline="0"/>
            <a:t>Policy based on percentage range</a:t>
          </a:r>
          <a:r>
            <a:rPr lang="en-US" sz="1100" b="0" i="0" u="none" baseline="0"/>
            <a:t> This can be used for a policy based on either a range of expenditures or revenues (the text uses expenditures, but can be changed to revenues if that fits the district policy). Enter the base being used, then the top and bottom percentages of the range to be used.  In the last cell in this group, enter the amount being set aside for meeting the policy (it should be somewhere between the min/max values).</a:t>
          </a:r>
        </a:p>
        <a:p>
          <a:pPr algn="l"/>
          <a:endParaRPr lang="en-US" sz="1100" b="0" i="0" u="sng"/>
        </a:p>
        <a:p>
          <a:pPr algn="l"/>
          <a:r>
            <a:rPr lang="en-US" sz="1100" b="0" i="0" u="sng"/>
            <a:t>Policy</a:t>
          </a:r>
          <a:r>
            <a:rPr lang="en-US" sz="1100" b="0" i="0" u="sng" baseline="0"/>
            <a:t> based on single percentage</a:t>
          </a:r>
          <a:r>
            <a:rPr lang="en-US" sz="1100" b="0" i="0" u="none" baseline="0"/>
            <a:t> If the district's policy is a single percentage (e.g. 5%), enter the base used and the percentage amount.  In the yellow cell, enter the amount used to meet the policy (it should be equal to the amount calculated).</a:t>
          </a:r>
        </a:p>
        <a:p>
          <a:pPr algn="l"/>
          <a:endParaRPr lang="en-US" sz="1100" b="0" i="0" u="none" baseline="0"/>
        </a:p>
        <a:p>
          <a:pPr algn="l"/>
          <a:r>
            <a:rPr lang="en-US" sz="1100" b="0" i="0" u="sng" baseline="0"/>
            <a:t>Policy based on single amount</a:t>
          </a:r>
          <a:r>
            <a:rPr lang="en-US" sz="1100" b="0" i="0" u="none" baseline="0"/>
            <a:t> Enter the amount stated in the district's policy.</a:t>
          </a:r>
          <a:endParaRPr lang="en-US" sz="1100" b="0" i="0" u="sn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32"/>
  <sheetViews>
    <sheetView workbookViewId="0">
      <selection activeCell="B2" sqref="B2:C2"/>
    </sheetView>
  </sheetViews>
  <sheetFormatPr defaultRowHeight="15"/>
  <cols>
    <col min="1" max="1" width="4.5703125" style="119" customWidth="1"/>
    <col min="2" max="2" width="4.5703125" customWidth="1"/>
    <col min="3" max="3" width="87.85546875" customWidth="1"/>
  </cols>
  <sheetData>
    <row r="1" spans="1:16" s="119" customFormat="1" ht="15.75" thickBot="1"/>
    <row r="2" spans="1:16" ht="39.75" customHeight="1" thickBot="1">
      <c r="B2" s="396" t="s">
        <v>1642</v>
      </c>
      <c r="C2" s="397"/>
      <c r="D2" s="181"/>
      <c r="E2" s="181"/>
      <c r="F2" s="181"/>
      <c r="G2" s="181"/>
      <c r="H2" s="181"/>
      <c r="I2" s="181"/>
      <c r="K2" s="181"/>
      <c r="L2" s="181"/>
      <c r="M2" s="181"/>
      <c r="N2" s="181"/>
      <c r="O2" s="181"/>
      <c r="P2" s="182"/>
    </row>
    <row r="3" spans="1:16" ht="36" customHeight="1">
      <c r="B3" s="392" t="s">
        <v>2090</v>
      </c>
      <c r="C3" s="393"/>
    </row>
    <row r="4" spans="1:16" ht="36" customHeight="1">
      <c r="B4" s="392" t="s">
        <v>1643</v>
      </c>
      <c r="C4" s="393"/>
    </row>
    <row r="5" spans="1:16" ht="36" customHeight="1">
      <c r="B5" s="392" t="s">
        <v>805</v>
      </c>
      <c r="C5" s="393"/>
    </row>
    <row r="6" spans="1:16" ht="27" customHeight="1">
      <c r="B6" s="386" t="s">
        <v>1649</v>
      </c>
      <c r="C6" s="387"/>
    </row>
    <row r="7" spans="1:16" ht="36.75" customHeight="1">
      <c r="B7" s="390" t="s">
        <v>1646</v>
      </c>
      <c r="C7" s="391"/>
    </row>
    <row r="8" spans="1:16" ht="36.75" customHeight="1">
      <c r="B8" s="392" t="s">
        <v>1648</v>
      </c>
      <c r="C8" s="393"/>
    </row>
    <row r="9" spans="1:16" ht="36.75" customHeight="1">
      <c r="B9" s="386" t="s">
        <v>1647</v>
      </c>
      <c r="C9" s="387"/>
    </row>
    <row r="10" spans="1:16" ht="26.25" customHeight="1">
      <c r="B10" s="394" t="s">
        <v>806</v>
      </c>
      <c r="C10" s="395"/>
    </row>
    <row r="11" spans="1:16" ht="15.75">
      <c r="B11" s="183"/>
      <c r="C11" s="374" t="s">
        <v>1694</v>
      </c>
    </row>
    <row r="12" spans="1:16" s="80" customFormat="1" ht="15.75">
      <c r="A12" s="119"/>
      <c r="B12" s="183"/>
      <c r="C12" s="283" t="s">
        <v>1249</v>
      </c>
    </row>
    <row r="13" spans="1:16" ht="15.75">
      <c r="B13" s="183"/>
      <c r="C13" s="185" t="s">
        <v>1695</v>
      </c>
    </row>
    <row r="14" spans="1:16" ht="15.75">
      <c r="B14" s="183"/>
      <c r="C14" s="185" t="s">
        <v>1617</v>
      </c>
    </row>
    <row r="15" spans="1:16" ht="21" customHeight="1">
      <c r="B15" s="183"/>
      <c r="C15" s="259" t="s">
        <v>807</v>
      </c>
    </row>
    <row r="16" spans="1:16" s="119" customFormat="1" ht="21" customHeight="1">
      <c r="B16" s="379" t="s">
        <v>2091</v>
      </c>
      <c r="C16" s="380"/>
    </row>
    <row r="17" spans="2:14" s="119" customFormat="1" ht="21" customHeight="1">
      <c r="B17" s="183"/>
      <c r="C17" s="260" t="s">
        <v>1697</v>
      </c>
    </row>
    <row r="18" spans="2:14" s="119" customFormat="1" ht="15.75">
      <c r="B18" s="337"/>
      <c r="C18" s="338" t="s">
        <v>1698</v>
      </c>
    </row>
    <row r="19" spans="2:14" s="119" customFormat="1" ht="31.5">
      <c r="B19" s="183"/>
      <c r="C19" s="185" t="s">
        <v>1761</v>
      </c>
    </row>
    <row r="20" spans="2:14" s="119" customFormat="1" ht="15.75">
      <c r="B20" s="183"/>
      <c r="C20" s="185" t="s">
        <v>1699</v>
      </c>
    </row>
    <row r="21" spans="2:14" s="119" customFormat="1" ht="15.75">
      <c r="B21" s="184"/>
      <c r="C21" s="339" t="s">
        <v>1700</v>
      </c>
    </row>
    <row r="22" spans="2:14" s="119" customFormat="1" ht="63" customHeight="1">
      <c r="B22" s="184"/>
      <c r="C22" s="375" t="s">
        <v>1759</v>
      </c>
    </row>
    <row r="23" spans="2:14" s="119" customFormat="1" ht="5.25" customHeight="1">
      <c r="B23" s="183"/>
      <c r="C23" s="261"/>
    </row>
    <row r="24" spans="2:14" ht="25.5" customHeight="1">
      <c r="B24" s="382" t="s">
        <v>1644</v>
      </c>
      <c r="C24" s="383"/>
    </row>
    <row r="25" spans="2:14" ht="53.25" customHeight="1">
      <c r="B25" s="388" t="s">
        <v>1760</v>
      </c>
      <c r="C25" s="389"/>
    </row>
    <row r="26" spans="2:14" ht="39" customHeight="1">
      <c r="B26" s="384" t="s">
        <v>2092</v>
      </c>
      <c r="C26" s="385"/>
      <c r="D26" s="120"/>
      <c r="E26" s="120"/>
      <c r="F26" s="120"/>
      <c r="G26" s="120"/>
      <c r="H26" s="120"/>
      <c r="I26" s="120"/>
      <c r="J26" s="120"/>
      <c r="K26" s="120"/>
      <c r="L26" s="120"/>
      <c r="M26" s="120"/>
      <c r="N26" s="120"/>
    </row>
    <row r="27" spans="2:14" ht="38.25" customHeight="1">
      <c r="B27" s="386" t="s">
        <v>2093</v>
      </c>
      <c r="C27" s="387"/>
    </row>
    <row r="28" spans="2:14" ht="16.5" customHeight="1"/>
    <row r="29" spans="2:14" ht="16.5" customHeight="1"/>
    <row r="31" spans="2:14" ht="15" customHeight="1"/>
    <row r="32" spans="2:14" ht="15" customHeight="1">
      <c r="B32" s="381"/>
      <c r="C32" s="381"/>
    </row>
  </sheetData>
  <mergeCells count="15">
    <mergeCell ref="B7:C7"/>
    <mergeCell ref="B8:C8"/>
    <mergeCell ref="B9:C9"/>
    <mergeCell ref="B10:C10"/>
    <mergeCell ref="B2:C2"/>
    <mergeCell ref="B3:C3"/>
    <mergeCell ref="B4:C4"/>
    <mergeCell ref="B5:C5"/>
    <mergeCell ref="B6:C6"/>
    <mergeCell ref="B16:C16"/>
    <mergeCell ref="B32:C32"/>
    <mergeCell ref="B24:C24"/>
    <mergeCell ref="B26:C26"/>
    <mergeCell ref="B27:C27"/>
    <mergeCell ref="B25:C25"/>
  </mergeCells>
  <pageMargins left="0.7" right="0.7" top="0.65" bottom="0.3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6"/>
  <sheetViews>
    <sheetView workbookViewId="0">
      <pane ySplit="1" topLeftCell="A2" activePane="bottomLeft" state="frozen"/>
      <selection pane="bottomLeft" activeCell="H17" sqref="H17"/>
    </sheetView>
  </sheetViews>
  <sheetFormatPr defaultRowHeight="15"/>
  <cols>
    <col min="1" max="1" width="6.7109375" bestFit="1" customWidth="1"/>
    <col min="2" max="2" width="26" bestFit="1" customWidth="1"/>
    <col min="3" max="3" width="5.5703125" style="26" bestFit="1" customWidth="1"/>
    <col min="4" max="4" width="6.7109375" style="27" bestFit="1" customWidth="1"/>
    <col min="5" max="5" width="7.7109375" style="27" customWidth="1"/>
    <col min="6" max="8" width="7.7109375" customWidth="1"/>
    <col min="9" max="9" width="7.7109375" style="120" customWidth="1"/>
    <col min="10" max="12" width="7.7109375" customWidth="1"/>
    <col min="13" max="13" width="26" bestFit="1" customWidth="1"/>
    <col min="14" max="14" width="4.7109375" bestFit="1" customWidth="1"/>
    <col min="15" max="15" width="4.42578125" bestFit="1" customWidth="1"/>
    <col min="16" max="16" width="4.5703125" bestFit="1" customWidth="1"/>
    <col min="17" max="17" width="6.140625" style="120" bestFit="1" customWidth="1"/>
    <col min="18" max="18" width="6" style="120" bestFit="1" customWidth="1"/>
  </cols>
  <sheetData>
    <row r="1" spans="1:25">
      <c r="A1" s="227" t="s">
        <v>80</v>
      </c>
      <c r="B1" s="25" t="s">
        <v>164</v>
      </c>
      <c r="C1" s="97" t="s">
        <v>742</v>
      </c>
      <c r="D1" s="97" t="s">
        <v>743</v>
      </c>
      <c r="E1" s="97" t="s">
        <v>744</v>
      </c>
      <c r="F1" s="119">
        <f>SUM(F2:F315)</f>
        <v>99</v>
      </c>
      <c r="H1" s="344"/>
      <c r="I1" s="344"/>
      <c r="L1" s="344" t="s">
        <v>80</v>
      </c>
      <c r="M1" s="344" t="s">
        <v>164</v>
      </c>
      <c r="N1" s="344" t="s">
        <v>1762</v>
      </c>
      <c r="O1" s="344" t="s">
        <v>1763</v>
      </c>
      <c r="P1" s="344" t="s">
        <v>1764</v>
      </c>
      <c r="Q1" s="344" t="s">
        <v>1765</v>
      </c>
      <c r="R1" s="344" t="s">
        <v>1766</v>
      </c>
      <c r="T1" s="344" t="s">
        <v>1762</v>
      </c>
      <c r="U1" s="344" t="s">
        <v>1763</v>
      </c>
      <c r="V1" s="344" t="s">
        <v>1764</v>
      </c>
      <c r="W1" s="344" t="s">
        <v>1765</v>
      </c>
      <c r="X1" s="344" t="s">
        <v>1766</v>
      </c>
    </row>
    <row r="2" spans="1:25">
      <c r="A2" s="228" t="s">
        <v>299</v>
      </c>
      <c r="B2" s="96" t="s">
        <v>300</v>
      </c>
      <c r="C2" s="98">
        <v>1</v>
      </c>
      <c r="D2" s="98" t="s">
        <v>780</v>
      </c>
      <c r="E2" s="98" t="s">
        <v>778</v>
      </c>
      <c r="F2" s="93">
        <f>IF(+D2="cash",1,0)</f>
        <v>0</v>
      </c>
      <c r="G2" s="205"/>
      <c r="H2" s="350"/>
      <c r="I2" s="350"/>
      <c r="L2" s="345" t="s">
        <v>1836</v>
      </c>
      <c r="M2" s="346" t="s">
        <v>300</v>
      </c>
      <c r="N2" s="347">
        <v>113</v>
      </c>
      <c r="O2" s="348">
        <v>1</v>
      </c>
      <c r="P2" s="349"/>
      <c r="Q2" s="350"/>
      <c r="R2" s="350">
        <v>2</v>
      </c>
      <c r="S2" s="351"/>
      <c r="U2" s="352">
        <f>SUM(O2:O315)</f>
        <v>107</v>
      </c>
      <c r="V2" s="352">
        <f>SUM(P2:P315)/2</f>
        <v>188</v>
      </c>
      <c r="W2" s="352">
        <f>SUM(Q2:Q315)</f>
        <v>99</v>
      </c>
      <c r="X2" s="352">
        <f>SUM(R2:R315)/2</f>
        <v>196</v>
      </c>
      <c r="Y2" s="351"/>
    </row>
    <row r="3" spans="1:25">
      <c r="A3" s="228" t="s">
        <v>427</v>
      </c>
      <c r="B3" s="96" t="s">
        <v>428</v>
      </c>
      <c r="C3" s="98">
        <v>2</v>
      </c>
      <c r="D3" s="98" t="s">
        <v>780</v>
      </c>
      <c r="E3" s="98" t="s">
        <v>778</v>
      </c>
      <c r="F3" s="93">
        <f t="shared" ref="F3:F66" si="0">IF(+D3="cash",1,0)</f>
        <v>0</v>
      </c>
      <c r="G3" s="205"/>
      <c r="H3" s="353"/>
      <c r="I3" s="353"/>
      <c r="L3" s="345" t="s">
        <v>1902</v>
      </c>
      <c r="M3" s="346" t="s">
        <v>428</v>
      </c>
      <c r="N3" s="347">
        <v>113</v>
      </c>
      <c r="O3" s="348"/>
      <c r="P3" s="349">
        <v>2</v>
      </c>
      <c r="Q3" s="353"/>
      <c r="R3" s="353">
        <v>2</v>
      </c>
      <c r="S3" s="351"/>
      <c r="T3" s="351"/>
      <c r="U3" s="351"/>
      <c r="V3" s="351"/>
      <c r="W3" s="351"/>
      <c r="X3" s="351"/>
      <c r="Y3" s="351"/>
    </row>
    <row r="4" spans="1:25">
      <c r="A4" s="228" t="s">
        <v>449</v>
      </c>
      <c r="B4" s="96" t="s">
        <v>450</v>
      </c>
      <c r="C4" s="98">
        <v>2</v>
      </c>
      <c r="D4" s="98" t="s">
        <v>780</v>
      </c>
      <c r="E4" s="98" t="s">
        <v>779</v>
      </c>
      <c r="F4" s="93">
        <f t="shared" si="0"/>
        <v>0</v>
      </c>
      <c r="G4" s="205"/>
      <c r="H4" s="353"/>
      <c r="I4" s="353"/>
      <c r="L4" s="345" t="s">
        <v>1913</v>
      </c>
      <c r="M4" s="346" t="s">
        <v>450</v>
      </c>
      <c r="N4" s="347">
        <v>101</v>
      </c>
      <c r="O4" s="348"/>
      <c r="P4" s="349">
        <v>2</v>
      </c>
      <c r="Q4" s="353"/>
      <c r="R4" s="353">
        <v>2</v>
      </c>
      <c r="S4" s="351"/>
      <c r="T4" s="351"/>
      <c r="U4" s="351"/>
      <c r="V4" s="351"/>
      <c r="W4" s="351"/>
      <c r="X4" s="351"/>
      <c r="Y4" s="351"/>
    </row>
    <row r="5" spans="1:25">
      <c r="A5" s="228" t="s">
        <v>551</v>
      </c>
      <c r="B5" s="96" t="s">
        <v>552</v>
      </c>
      <c r="C5" s="98">
        <v>1</v>
      </c>
      <c r="D5" s="98" t="s">
        <v>780</v>
      </c>
      <c r="E5" s="98" t="s">
        <v>778</v>
      </c>
      <c r="F5" s="93">
        <f t="shared" si="0"/>
        <v>0</v>
      </c>
      <c r="G5" s="205"/>
      <c r="H5" s="353"/>
      <c r="I5" s="353"/>
      <c r="L5" s="345" t="s">
        <v>1966</v>
      </c>
      <c r="M5" s="346" t="s">
        <v>552</v>
      </c>
      <c r="N5" s="347">
        <v>189</v>
      </c>
      <c r="O5" s="348">
        <v>1</v>
      </c>
      <c r="P5" s="349"/>
      <c r="Q5" s="353"/>
      <c r="R5" s="353">
        <v>2</v>
      </c>
      <c r="S5" s="351"/>
      <c r="T5" s="351"/>
      <c r="U5" s="351"/>
      <c r="V5" s="351"/>
      <c r="W5" s="351"/>
      <c r="X5" s="351"/>
      <c r="Y5" s="351"/>
    </row>
    <row r="6" spans="1:25">
      <c r="A6" s="228" t="s">
        <v>575</v>
      </c>
      <c r="B6" s="96" t="s">
        <v>576</v>
      </c>
      <c r="C6" s="98">
        <v>1</v>
      </c>
      <c r="D6" s="98" t="s">
        <v>780</v>
      </c>
      <c r="E6" s="98" t="s">
        <v>778</v>
      </c>
      <c r="F6" s="93">
        <f t="shared" si="0"/>
        <v>0</v>
      </c>
      <c r="G6" s="205"/>
      <c r="H6" s="353"/>
      <c r="I6" s="353"/>
      <c r="L6" s="345" t="s">
        <v>1978</v>
      </c>
      <c r="M6" s="346" t="s">
        <v>576</v>
      </c>
      <c r="N6" s="347">
        <v>189</v>
      </c>
      <c r="O6" s="348">
        <v>1</v>
      </c>
      <c r="P6" s="349"/>
      <c r="Q6" s="353"/>
      <c r="R6" s="353">
        <v>2</v>
      </c>
      <c r="S6" s="351"/>
      <c r="T6" s="351"/>
      <c r="U6" s="351"/>
      <c r="V6" s="351"/>
      <c r="W6" s="351"/>
      <c r="X6" s="351"/>
      <c r="Y6" s="351"/>
    </row>
    <row r="7" spans="1:25">
      <c r="A7" s="228" t="s">
        <v>177</v>
      </c>
      <c r="B7" s="96" t="s">
        <v>178</v>
      </c>
      <c r="C7" s="98">
        <v>2</v>
      </c>
      <c r="D7" s="98" t="s">
        <v>777</v>
      </c>
      <c r="E7" s="98" t="s">
        <v>778</v>
      </c>
      <c r="F7" s="93">
        <f t="shared" si="0"/>
        <v>1</v>
      </c>
      <c r="G7" s="205"/>
      <c r="H7" s="353"/>
      <c r="I7" s="353"/>
      <c r="L7" s="345" t="s">
        <v>1773</v>
      </c>
      <c r="M7" s="346" t="s">
        <v>178</v>
      </c>
      <c r="N7" s="347">
        <v>123</v>
      </c>
      <c r="O7" s="348"/>
      <c r="P7" s="349">
        <v>2</v>
      </c>
      <c r="Q7" s="353">
        <v>1</v>
      </c>
      <c r="R7" s="353"/>
      <c r="S7" s="351"/>
      <c r="T7" s="351"/>
      <c r="U7" s="351"/>
      <c r="V7" s="351"/>
      <c r="W7" s="351"/>
      <c r="X7" s="351"/>
      <c r="Y7" s="351"/>
    </row>
    <row r="8" spans="1:25">
      <c r="A8" s="228" t="s">
        <v>98</v>
      </c>
      <c r="B8" s="96" t="s">
        <v>363</v>
      </c>
      <c r="C8" s="98">
        <v>1</v>
      </c>
      <c r="D8" s="98" t="s">
        <v>780</v>
      </c>
      <c r="E8" s="98" t="s">
        <v>778</v>
      </c>
      <c r="F8" s="93">
        <f t="shared" si="0"/>
        <v>0</v>
      </c>
      <c r="G8" s="205"/>
      <c r="H8" s="353"/>
      <c r="I8" s="353"/>
      <c r="L8" s="345" t="s">
        <v>1868</v>
      </c>
      <c r="M8" s="346" t="s">
        <v>363</v>
      </c>
      <c r="N8" s="347">
        <v>121</v>
      </c>
      <c r="O8" s="348">
        <v>1</v>
      </c>
      <c r="P8" s="349"/>
      <c r="Q8" s="353"/>
      <c r="R8" s="353">
        <v>2</v>
      </c>
      <c r="S8" s="351"/>
      <c r="T8" s="351"/>
      <c r="U8" s="351"/>
      <c r="V8" s="351"/>
      <c r="W8" s="351"/>
      <c r="X8" s="351"/>
      <c r="Y8" s="351"/>
    </row>
    <row r="9" spans="1:25">
      <c r="A9" s="228" t="s">
        <v>379</v>
      </c>
      <c r="B9" s="96" t="s">
        <v>380</v>
      </c>
      <c r="C9" s="98">
        <v>1</v>
      </c>
      <c r="D9" s="98" t="s">
        <v>780</v>
      </c>
      <c r="E9" s="98" t="s">
        <v>778</v>
      </c>
      <c r="F9" s="93">
        <f t="shared" si="0"/>
        <v>0</v>
      </c>
      <c r="G9" s="205"/>
      <c r="H9" s="353"/>
      <c r="I9" s="353"/>
      <c r="L9" s="345" t="s">
        <v>1878</v>
      </c>
      <c r="M9" s="346" t="s">
        <v>380</v>
      </c>
      <c r="N9" s="347">
        <v>121</v>
      </c>
      <c r="O9" s="348">
        <v>1</v>
      </c>
      <c r="P9" s="349"/>
      <c r="Q9" s="353"/>
      <c r="R9" s="353">
        <v>2</v>
      </c>
      <c r="S9" s="351"/>
      <c r="T9" s="351"/>
      <c r="U9" s="351"/>
      <c r="V9" s="351"/>
      <c r="W9" s="351"/>
      <c r="X9" s="351"/>
      <c r="Y9" s="351"/>
    </row>
    <row r="10" spans="1:25">
      <c r="A10" s="228" t="s">
        <v>227</v>
      </c>
      <c r="B10" s="96" t="s">
        <v>228</v>
      </c>
      <c r="C10" s="98">
        <v>1</v>
      </c>
      <c r="D10" s="98" t="s">
        <v>780</v>
      </c>
      <c r="E10" s="98" t="s">
        <v>778</v>
      </c>
      <c r="F10" s="93">
        <f t="shared" si="0"/>
        <v>0</v>
      </c>
      <c r="G10" s="205"/>
      <c r="H10" s="353"/>
      <c r="I10" s="353"/>
      <c r="L10" s="345" t="s">
        <v>1800</v>
      </c>
      <c r="M10" s="346" t="s">
        <v>228</v>
      </c>
      <c r="N10" s="347">
        <v>112</v>
      </c>
      <c r="O10" s="348">
        <v>1</v>
      </c>
      <c r="P10" s="349"/>
      <c r="Q10" s="353"/>
      <c r="R10" s="353">
        <v>2</v>
      </c>
      <c r="S10" s="351"/>
      <c r="T10" s="351"/>
      <c r="U10" s="351"/>
      <c r="V10" s="351"/>
      <c r="W10" s="351"/>
      <c r="X10" s="351"/>
      <c r="Y10" s="351"/>
    </row>
    <row r="11" spans="1:25">
      <c r="A11" s="228" t="s">
        <v>357</v>
      </c>
      <c r="B11" s="96" t="s">
        <v>358</v>
      </c>
      <c r="C11" s="98">
        <v>1</v>
      </c>
      <c r="D11" s="98" t="s">
        <v>780</v>
      </c>
      <c r="E11" s="98" t="s">
        <v>778</v>
      </c>
      <c r="F11" s="93">
        <f t="shared" si="0"/>
        <v>0</v>
      </c>
      <c r="G11" s="205"/>
      <c r="H11" s="353"/>
      <c r="I11" s="353"/>
      <c r="L11" s="345" t="s">
        <v>1865</v>
      </c>
      <c r="M11" s="346" t="s">
        <v>358</v>
      </c>
      <c r="N11" s="347">
        <v>121</v>
      </c>
      <c r="O11" s="348">
        <v>1</v>
      </c>
      <c r="P11" s="349"/>
      <c r="Q11" s="353"/>
      <c r="R11" s="353">
        <v>2</v>
      </c>
      <c r="S11" s="351"/>
      <c r="T11" s="351"/>
      <c r="U11" s="351"/>
      <c r="V11" s="351"/>
      <c r="W11" s="351"/>
      <c r="X11" s="351"/>
      <c r="Y11" s="351"/>
    </row>
    <row r="12" spans="1:25">
      <c r="A12" s="228" t="s">
        <v>674</v>
      </c>
      <c r="B12" s="96" t="s">
        <v>675</v>
      </c>
      <c r="C12" s="98">
        <v>1</v>
      </c>
      <c r="D12" s="98" t="s">
        <v>780</v>
      </c>
      <c r="E12" s="98" t="s">
        <v>778</v>
      </c>
      <c r="F12" s="93">
        <f t="shared" si="0"/>
        <v>0</v>
      </c>
      <c r="G12" s="205"/>
      <c r="H12" s="353"/>
      <c r="I12" s="353"/>
      <c r="L12" s="345" t="s">
        <v>2030</v>
      </c>
      <c r="M12" s="346" t="s">
        <v>675</v>
      </c>
      <c r="N12" s="347">
        <v>189</v>
      </c>
      <c r="O12" s="348">
        <v>1</v>
      </c>
      <c r="P12" s="349"/>
      <c r="Q12" s="353"/>
      <c r="R12" s="353">
        <v>2</v>
      </c>
      <c r="S12" s="351"/>
      <c r="T12" s="351"/>
      <c r="U12" s="351"/>
      <c r="V12" s="351"/>
      <c r="W12" s="351"/>
      <c r="X12" s="351"/>
      <c r="Y12" s="351"/>
    </row>
    <row r="13" spans="1:25">
      <c r="A13" s="228" t="s">
        <v>167</v>
      </c>
      <c r="B13" s="96" t="s">
        <v>168</v>
      </c>
      <c r="C13" s="98">
        <v>2</v>
      </c>
      <c r="D13" s="98" t="s">
        <v>777</v>
      </c>
      <c r="E13" s="98" t="s">
        <v>779</v>
      </c>
      <c r="F13" s="93">
        <f t="shared" si="0"/>
        <v>1</v>
      </c>
      <c r="G13" s="205"/>
      <c r="H13" s="353"/>
      <c r="I13" s="353"/>
      <c r="L13" s="345" t="s">
        <v>1768</v>
      </c>
      <c r="M13" s="346" t="s">
        <v>168</v>
      </c>
      <c r="N13" s="347">
        <v>101</v>
      </c>
      <c r="O13" s="347"/>
      <c r="P13" s="353">
        <v>2</v>
      </c>
      <c r="Q13" s="353">
        <v>1</v>
      </c>
      <c r="R13" s="353"/>
      <c r="S13" s="351"/>
      <c r="T13" s="351"/>
      <c r="U13" s="351"/>
      <c r="V13" s="351"/>
      <c r="W13" s="351"/>
      <c r="X13" s="351"/>
      <c r="Y13" s="351"/>
    </row>
    <row r="14" spans="1:25">
      <c r="A14" s="228" t="s">
        <v>530</v>
      </c>
      <c r="B14" s="96" t="s">
        <v>531</v>
      </c>
      <c r="C14" s="98">
        <v>1</v>
      </c>
      <c r="D14" s="98" t="s">
        <v>780</v>
      </c>
      <c r="E14" s="98" t="s">
        <v>778</v>
      </c>
      <c r="F14" s="93">
        <f t="shared" si="0"/>
        <v>0</v>
      </c>
      <c r="G14" s="205"/>
      <c r="H14" s="353"/>
      <c r="I14" s="353"/>
      <c r="L14" s="345" t="s">
        <v>1955</v>
      </c>
      <c r="M14" s="346" t="s">
        <v>531</v>
      </c>
      <c r="N14" s="347">
        <v>121</v>
      </c>
      <c r="O14" s="348">
        <v>1</v>
      </c>
      <c r="P14" s="349"/>
      <c r="Q14" s="353"/>
      <c r="R14" s="353">
        <v>2</v>
      </c>
      <c r="S14" s="351"/>
      <c r="T14" s="351"/>
      <c r="U14" s="351"/>
      <c r="V14" s="351"/>
      <c r="W14" s="351"/>
      <c r="X14" s="351"/>
      <c r="Y14" s="351"/>
    </row>
    <row r="15" spans="1:25">
      <c r="A15" s="228" t="s">
        <v>401</v>
      </c>
      <c r="B15" s="96" t="s">
        <v>402</v>
      </c>
      <c r="C15" s="98">
        <v>2</v>
      </c>
      <c r="D15" s="98" t="s">
        <v>777</v>
      </c>
      <c r="E15" s="98" t="s">
        <v>778</v>
      </c>
      <c r="F15" s="93">
        <f t="shared" si="0"/>
        <v>1</v>
      </c>
      <c r="G15" s="205"/>
      <c r="H15" s="353"/>
      <c r="I15" s="353"/>
      <c r="L15" s="345" t="s">
        <v>1889</v>
      </c>
      <c r="M15" s="346" t="s">
        <v>402</v>
      </c>
      <c r="N15" s="347">
        <v>105</v>
      </c>
      <c r="O15" s="348"/>
      <c r="P15" s="349">
        <v>2</v>
      </c>
      <c r="Q15" s="353">
        <v>1</v>
      </c>
      <c r="R15" s="353"/>
      <c r="S15" s="351"/>
      <c r="T15" s="351"/>
      <c r="U15" s="351"/>
      <c r="V15" s="351"/>
      <c r="W15" s="351"/>
      <c r="X15" s="351"/>
      <c r="Y15" s="351"/>
    </row>
    <row r="16" spans="1:25">
      <c r="A16" s="228" t="s">
        <v>678</v>
      </c>
      <c r="B16" s="96" t="s">
        <v>679</v>
      </c>
      <c r="C16" s="98">
        <v>1</v>
      </c>
      <c r="D16" s="98" t="s">
        <v>780</v>
      </c>
      <c r="E16" s="98" t="s">
        <v>778</v>
      </c>
      <c r="F16" s="93">
        <f t="shared" si="0"/>
        <v>0</v>
      </c>
      <c r="G16" s="205"/>
      <c r="H16" s="353"/>
      <c r="I16" s="353"/>
      <c r="L16" s="345" t="s">
        <v>2032</v>
      </c>
      <c r="M16" s="346" t="s">
        <v>679</v>
      </c>
      <c r="N16" s="347">
        <v>189</v>
      </c>
      <c r="O16" s="348">
        <v>1</v>
      </c>
      <c r="P16" s="349"/>
      <c r="Q16" s="353"/>
      <c r="R16" s="353">
        <v>2</v>
      </c>
      <c r="S16" s="351"/>
      <c r="T16" s="351"/>
      <c r="U16" s="351"/>
      <c r="V16" s="351"/>
      <c r="W16" s="351"/>
      <c r="X16" s="351"/>
      <c r="Y16" s="351"/>
    </row>
    <row r="17" spans="1:25">
      <c r="A17" s="228" t="s">
        <v>431</v>
      </c>
      <c r="B17" s="96" t="s">
        <v>432</v>
      </c>
      <c r="C17" s="98">
        <v>2</v>
      </c>
      <c r="D17" s="98" t="s">
        <v>777</v>
      </c>
      <c r="E17" s="98" t="s">
        <v>779</v>
      </c>
      <c r="F17" s="93">
        <f t="shared" si="0"/>
        <v>1</v>
      </c>
      <c r="G17" s="205"/>
      <c r="H17" s="353"/>
      <c r="I17" s="353"/>
      <c r="L17" s="345" t="s">
        <v>1904</v>
      </c>
      <c r="M17" s="346" t="s">
        <v>432</v>
      </c>
      <c r="N17" s="347">
        <v>113</v>
      </c>
      <c r="O17" s="348"/>
      <c r="P17" s="349">
        <v>2</v>
      </c>
      <c r="Q17" s="353">
        <v>1</v>
      </c>
      <c r="R17" s="353"/>
      <c r="S17" s="351"/>
      <c r="T17" s="351"/>
      <c r="U17" s="351"/>
      <c r="V17" s="351"/>
      <c r="W17" s="351"/>
      <c r="X17" s="351"/>
      <c r="Y17" s="351"/>
    </row>
    <row r="18" spans="1:25">
      <c r="A18" s="228" t="s">
        <v>377</v>
      </c>
      <c r="B18" s="96" t="s">
        <v>378</v>
      </c>
      <c r="C18" s="98">
        <v>1</v>
      </c>
      <c r="D18" s="98" t="s">
        <v>780</v>
      </c>
      <c r="E18" s="98" t="s">
        <v>778</v>
      </c>
      <c r="F18" s="93">
        <f t="shared" si="0"/>
        <v>0</v>
      </c>
      <c r="G18" s="205"/>
      <c r="H18" s="353"/>
      <c r="I18" s="353"/>
      <c r="L18" s="345" t="s">
        <v>1877</v>
      </c>
      <c r="M18" s="346" t="s">
        <v>378</v>
      </c>
      <c r="N18" s="347">
        <v>114</v>
      </c>
      <c r="O18" s="348">
        <v>1</v>
      </c>
      <c r="P18" s="349"/>
      <c r="Q18" s="353"/>
      <c r="R18" s="353">
        <v>2</v>
      </c>
      <c r="S18" s="351"/>
      <c r="T18" s="351"/>
      <c r="U18" s="351"/>
      <c r="V18" s="351"/>
      <c r="W18" s="351"/>
      <c r="X18" s="351"/>
      <c r="Y18" s="351"/>
    </row>
    <row r="19" spans="1:25">
      <c r="A19" s="228" t="s">
        <v>481</v>
      </c>
      <c r="B19" s="96" t="s">
        <v>482</v>
      </c>
      <c r="C19" s="98">
        <v>2</v>
      </c>
      <c r="D19" s="98" t="s">
        <v>780</v>
      </c>
      <c r="E19" s="98" t="s">
        <v>778</v>
      </c>
      <c r="F19" s="93">
        <f t="shared" si="0"/>
        <v>0</v>
      </c>
      <c r="G19" s="205"/>
      <c r="H19" s="353"/>
      <c r="I19" s="353"/>
      <c r="L19" s="345" t="s">
        <v>1929</v>
      </c>
      <c r="M19" s="346" t="s">
        <v>482</v>
      </c>
      <c r="N19" s="347">
        <v>171</v>
      </c>
      <c r="O19" s="348"/>
      <c r="P19" s="349">
        <v>2</v>
      </c>
      <c r="Q19" s="353"/>
      <c r="R19" s="353">
        <v>2</v>
      </c>
      <c r="S19" s="351"/>
      <c r="T19" s="351"/>
      <c r="U19" s="351"/>
      <c r="V19" s="351"/>
      <c r="W19" s="351"/>
      <c r="X19" s="351"/>
      <c r="Y19" s="351"/>
    </row>
    <row r="20" spans="1:25">
      <c r="A20" s="228" t="s">
        <v>249</v>
      </c>
      <c r="B20" s="96" t="s">
        <v>250</v>
      </c>
      <c r="C20" s="98">
        <v>2</v>
      </c>
      <c r="D20" s="98" t="s">
        <v>780</v>
      </c>
      <c r="E20" s="98" t="s">
        <v>778</v>
      </c>
      <c r="F20" s="93">
        <f t="shared" si="0"/>
        <v>0</v>
      </c>
      <c r="G20" s="205"/>
      <c r="H20" s="353"/>
      <c r="I20" s="353"/>
      <c r="L20" s="345" t="s">
        <v>1811</v>
      </c>
      <c r="M20" s="346" t="s">
        <v>250</v>
      </c>
      <c r="N20" s="347">
        <v>171</v>
      </c>
      <c r="O20" s="348"/>
      <c r="P20" s="349">
        <v>2</v>
      </c>
      <c r="Q20" s="353"/>
      <c r="R20" s="353">
        <v>2</v>
      </c>
      <c r="S20" s="351"/>
      <c r="T20" s="351"/>
      <c r="U20" s="351"/>
      <c r="V20" s="351"/>
      <c r="W20" s="351"/>
      <c r="X20" s="351"/>
      <c r="Y20" s="351"/>
    </row>
    <row r="21" spans="1:25">
      <c r="A21" s="228" t="s">
        <v>333</v>
      </c>
      <c r="B21" s="96" t="s">
        <v>334</v>
      </c>
      <c r="C21" s="98">
        <v>2</v>
      </c>
      <c r="D21" s="98" t="s">
        <v>777</v>
      </c>
      <c r="E21" s="98" t="s">
        <v>779</v>
      </c>
      <c r="F21" s="93">
        <f t="shared" si="0"/>
        <v>1</v>
      </c>
      <c r="G21" s="205"/>
      <c r="H21" s="353"/>
      <c r="I21" s="353"/>
      <c r="L21" s="345" t="s">
        <v>1853</v>
      </c>
      <c r="M21" s="346" t="s">
        <v>334</v>
      </c>
      <c r="N21" s="347">
        <v>114</v>
      </c>
      <c r="O21" s="348"/>
      <c r="P21" s="349">
        <v>2</v>
      </c>
      <c r="Q21" s="353">
        <v>1</v>
      </c>
      <c r="R21" s="353"/>
      <c r="S21" s="351"/>
      <c r="T21" s="351"/>
      <c r="U21" s="351"/>
      <c r="V21" s="351"/>
      <c r="W21" s="351"/>
      <c r="X21" s="351"/>
      <c r="Y21" s="351"/>
    </row>
    <row r="22" spans="1:25">
      <c r="A22" s="228" t="s">
        <v>548</v>
      </c>
      <c r="B22" s="96" t="s">
        <v>1177</v>
      </c>
      <c r="C22" s="98">
        <v>1</v>
      </c>
      <c r="D22" s="98" t="s">
        <v>780</v>
      </c>
      <c r="E22" s="98" t="s">
        <v>778</v>
      </c>
      <c r="F22" s="93">
        <f t="shared" si="0"/>
        <v>0</v>
      </c>
      <c r="G22" s="205"/>
      <c r="H22" s="353"/>
      <c r="I22" s="353"/>
      <c r="L22" s="345" t="s">
        <v>1964</v>
      </c>
      <c r="M22" s="346" t="s">
        <v>1263</v>
      </c>
      <c r="N22" s="347">
        <v>189</v>
      </c>
      <c r="O22" s="348">
        <v>1</v>
      </c>
      <c r="P22" s="349"/>
      <c r="Q22" s="353"/>
      <c r="R22" s="353">
        <v>2</v>
      </c>
      <c r="S22" s="351"/>
      <c r="T22" s="351"/>
      <c r="U22" s="351"/>
      <c r="V22" s="351"/>
      <c r="W22" s="351"/>
      <c r="X22" s="351"/>
      <c r="Y22" s="351"/>
    </row>
    <row r="23" spans="1:25">
      <c r="A23" s="228" t="s">
        <v>225</v>
      </c>
      <c r="B23" s="96" t="s">
        <v>226</v>
      </c>
      <c r="C23" s="98">
        <v>1</v>
      </c>
      <c r="D23" s="98" t="s">
        <v>780</v>
      </c>
      <c r="E23" s="98" t="s">
        <v>778</v>
      </c>
      <c r="F23" s="93">
        <f t="shared" si="0"/>
        <v>0</v>
      </c>
      <c r="G23" s="205"/>
      <c r="H23" s="353"/>
      <c r="I23" s="353"/>
      <c r="L23" s="345" t="s">
        <v>1799</v>
      </c>
      <c r="M23" s="346" t="s">
        <v>226</v>
      </c>
      <c r="N23" s="347">
        <v>112</v>
      </c>
      <c r="O23" s="348">
        <v>1</v>
      </c>
      <c r="P23" s="349"/>
      <c r="Q23" s="353"/>
      <c r="R23" s="353">
        <v>2</v>
      </c>
      <c r="S23" s="351"/>
      <c r="T23" s="351"/>
      <c r="U23" s="351"/>
      <c r="V23" s="351"/>
      <c r="W23" s="351"/>
      <c r="X23" s="351"/>
      <c r="Y23" s="351"/>
    </row>
    <row r="24" spans="1:25">
      <c r="A24" s="228" t="s">
        <v>211</v>
      </c>
      <c r="B24" s="96" t="s">
        <v>212</v>
      </c>
      <c r="C24" s="98">
        <v>2</v>
      </c>
      <c r="D24" s="98" t="s">
        <v>780</v>
      </c>
      <c r="E24" s="98" t="s">
        <v>778</v>
      </c>
      <c r="F24" s="93">
        <f t="shared" si="0"/>
        <v>0</v>
      </c>
      <c r="G24" s="205"/>
      <c r="H24" s="353"/>
      <c r="I24" s="353"/>
      <c r="L24" s="345" t="s">
        <v>1790</v>
      </c>
      <c r="M24" s="346" t="s">
        <v>212</v>
      </c>
      <c r="N24" s="347">
        <v>114</v>
      </c>
      <c r="O24" s="348"/>
      <c r="P24" s="349">
        <v>2</v>
      </c>
      <c r="Q24" s="353"/>
      <c r="R24" s="353">
        <v>2</v>
      </c>
      <c r="S24" s="351"/>
      <c r="T24" s="351"/>
      <c r="U24" s="351"/>
      <c r="V24" s="351"/>
      <c r="W24" s="351"/>
      <c r="X24" s="351"/>
      <c r="Y24" s="351"/>
    </row>
    <row r="25" spans="1:25">
      <c r="A25" s="228" t="s">
        <v>514</v>
      </c>
      <c r="B25" s="96" t="s">
        <v>515</v>
      </c>
      <c r="C25" s="98">
        <v>2</v>
      </c>
      <c r="D25" s="98" t="s">
        <v>777</v>
      </c>
      <c r="E25" s="98" t="s">
        <v>779</v>
      </c>
      <c r="F25" s="93">
        <f t="shared" si="0"/>
        <v>1</v>
      </c>
      <c r="G25" s="205"/>
      <c r="H25" s="353"/>
      <c r="I25" s="353"/>
      <c r="L25" s="345" t="s">
        <v>1947</v>
      </c>
      <c r="M25" s="346" t="s">
        <v>515</v>
      </c>
      <c r="N25" s="347">
        <v>121</v>
      </c>
      <c r="O25" s="348"/>
      <c r="P25" s="349">
        <v>2</v>
      </c>
      <c r="Q25" s="353">
        <v>1</v>
      </c>
      <c r="R25" s="353"/>
      <c r="S25" s="351"/>
      <c r="T25" s="351"/>
      <c r="U25" s="351"/>
      <c r="V25" s="351"/>
      <c r="W25" s="351"/>
      <c r="X25" s="351"/>
      <c r="Y25" s="351"/>
    </row>
    <row r="26" spans="1:25">
      <c r="A26" s="228" t="s">
        <v>201</v>
      </c>
      <c r="B26" s="96" t="s">
        <v>202</v>
      </c>
      <c r="C26" s="98">
        <v>2</v>
      </c>
      <c r="D26" s="98" t="s">
        <v>780</v>
      </c>
      <c r="E26" s="98" t="s">
        <v>778</v>
      </c>
      <c r="F26" s="93">
        <f t="shared" si="0"/>
        <v>0</v>
      </c>
      <c r="G26" s="205"/>
      <c r="H26" s="353"/>
      <c r="I26" s="353"/>
      <c r="L26" s="345" t="s">
        <v>1785</v>
      </c>
      <c r="M26" s="346" t="s">
        <v>202</v>
      </c>
      <c r="N26" s="347">
        <v>171</v>
      </c>
      <c r="O26" s="348"/>
      <c r="P26" s="349">
        <v>2</v>
      </c>
      <c r="Q26" s="353"/>
      <c r="R26" s="353">
        <v>2</v>
      </c>
      <c r="S26" s="351"/>
      <c r="T26" s="351"/>
      <c r="U26" s="351"/>
      <c r="V26" s="351"/>
      <c r="W26" s="351"/>
      <c r="X26" s="351"/>
      <c r="Y26" s="351"/>
    </row>
    <row r="27" spans="1:25">
      <c r="A27" s="228" t="s">
        <v>199</v>
      </c>
      <c r="B27" s="96" t="s">
        <v>200</v>
      </c>
      <c r="C27" s="104">
        <v>2</v>
      </c>
      <c r="D27" s="104" t="s">
        <v>780</v>
      </c>
      <c r="E27" s="104" t="s">
        <v>778</v>
      </c>
      <c r="F27" s="93">
        <f t="shared" si="0"/>
        <v>0</v>
      </c>
      <c r="G27" s="205"/>
      <c r="H27" s="353"/>
      <c r="I27" s="353"/>
      <c r="L27" s="345" t="s">
        <v>1784</v>
      </c>
      <c r="M27" s="346" t="s">
        <v>200</v>
      </c>
      <c r="N27" s="347">
        <v>171</v>
      </c>
      <c r="O27" s="348"/>
      <c r="P27" s="349">
        <v>2</v>
      </c>
      <c r="Q27" s="353"/>
      <c r="R27" s="353">
        <v>2</v>
      </c>
      <c r="S27" s="351"/>
      <c r="T27" s="351"/>
      <c r="U27" s="351"/>
      <c r="V27" s="351"/>
      <c r="W27" s="351"/>
      <c r="X27" s="351"/>
      <c r="Y27" s="351"/>
    </row>
    <row r="28" spans="1:25">
      <c r="A28" s="228" t="s">
        <v>239</v>
      </c>
      <c r="B28" s="96" t="s">
        <v>240</v>
      </c>
      <c r="C28" s="98">
        <v>2</v>
      </c>
      <c r="D28" s="98" t="s">
        <v>780</v>
      </c>
      <c r="E28" s="98" t="s">
        <v>778</v>
      </c>
      <c r="F28" s="93">
        <f t="shared" si="0"/>
        <v>0</v>
      </c>
      <c r="G28" s="205"/>
      <c r="H28" s="353"/>
      <c r="I28" s="353"/>
      <c r="L28" s="345" t="s">
        <v>1806</v>
      </c>
      <c r="M28" s="346" t="s">
        <v>240</v>
      </c>
      <c r="N28" s="347">
        <v>112</v>
      </c>
      <c r="O28" s="348"/>
      <c r="P28" s="349">
        <v>2</v>
      </c>
      <c r="Q28" s="353"/>
      <c r="R28" s="353">
        <v>2</v>
      </c>
      <c r="S28" s="351"/>
      <c r="T28" s="351"/>
      <c r="U28" s="351"/>
      <c r="V28" s="351"/>
      <c r="W28" s="351"/>
      <c r="X28" s="351"/>
      <c r="Y28" s="351"/>
    </row>
    <row r="29" spans="1:25">
      <c r="A29" s="228" t="s">
        <v>403</v>
      </c>
      <c r="B29" s="96" t="s">
        <v>404</v>
      </c>
      <c r="C29" s="98">
        <v>2</v>
      </c>
      <c r="D29" s="98" t="s">
        <v>777</v>
      </c>
      <c r="E29" s="98" t="s">
        <v>779</v>
      </c>
      <c r="F29" s="93">
        <f t="shared" si="0"/>
        <v>1</v>
      </c>
      <c r="G29" s="205"/>
      <c r="H29" s="353"/>
      <c r="I29" s="353"/>
      <c r="L29" s="345" t="s">
        <v>1890</v>
      </c>
      <c r="M29" s="346" t="s">
        <v>404</v>
      </c>
      <c r="N29" s="347">
        <v>112</v>
      </c>
      <c r="O29" s="348"/>
      <c r="P29" s="349">
        <v>2</v>
      </c>
      <c r="Q29" s="353">
        <v>1</v>
      </c>
      <c r="R29" s="353"/>
      <c r="S29" s="351"/>
      <c r="T29" s="351"/>
      <c r="U29" s="351"/>
      <c r="V29" s="351"/>
      <c r="W29" s="351"/>
      <c r="X29" s="351"/>
      <c r="Y29" s="351"/>
    </row>
    <row r="30" spans="1:25">
      <c r="A30" s="228" t="s">
        <v>383</v>
      </c>
      <c r="B30" s="96" t="s">
        <v>384</v>
      </c>
      <c r="C30" s="98">
        <v>1</v>
      </c>
      <c r="D30" s="98" t="s">
        <v>780</v>
      </c>
      <c r="E30" s="98" t="s">
        <v>778</v>
      </c>
      <c r="F30" s="93">
        <f t="shared" si="0"/>
        <v>0</v>
      </c>
      <c r="G30" s="205"/>
      <c r="H30" s="353"/>
      <c r="I30" s="353"/>
      <c r="L30" s="345" t="s">
        <v>1880</v>
      </c>
      <c r="M30" s="346" t="s">
        <v>384</v>
      </c>
      <c r="N30" s="347">
        <v>114</v>
      </c>
      <c r="O30" s="348">
        <v>1</v>
      </c>
      <c r="P30" s="349"/>
      <c r="Q30" s="353"/>
      <c r="R30" s="353">
        <v>2</v>
      </c>
      <c r="S30" s="351"/>
      <c r="T30" s="351"/>
      <c r="U30" s="351"/>
      <c r="V30" s="351"/>
      <c r="W30" s="351"/>
      <c r="X30" s="351"/>
      <c r="Y30" s="351"/>
    </row>
    <row r="31" spans="1:25">
      <c r="A31" s="228" t="s">
        <v>607</v>
      </c>
      <c r="B31" s="96" t="s">
        <v>608</v>
      </c>
      <c r="C31" s="98">
        <v>1</v>
      </c>
      <c r="D31" s="98" t="s">
        <v>780</v>
      </c>
      <c r="E31" s="98" t="s">
        <v>778</v>
      </c>
      <c r="F31" s="93">
        <f t="shared" si="0"/>
        <v>0</v>
      </c>
      <c r="G31" s="205"/>
      <c r="H31" s="353"/>
      <c r="I31" s="353"/>
      <c r="L31" s="345" t="s">
        <v>1994</v>
      </c>
      <c r="M31" s="346" t="s">
        <v>608</v>
      </c>
      <c r="N31" s="347">
        <v>101</v>
      </c>
      <c r="O31" s="348">
        <v>1</v>
      </c>
      <c r="P31" s="349"/>
      <c r="Q31" s="353"/>
      <c r="R31" s="353">
        <v>2</v>
      </c>
      <c r="S31" s="351"/>
      <c r="T31" s="351"/>
      <c r="U31" s="351"/>
      <c r="V31" s="351"/>
      <c r="W31" s="351"/>
      <c r="X31" s="351"/>
      <c r="Y31" s="351"/>
    </row>
    <row r="32" spans="1:25">
      <c r="A32" s="228" t="s">
        <v>443</v>
      </c>
      <c r="B32" s="96" t="s">
        <v>444</v>
      </c>
      <c r="C32" s="98">
        <v>1</v>
      </c>
      <c r="D32" s="98" t="s">
        <v>780</v>
      </c>
      <c r="E32" s="98" t="s">
        <v>778</v>
      </c>
      <c r="F32" s="93">
        <f t="shared" si="0"/>
        <v>0</v>
      </c>
      <c r="G32" s="205"/>
      <c r="H32" s="353"/>
      <c r="I32" s="353"/>
      <c r="L32" s="345" t="s">
        <v>1910</v>
      </c>
      <c r="M32" s="346" t="s">
        <v>444</v>
      </c>
      <c r="N32" s="347">
        <v>113</v>
      </c>
      <c r="O32" s="348">
        <v>1</v>
      </c>
      <c r="P32" s="349"/>
      <c r="Q32" s="353"/>
      <c r="R32" s="353">
        <v>2</v>
      </c>
      <c r="S32" s="351"/>
      <c r="T32" s="351"/>
      <c r="U32" s="351"/>
      <c r="V32" s="351"/>
      <c r="W32" s="351"/>
      <c r="X32" s="351"/>
      <c r="Y32" s="351"/>
    </row>
    <row r="33" spans="1:25">
      <c r="A33" s="228" t="s">
        <v>439</v>
      </c>
      <c r="B33" s="96" t="s">
        <v>440</v>
      </c>
      <c r="C33" s="98">
        <v>1</v>
      </c>
      <c r="D33" s="98" t="s">
        <v>780</v>
      </c>
      <c r="E33" s="98" t="s">
        <v>778</v>
      </c>
      <c r="F33" s="93">
        <f t="shared" si="0"/>
        <v>0</v>
      </c>
      <c r="G33" s="205"/>
      <c r="H33" s="353"/>
      <c r="I33" s="353"/>
      <c r="L33" s="345" t="s">
        <v>1908</v>
      </c>
      <c r="M33" s="346" t="s">
        <v>440</v>
      </c>
      <c r="N33" s="347">
        <v>113</v>
      </c>
      <c r="O33" s="348">
        <v>1</v>
      </c>
      <c r="P33" s="349"/>
      <c r="Q33" s="353"/>
      <c r="R33" s="353">
        <v>2</v>
      </c>
      <c r="S33" s="351"/>
      <c r="T33" s="351"/>
      <c r="U33" s="351"/>
      <c r="V33" s="351"/>
      <c r="W33" s="351"/>
      <c r="X33" s="351"/>
      <c r="Y33" s="351"/>
    </row>
    <row r="34" spans="1:25">
      <c r="A34" s="228" t="s">
        <v>611</v>
      </c>
      <c r="B34" s="96" t="s">
        <v>612</v>
      </c>
      <c r="C34" s="98">
        <v>1</v>
      </c>
      <c r="D34" s="98" t="s">
        <v>780</v>
      </c>
      <c r="E34" s="98" t="s">
        <v>778</v>
      </c>
      <c r="F34" s="93">
        <f t="shared" si="0"/>
        <v>0</v>
      </c>
      <c r="G34" s="205"/>
      <c r="H34" s="353"/>
      <c r="I34" s="353"/>
      <c r="L34" s="345" t="s">
        <v>1996</v>
      </c>
      <c r="M34" s="346" t="s">
        <v>612</v>
      </c>
      <c r="N34" s="347">
        <v>101</v>
      </c>
      <c r="O34" s="348">
        <v>1</v>
      </c>
      <c r="P34" s="349"/>
      <c r="Q34" s="353"/>
      <c r="R34" s="353">
        <v>2</v>
      </c>
      <c r="S34" s="351"/>
      <c r="T34" s="351"/>
      <c r="U34" s="351"/>
      <c r="V34" s="351"/>
      <c r="W34" s="351"/>
      <c r="X34" s="351"/>
      <c r="Y34" s="351"/>
    </row>
    <row r="35" spans="1:25">
      <c r="A35" s="228" t="s">
        <v>623</v>
      </c>
      <c r="B35" s="96" t="s">
        <v>624</v>
      </c>
      <c r="C35" s="98">
        <v>2</v>
      </c>
      <c r="D35" s="98" t="s">
        <v>780</v>
      </c>
      <c r="E35" s="98" t="s">
        <v>778</v>
      </c>
      <c r="F35" s="93">
        <f t="shared" si="0"/>
        <v>0</v>
      </c>
      <c r="G35" s="205"/>
      <c r="H35" s="353"/>
      <c r="I35" s="353"/>
      <c r="L35" s="345" t="s">
        <v>2003</v>
      </c>
      <c r="M35" s="346" t="s">
        <v>624</v>
      </c>
      <c r="N35" s="347">
        <v>101</v>
      </c>
      <c r="O35" s="348"/>
      <c r="P35" s="349">
        <v>2</v>
      </c>
      <c r="Q35" s="353"/>
      <c r="R35" s="353">
        <v>2</v>
      </c>
      <c r="S35" s="351"/>
      <c r="T35" s="351"/>
      <c r="U35" s="351"/>
      <c r="V35" s="351"/>
      <c r="W35" s="351"/>
      <c r="X35" s="351"/>
      <c r="Y35" s="351"/>
    </row>
    <row r="36" spans="1:25">
      <c r="A36" s="305" t="s">
        <v>1685</v>
      </c>
      <c r="B36" s="304" t="s">
        <v>1744</v>
      </c>
      <c r="C36" s="98">
        <v>1</v>
      </c>
      <c r="D36" s="98" t="s">
        <v>780</v>
      </c>
      <c r="E36" s="98" t="s">
        <v>778</v>
      </c>
      <c r="F36" s="93">
        <f t="shared" si="0"/>
        <v>0</v>
      </c>
      <c r="G36" s="205"/>
      <c r="H36" s="353"/>
      <c r="I36" s="353"/>
      <c r="L36" s="305" t="s">
        <v>1685</v>
      </c>
      <c r="M36" s="304" t="s">
        <v>1744</v>
      </c>
      <c r="N36" s="347"/>
      <c r="O36" s="348"/>
      <c r="P36" s="349"/>
      <c r="Q36" s="353"/>
      <c r="R36" s="353"/>
      <c r="S36" s="351"/>
      <c r="T36" s="351"/>
      <c r="U36" s="351"/>
      <c r="V36" s="351"/>
      <c r="W36" s="351"/>
      <c r="X36" s="351"/>
      <c r="Y36" s="351"/>
    </row>
    <row r="37" spans="1:25">
      <c r="A37" s="228" t="s">
        <v>337</v>
      </c>
      <c r="B37" s="96" t="s">
        <v>338</v>
      </c>
      <c r="C37" s="98">
        <v>2</v>
      </c>
      <c r="D37" s="98" t="s">
        <v>780</v>
      </c>
      <c r="E37" s="98" t="s">
        <v>778</v>
      </c>
      <c r="F37" s="93">
        <f t="shared" si="0"/>
        <v>0</v>
      </c>
      <c r="G37" s="205"/>
      <c r="H37" s="353"/>
      <c r="I37" s="353"/>
      <c r="L37" s="345" t="s">
        <v>1855</v>
      </c>
      <c r="M37" s="346" t="s">
        <v>338</v>
      </c>
      <c r="N37" s="347">
        <v>114</v>
      </c>
      <c r="O37" s="348"/>
      <c r="P37" s="349">
        <v>2</v>
      </c>
      <c r="Q37" s="353"/>
      <c r="R37" s="353">
        <v>2</v>
      </c>
      <c r="S37" s="351"/>
      <c r="T37" s="351"/>
      <c r="U37" s="351"/>
      <c r="V37" s="351"/>
      <c r="W37" s="351"/>
      <c r="X37" s="351"/>
      <c r="Y37" s="351"/>
    </row>
    <row r="38" spans="1:25">
      <c r="A38" s="228" t="s">
        <v>175</v>
      </c>
      <c r="B38" s="96" t="s">
        <v>176</v>
      </c>
      <c r="C38" s="98">
        <v>1</v>
      </c>
      <c r="D38" s="98" t="s">
        <v>780</v>
      </c>
      <c r="E38" s="98" t="s">
        <v>778</v>
      </c>
      <c r="F38" s="93">
        <f t="shared" si="0"/>
        <v>0</v>
      </c>
      <c r="G38" s="205"/>
      <c r="H38" s="353"/>
      <c r="I38" s="353"/>
      <c r="L38" s="345" t="s">
        <v>1772</v>
      </c>
      <c r="M38" s="346" t="s">
        <v>176</v>
      </c>
      <c r="N38" s="347">
        <v>123</v>
      </c>
      <c r="O38" s="348">
        <v>1</v>
      </c>
      <c r="P38" s="349"/>
      <c r="Q38" s="353"/>
      <c r="R38" s="353">
        <v>2</v>
      </c>
      <c r="S38" s="351"/>
      <c r="T38" s="351"/>
      <c r="U38" s="351"/>
      <c r="V38" s="351"/>
      <c r="W38" s="351"/>
      <c r="X38" s="351"/>
      <c r="Y38" s="351"/>
    </row>
    <row r="39" spans="1:25">
      <c r="A39" s="228" t="s">
        <v>397</v>
      </c>
      <c r="B39" s="96" t="s">
        <v>398</v>
      </c>
      <c r="C39" s="98">
        <v>2</v>
      </c>
      <c r="D39" s="98" t="s">
        <v>780</v>
      </c>
      <c r="E39" s="98" t="s">
        <v>778</v>
      </c>
      <c r="F39" s="93">
        <f t="shared" si="0"/>
        <v>0</v>
      </c>
      <c r="G39" s="205"/>
      <c r="H39" s="353"/>
      <c r="I39" s="353"/>
      <c r="L39" s="345" t="s">
        <v>1887</v>
      </c>
      <c r="M39" s="346" t="s">
        <v>398</v>
      </c>
      <c r="N39" s="347">
        <v>105</v>
      </c>
      <c r="O39" s="348"/>
      <c r="P39" s="349">
        <v>2</v>
      </c>
      <c r="Q39" s="353"/>
      <c r="R39" s="353">
        <v>2</v>
      </c>
      <c r="S39" s="351"/>
      <c r="T39" s="351"/>
      <c r="U39" s="351"/>
      <c r="V39" s="351"/>
      <c r="W39" s="351"/>
      <c r="X39" s="351"/>
      <c r="Y39" s="351"/>
    </row>
    <row r="40" spans="1:25">
      <c r="A40" s="228" t="s">
        <v>524</v>
      </c>
      <c r="B40" s="96" t="s">
        <v>525</v>
      </c>
      <c r="C40" s="98">
        <v>1</v>
      </c>
      <c r="D40" s="98" t="s">
        <v>780</v>
      </c>
      <c r="E40" s="98" t="s">
        <v>778</v>
      </c>
      <c r="F40" s="93">
        <f t="shared" si="0"/>
        <v>0</v>
      </c>
      <c r="G40" s="205"/>
      <c r="H40" s="353"/>
      <c r="I40" s="353"/>
      <c r="L40" s="345" t="s">
        <v>1952</v>
      </c>
      <c r="M40" s="346" t="s">
        <v>525</v>
      </c>
      <c r="N40" s="347">
        <v>121</v>
      </c>
      <c r="O40" s="348">
        <v>1</v>
      </c>
      <c r="P40" s="349"/>
      <c r="Q40" s="353"/>
      <c r="R40" s="353">
        <v>2</v>
      </c>
      <c r="S40" s="351"/>
      <c r="T40" s="351"/>
      <c r="U40" s="351"/>
      <c r="V40" s="351"/>
      <c r="W40" s="351"/>
      <c r="X40" s="351"/>
      <c r="Y40" s="351"/>
    </row>
    <row r="41" spans="1:25">
      <c r="A41" s="228" t="s">
        <v>696</v>
      </c>
      <c r="B41" s="96" t="s">
        <v>697</v>
      </c>
      <c r="C41" s="98">
        <v>2</v>
      </c>
      <c r="D41" s="98" t="s">
        <v>777</v>
      </c>
      <c r="E41" s="98" t="s">
        <v>778</v>
      </c>
      <c r="F41" s="93">
        <f t="shared" si="0"/>
        <v>1</v>
      </c>
      <c r="G41" s="205"/>
      <c r="H41" s="353"/>
      <c r="I41" s="353"/>
      <c r="L41" s="345" t="s">
        <v>2041</v>
      </c>
      <c r="M41" s="346" t="s">
        <v>697</v>
      </c>
      <c r="N41" s="347">
        <v>101</v>
      </c>
      <c r="O41" s="348"/>
      <c r="P41" s="349">
        <v>2</v>
      </c>
      <c r="Q41" s="353">
        <v>1</v>
      </c>
      <c r="R41" s="353"/>
      <c r="S41" s="351"/>
      <c r="T41" s="351"/>
      <c r="U41" s="351"/>
      <c r="V41" s="351"/>
      <c r="W41" s="351"/>
      <c r="X41" s="351"/>
      <c r="Y41" s="351"/>
    </row>
    <row r="42" spans="1:25">
      <c r="A42" s="228" t="s">
        <v>665</v>
      </c>
      <c r="B42" s="96" t="s">
        <v>666</v>
      </c>
      <c r="C42" s="98">
        <v>2</v>
      </c>
      <c r="D42" s="98" t="s">
        <v>780</v>
      </c>
      <c r="E42" s="98" t="s">
        <v>779</v>
      </c>
      <c r="F42" s="93">
        <f t="shared" si="0"/>
        <v>0</v>
      </c>
      <c r="G42" s="205"/>
      <c r="H42" s="353"/>
      <c r="I42" s="353"/>
      <c r="L42" s="345" t="s">
        <v>2025</v>
      </c>
      <c r="M42" s="346" t="s">
        <v>666</v>
      </c>
      <c r="N42" s="347">
        <v>123</v>
      </c>
      <c r="O42" s="348"/>
      <c r="P42" s="349">
        <v>2</v>
      </c>
      <c r="Q42" s="353"/>
      <c r="R42" s="353">
        <v>2</v>
      </c>
      <c r="S42" s="351"/>
      <c r="T42" s="351"/>
      <c r="U42" s="351"/>
      <c r="V42" s="351"/>
      <c r="W42" s="351"/>
      <c r="X42" s="351"/>
      <c r="Y42" s="351"/>
    </row>
    <row r="43" spans="1:25">
      <c r="A43" s="228" t="s">
        <v>704</v>
      </c>
      <c r="B43" s="96" t="s">
        <v>705</v>
      </c>
      <c r="C43" s="98">
        <v>2</v>
      </c>
      <c r="D43" s="98" t="s">
        <v>777</v>
      </c>
      <c r="E43" s="98" t="s">
        <v>778</v>
      </c>
      <c r="F43" s="93">
        <f t="shared" si="0"/>
        <v>1</v>
      </c>
      <c r="G43" s="205"/>
      <c r="H43" s="353"/>
      <c r="I43" s="353"/>
      <c r="L43" s="345" t="s">
        <v>2045</v>
      </c>
      <c r="M43" s="346" t="s">
        <v>705</v>
      </c>
      <c r="N43" s="347">
        <v>101</v>
      </c>
      <c r="O43" s="348"/>
      <c r="P43" s="349">
        <v>2</v>
      </c>
      <c r="Q43" s="353">
        <v>1</v>
      </c>
      <c r="R43" s="353"/>
      <c r="S43" s="351"/>
      <c r="T43" s="351"/>
      <c r="U43" s="351"/>
      <c r="V43" s="351"/>
      <c r="W43" s="351"/>
      <c r="X43" s="351"/>
      <c r="Y43" s="351"/>
    </row>
    <row r="44" spans="1:25">
      <c r="A44" s="228" t="s">
        <v>636</v>
      </c>
      <c r="B44" s="96" t="s">
        <v>814</v>
      </c>
      <c r="C44" s="98">
        <v>2</v>
      </c>
      <c r="D44" s="98" t="s">
        <v>777</v>
      </c>
      <c r="E44" s="98" t="s">
        <v>778</v>
      </c>
      <c r="F44" s="93">
        <f t="shared" si="0"/>
        <v>1</v>
      </c>
      <c r="G44" s="205"/>
      <c r="H44" s="353"/>
      <c r="I44" s="353"/>
      <c r="L44" s="345" t="s">
        <v>2010</v>
      </c>
      <c r="M44" s="346" t="s">
        <v>1266</v>
      </c>
      <c r="N44" s="347">
        <v>101</v>
      </c>
      <c r="O44" s="348"/>
      <c r="P44" s="349">
        <v>2</v>
      </c>
      <c r="Q44" s="353">
        <v>1</v>
      </c>
      <c r="R44" s="353"/>
      <c r="S44" s="351"/>
      <c r="T44" s="351"/>
      <c r="U44" s="351"/>
      <c r="V44" s="351"/>
      <c r="W44" s="351"/>
      <c r="X44" s="351"/>
      <c r="Y44" s="351"/>
    </row>
    <row r="45" spans="1:25">
      <c r="A45" s="228" t="s">
        <v>669</v>
      </c>
      <c r="B45" s="96" t="s">
        <v>815</v>
      </c>
      <c r="C45" s="98">
        <v>2</v>
      </c>
      <c r="D45" s="98" t="s">
        <v>780</v>
      </c>
      <c r="E45" s="98" t="s">
        <v>778</v>
      </c>
      <c r="F45" s="93">
        <f t="shared" si="0"/>
        <v>0</v>
      </c>
      <c r="G45" s="205"/>
      <c r="H45" s="353"/>
      <c r="I45" s="353"/>
      <c r="L45" s="345" t="s">
        <v>2027</v>
      </c>
      <c r="M45" s="346" t="s">
        <v>1266</v>
      </c>
      <c r="N45" s="347">
        <v>123</v>
      </c>
      <c r="O45" s="348"/>
      <c r="P45" s="349">
        <v>2</v>
      </c>
      <c r="Q45" s="353"/>
      <c r="R45" s="353">
        <v>2</v>
      </c>
      <c r="S45" s="351"/>
      <c r="T45" s="351"/>
      <c r="U45" s="351"/>
      <c r="V45" s="351"/>
      <c r="W45" s="351"/>
      <c r="X45" s="351"/>
      <c r="Y45" s="351"/>
    </row>
    <row r="46" spans="1:25">
      <c r="A46" s="228" t="s">
        <v>629</v>
      </c>
      <c r="B46" s="96" t="s">
        <v>630</v>
      </c>
      <c r="C46" s="98">
        <v>2</v>
      </c>
      <c r="D46" s="98" t="s">
        <v>780</v>
      </c>
      <c r="E46" s="98" t="s">
        <v>778</v>
      </c>
      <c r="F46" s="93">
        <f t="shared" si="0"/>
        <v>0</v>
      </c>
      <c r="G46" s="205"/>
      <c r="H46" s="353"/>
      <c r="I46" s="353"/>
      <c r="L46" s="345" t="s">
        <v>2006</v>
      </c>
      <c r="M46" s="346" t="s">
        <v>630</v>
      </c>
      <c r="N46" s="347">
        <v>101</v>
      </c>
      <c r="O46" s="348"/>
      <c r="P46" s="349">
        <v>2</v>
      </c>
      <c r="Q46" s="353"/>
      <c r="R46" s="353">
        <v>2</v>
      </c>
      <c r="S46" s="351"/>
      <c r="T46" s="351"/>
      <c r="U46" s="351"/>
      <c r="V46" s="351"/>
      <c r="W46" s="351"/>
      <c r="X46" s="351"/>
      <c r="Y46" s="351"/>
    </row>
    <row r="47" spans="1:25">
      <c r="A47" s="228" t="s">
        <v>546</v>
      </c>
      <c r="B47" s="96" t="s">
        <v>547</v>
      </c>
      <c r="C47" s="98">
        <v>2</v>
      </c>
      <c r="D47" s="98" t="s">
        <v>780</v>
      </c>
      <c r="E47" s="98" t="s">
        <v>778</v>
      </c>
      <c r="F47" s="93">
        <f t="shared" si="0"/>
        <v>0</v>
      </c>
      <c r="G47" s="205"/>
      <c r="H47" s="353"/>
      <c r="I47" s="353"/>
      <c r="L47" s="345" t="s">
        <v>1963</v>
      </c>
      <c r="M47" s="346" t="s">
        <v>547</v>
      </c>
      <c r="N47" s="347">
        <v>189</v>
      </c>
      <c r="O47" s="348"/>
      <c r="P47" s="349">
        <v>2</v>
      </c>
      <c r="Q47" s="353"/>
      <c r="R47" s="353">
        <v>2</v>
      </c>
      <c r="S47" s="351"/>
      <c r="T47" s="351"/>
      <c r="U47" s="351"/>
      <c r="V47" s="351"/>
      <c r="W47" s="351"/>
      <c r="X47" s="351"/>
      <c r="Y47" s="351"/>
    </row>
    <row r="48" spans="1:25">
      <c r="A48" s="228" t="s">
        <v>555</v>
      </c>
      <c r="B48" s="96" t="s">
        <v>556</v>
      </c>
      <c r="C48" s="98">
        <v>2</v>
      </c>
      <c r="D48" s="98" t="s">
        <v>780</v>
      </c>
      <c r="E48" s="98" t="s">
        <v>779</v>
      </c>
      <c r="F48" s="93">
        <f t="shared" si="0"/>
        <v>0</v>
      </c>
      <c r="G48" s="205"/>
      <c r="H48" s="353"/>
      <c r="I48" s="353"/>
      <c r="L48" s="345" t="s">
        <v>1968</v>
      </c>
      <c r="M48" s="346" t="s">
        <v>556</v>
      </c>
      <c r="N48" s="347">
        <v>189</v>
      </c>
      <c r="O48" s="348"/>
      <c r="P48" s="349">
        <v>2</v>
      </c>
      <c r="Q48" s="353"/>
      <c r="R48" s="353">
        <v>2</v>
      </c>
      <c r="S48" s="351"/>
      <c r="T48" s="351"/>
      <c r="U48" s="351"/>
      <c r="V48" s="351"/>
      <c r="W48" s="351"/>
      <c r="X48" s="351"/>
      <c r="Y48" s="351"/>
    </row>
    <row r="49" spans="1:25">
      <c r="A49" s="228" t="s">
        <v>315</v>
      </c>
      <c r="B49" s="96" t="s">
        <v>316</v>
      </c>
      <c r="C49" s="98">
        <v>2</v>
      </c>
      <c r="D49" s="98" t="s">
        <v>777</v>
      </c>
      <c r="E49" s="98" t="s">
        <v>779</v>
      </c>
      <c r="F49" s="93">
        <f t="shared" si="0"/>
        <v>1</v>
      </c>
      <c r="G49" s="205"/>
      <c r="H49" s="353"/>
      <c r="I49" s="353"/>
      <c r="L49" s="345" t="s">
        <v>1844</v>
      </c>
      <c r="M49" s="346" t="s">
        <v>316</v>
      </c>
      <c r="N49" s="347">
        <v>113</v>
      </c>
      <c r="O49" s="348"/>
      <c r="P49" s="349">
        <v>2</v>
      </c>
      <c r="Q49" s="353">
        <v>1</v>
      </c>
      <c r="R49" s="353"/>
      <c r="S49" s="351"/>
      <c r="T49" s="351"/>
      <c r="U49" s="351"/>
      <c r="V49" s="351"/>
      <c r="W49" s="351"/>
      <c r="X49" s="351"/>
      <c r="Y49" s="351"/>
    </row>
    <row r="50" spans="1:25">
      <c r="A50" s="228" t="s">
        <v>285</v>
      </c>
      <c r="B50" s="96" t="s">
        <v>286</v>
      </c>
      <c r="C50" s="98">
        <v>2</v>
      </c>
      <c r="D50" s="98" t="s">
        <v>777</v>
      </c>
      <c r="E50" s="98" t="s">
        <v>778</v>
      </c>
      <c r="F50" s="93">
        <f t="shared" si="0"/>
        <v>1</v>
      </c>
      <c r="G50" s="205"/>
      <c r="H50" s="353"/>
      <c r="I50" s="353"/>
      <c r="L50" s="345" t="s">
        <v>1829</v>
      </c>
      <c r="M50" s="346" t="s">
        <v>286</v>
      </c>
      <c r="N50" s="347">
        <v>171</v>
      </c>
      <c r="O50" s="348"/>
      <c r="P50" s="349">
        <v>2</v>
      </c>
      <c r="Q50" s="353">
        <v>1</v>
      </c>
      <c r="R50" s="353"/>
      <c r="S50" s="351"/>
      <c r="T50" s="351"/>
      <c r="U50" s="351"/>
      <c r="V50" s="351"/>
      <c r="W50" s="351"/>
      <c r="X50" s="351"/>
      <c r="Y50" s="351"/>
    </row>
    <row r="51" spans="1:25">
      <c r="A51" s="228" t="s">
        <v>327</v>
      </c>
      <c r="B51" s="96" t="s">
        <v>328</v>
      </c>
      <c r="C51" s="98">
        <v>2</v>
      </c>
      <c r="D51" s="98" t="s">
        <v>780</v>
      </c>
      <c r="E51" s="98" t="s">
        <v>778</v>
      </c>
      <c r="F51" s="93">
        <f t="shared" si="0"/>
        <v>0</v>
      </c>
      <c r="G51" s="205"/>
      <c r="H51" s="353"/>
      <c r="I51" s="353"/>
      <c r="L51" s="345" t="s">
        <v>1850</v>
      </c>
      <c r="M51" s="346" t="s">
        <v>328</v>
      </c>
      <c r="N51" s="347">
        <v>189</v>
      </c>
      <c r="O51" s="348"/>
      <c r="P51" s="349">
        <v>2</v>
      </c>
      <c r="Q51" s="353"/>
      <c r="R51" s="353">
        <v>2</v>
      </c>
      <c r="S51" s="351"/>
      <c r="T51" s="351"/>
      <c r="U51" s="351"/>
      <c r="V51" s="351"/>
      <c r="W51" s="351"/>
      <c r="X51" s="351"/>
      <c r="Y51" s="351"/>
    </row>
    <row r="52" spans="1:25">
      <c r="A52" s="228" t="s">
        <v>207</v>
      </c>
      <c r="B52" s="96" t="s">
        <v>208</v>
      </c>
      <c r="C52" s="98">
        <v>2</v>
      </c>
      <c r="D52" s="98" t="s">
        <v>780</v>
      </c>
      <c r="E52" s="98" t="s">
        <v>778</v>
      </c>
      <c r="F52" s="93">
        <f t="shared" si="0"/>
        <v>0</v>
      </c>
      <c r="G52" s="205"/>
      <c r="H52" s="353"/>
      <c r="I52" s="353"/>
      <c r="L52" s="345" t="s">
        <v>1788</v>
      </c>
      <c r="M52" s="346" t="s">
        <v>208</v>
      </c>
      <c r="N52" s="347">
        <v>114</v>
      </c>
      <c r="O52" s="348"/>
      <c r="P52" s="349">
        <v>2</v>
      </c>
      <c r="Q52" s="353"/>
      <c r="R52" s="353">
        <v>2</v>
      </c>
      <c r="S52" s="351"/>
      <c r="T52" s="351"/>
      <c r="U52" s="351"/>
      <c r="V52" s="351"/>
      <c r="W52" s="351"/>
      <c r="X52" s="351"/>
      <c r="Y52" s="351"/>
    </row>
    <row r="53" spans="1:25">
      <c r="A53" s="228" t="s">
        <v>451</v>
      </c>
      <c r="B53" s="96" t="s">
        <v>452</v>
      </c>
      <c r="C53" s="98">
        <v>2</v>
      </c>
      <c r="D53" s="98" t="s">
        <v>777</v>
      </c>
      <c r="E53" s="98" t="s">
        <v>778</v>
      </c>
      <c r="F53" s="93">
        <f t="shared" si="0"/>
        <v>1</v>
      </c>
      <c r="G53" s="205"/>
      <c r="H53" s="353"/>
      <c r="I53" s="353"/>
      <c r="L53" s="345" t="s">
        <v>1914</v>
      </c>
      <c r="M53" s="346" t="s">
        <v>452</v>
      </c>
      <c r="N53" s="347">
        <v>101</v>
      </c>
      <c r="O53" s="348"/>
      <c r="P53" s="349">
        <v>2</v>
      </c>
      <c r="Q53" s="353">
        <v>1</v>
      </c>
      <c r="R53" s="353"/>
      <c r="S53" s="351"/>
      <c r="T53" s="351"/>
      <c r="U53" s="351"/>
      <c r="V53" s="351"/>
      <c r="W53" s="351"/>
      <c r="X53" s="351"/>
      <c r="Y53" s="351"/>
    </row>
    <row r="54" spans="1:25">
      <c r="A54" s="228" t="s">
        <v>261</v>
      </c>
      <c r="B54" s="96" t="s">
        <v>262</v>
      </c>
      <c r="C54" s="98">
        <v>2</v>
      </c>
      <c r="D54" s="98" t="s">
        <v>777</v>
      </c>
      <c r="E54" s="98" t="s">
        <v>778</v>
      </c>
      <c r="F54" s="93">
        <f t="shared" si="0"/>
        <v>1</v>
      </c>
      <c r="G54" s="205"/>
      <c r="H54" s="353"/>
      <c r="I54" s="353"/>
      <c r="L54" s="345" t="s">
        <v>1817</v>
      </c>
      <c r="M54" s="346" t="s">
        <v>262</v>
      </c>
      <c r="N54" s="347">
        <v>101</v>
      </c>
      <c r="O54" s="348"/>
      <c r="P54" s="349">
        <v>2</v>
      </c>
      <c r="Q54" s="353">
        <v>1</v>
      </c>
      <c r="R54" s="353"/>
      <c r="S54" s="351"/>
      <c r="T54" s="351"/>
      <c r="U54" s="351"/>
      <c r="V54" s="351"/>
      <c r="W54" s="351"/>
      <c r="X54" s="351"/>
      <c r="Y54" s="351"/>
    </row>
    <row r="55" spans="1:25">
      <c r="A55" s="228" t="s">
        <v>504</v>
      </c>
      <c r="B55" s="96" t="s">
        <v>505</v>
      </c>
      <c r="C55" s="98">
        <v>2</v>
      </c>
      <c r="D55" s="98" t="s">
        <v>777</v>
      </c>
      <c r="E55" s="98" t="s">
        <v>778</v>
      </c>
      <c r="F55" s="93">
        <f t="shared" si="0"/>
        <v>1</v>
      </c>
      <c r="G55" s="205"/>
      <c r="H55" s="353"/>
      <c r="I55" s="353"/>
      <c r="L55" s="345" t="s">
        <v>1942</v>
      </c>
      <c r="M55" s="346" t="s">
        <v>505</v>
      </c>
      <c r="N55" s="347">
        <v>101</v>
      </c>
      <c r="O55" s="348"/>
      <c r="P55" s="349">
        <v>2</v>
      </c>
      <c r="Q55" s="353">
        <v>1</v>
      </c>
      <c r="R55" s="353"/>
      <c r="S55" s="351"/>
      <c r="T55" s="351"/>
      <c r="U55" s="351"/>
      <c r="V55" s="351"/>
      <c r="W55" s="351"/>
      <c r="X55" s="351"/>
      <c r="Y55" s="351"/>
    </row>
    <row r="56" spans="1:25">
      <c r="A56" s="228" t="s">
        <v>387</v>
      </c>
      <c r="B56" s="96" t="s">
        <v>388</v>
      </c>
      <c r="C56" s="98">
        <v>2</v>
      </c>
      <c r="D56" s="98" t="s">
        <v>777</v>
      </c>
      <c r="E56" s="98" t="s">
        <v>779</v>
      </c>
      <c r="F56" s="93">
        <f t="shared" si="0"/>
        <v>1</v>
      </c>
      <c r="G56" s="205"/>
      <c r="H56" s="353"/>
      <c r="I56" s="353"/>
      <c r="L56" s="345" t="s">
        <v>1882</v>
      </c>
      <c r="M56" s="346" t="s">
        <v>388</v>
      </c>
      <c r="N56" s="347">
        <v>105</v>
      </c>
      <c r="O56" s="347"/>
      <c r="P56" s="353">
        <v>2</v>
      </c>
      <c r="Q56" s="353">
        <v>1</v>
      </c>
      <c r="R56" s="353"/>
      <c r="S56" s="351"/>
      <c r="T56" s="351"/>
      <c r="U56" s="351"/>
      <c r="V56" s="351"/>
      <c r="W56" s="351"/>
      <c r="X56" s="351"/>
      <c r="Y56" s="351"/>
    </row>
    <row r="57" spans="1:25">
      <c r="A57" s="228" t="s">
        <v>589</v>
      </c>
      <c r="B57" s="96" t="s">
        <v>590</v>
      </c>
      <c r="C57" s="98">
        <v>2</v>
      </c>
      <c r="D57" s="98" t="s">
        <v>780</v>
      </c>
      <c r="E57" s="98" t="s">
        <v>778</v>
      </c>
      <c r="F57" s="93">
        <f t="shared" si="0"/>
        <v>0</v>
      </c>
      <c r="G57" s="205"/>
      <c r="H57" s="353"/>
      <c r="I57" s="353"/>
      <c r="L57" s="345" t="s">
        <v>1985</v>
      </c>
      <c r="M57" s="346" t="s">
        <v>590</v>
      </c>
      <c r="N57" s="347">
        <v>189</v>
      </c>
      <c r="O57" s="348"/>
      <c r="P57" s="349">
        <v>2</v>
      </c>
      <c r="Q57" s="353"/>
      <c r="R57" s="353">
        <v>2</v>
      </c>
      <c r="S57" s="351"/>
      <c r="T57" s="351"/>
      <c r="U57" s="351"/>
      <c r="V57" s="351"/>
      <c r="W57" s="351"/>
      <c r="X57" s="351"/>
      <c r="Y57" s="351"/>
    </row>
    <row r="58" spans="1:25">
      <c r="A58" s="228" t="s">
        <v>459</v>
      </c>
      <c r="B58" s="96" t="s">
        <v>460</v>
      </c>
      <c r="C58" s="98">
        <v>2</v>
      </c>
      <c r="D58" s="98" t="s">
        <v>777</v>
      </c>
      <c r="E58" s="98" t="s">
        <v>778</v>
      </c>
      <c r="F58" s="93">
        <f t="shared" si="0"/>
        <v>1</v>
      </c>
      <c r="G58" s="205"/>
      <c r="H58" s="353"/>
      <c r="I58" s="353"/>
      <c r="L58" s="345" t="s">
        <v>1918</v>
      </c>
      <c r="M58" s="346" t="s">
        <v>460</v>
      </c>
      <c r="N58" s="347">
        <v>101</v>
      </c>
      <c r="O58" s="348"/>
      <c r="P58" s="349">
        <v>2</v>
      </c>
      <c r="Q58" s="353">
        <v>1</v>
      </c>
      <c r="R58" s="353"/>
      <c r="S58" s="351"/>
      <c r="T58" s="351"/>
      <c r="U58" s="351"/>
      <c r="V58" s="351"/>
      <c r="W58" s="351"/>
      <c r="X58" s="351"/>
      <c r="Y58" s="351"/>
    </row>
    <row r="59" spans="1:25">
      <c r="A59" s="228" t="s">
        <v>231</v>
      </c>
      <c r="B59" s="96" t="s">
        <v>232</v>
      </c>
      <c r="C59" s="98">
        <v>2</v>
      </c>
      <c r="D59" s="98" t="s">
        <v>777</v>
      </c>
      <c r="E59" s="98" t="s">
        <v>778</v>
      </c>
      <c r="F59" s="93">
        <f t="shared" si="0"/>
        <v>1</v>
      </c>
      <c r="G59" s="205"/>
      <c r="H59" s="353"/>
      <c r="I59" s="353"/>
      <c r="L59" s="345" t="s">
        <v>1802</v>
      </c>
      <c r="M59" s="346" t="s">
        <v>232</v>
      </c>
      <c r="N59" s="347">
        <v>123</v>
      </c>
      <c r="O59" s="348"/>
      <c r="P59" s="349">
        <v>2</v>
      </c>
      <c r="Q59" s="353">
        <v>1</v>
      </c>
      <c r="R59" s="353"/>
      <c r="S59" s="351"/>
      <c r="T59" s="351"/>
      <c r="U59" s="351"/>
      <c r="V59" s="351"/>
      <c r="W59" s="351"/>
      <c r="X59" s="351"/>
      <c r="Y59" s="351"/>
    </row>
    <row r="60" spans="1:25">
      <c r="A60" s="228" t="s">
        <v>617</v>
      </c>
      <c r="B60" s="96" t="s">
        <v>618</v>
      </c>
      <c r="C60" s="98">
        <v>1</v>
      </c>
      <c r="D60" s="98" t="s">
        <v>780</v>
      </c>
      <c r="E60" s="98" t="s">
        <v>778</v>
      </c>
      <c r="F60" s="93">
        <f t="shared" si="0"/>
        <v>0</v>
      </c>
      <c r="G60" s="205"/>
      <c r="H60" s="353"/>
      <c r="I60" s="353"/>
      <c r="L60" s="345" t="s">
        <v>2000</v>
      </c>
      <c r="M60" s="346" t="s">
        <v>618</v>
      </c>
      <c r="N60" s="347">
        <v>101</v>
      </c>
      <c r="O60" s="348">
        <v>1</v>
      </c>
      <c r="P60" s="349"/>
      <c r="Q60" s="353"/>
      <c r="R60" s="353">
        <v>2</v>
      </c>
      <c r="S60" s="351"/>
      <c r="T60" s="351"/>
      <c r="U60" s="351"/>
      <c r="V60" s="351"/>
      <c r="W60" s="351"/>
      <c r="X60" s="351"/>
      <c r="Y60" s="351"/>
    </row>
    <row r="61" spans="1:25">
      <c r="A61" s="228" t="s">
        <v>520</v>
      </c>
      <c r="B61" s="96" t="s">
        <v>521</v>
      </c>
      <c r="C61" s="98">
        <v>2</v>
      </c>
      <c r="D61" s="98" t="s">
        <v>780</v>
      </c>
      <c r="E61" s="98" t="s">
        <v>779</v>
      </c>
      <c r="F61" s="93">
        <f t="shared" si="0"/>
        <v>0</v>
      </c>
      <c r="G61" s="205"/>
      <c r="H61" s="353"/>
      <c r="I61" s="353"/>
      <c r="L61" s="345" t="s">
        <v>1950</v>
      </c>
      <c r="M61" s="346" t="s">
        <v>521</v>
      </c>
      <c r="N61" s="347">
        <v>121</v>
      </c>
      <c r="O61" s="348"/>
      <c r="P61" s="349">
        <v>2</v>
      </c>
      <c r="Q61" s="353"/>
      <c r="R61" s="353">
        <v>2</v>
      </c>
      <c r="S61" s="351"/>
      <c r="T61" s="351"/>
      <c r="U61" s="351"/>
      <c r="V61" s="351"/>
      <c r="W61" s="351"/>
      <c r="X61" s="351"/>
      <c r="Y61" s="351"/>
    </row>
    <row r="62" spans="1:25">
      <c r="A62" s="228" t="s">
        <v>661</v>
      </c>
      <c r="B62" s="96" t="s">
        <v>662</v>
      </c>
      <c r="C62" s="98">
        <v>2</v>
      </c>
      <c r="D62" s="98" t="s">
        <v>777</v>
      </c>
      <c r="E62" s="98" t="s">
        <v>779</v>
      </c>
      <c r="F62" s="93">
        <f t="shared" si="0"/>
        <v>1</v>
      </c>
      <c r="G62" s="205"/>
      <c r="H62" s="353"/>
      <c r="I62" s="353"/>
      <c r="L62" s="345" t="s">
        <v>2023</v>
      </c>
      <c r="M62" s="346" t="s">
        <v>662</v>
      </c>
      <c r="N62" s="347">
        <v>123</v>
      </c>
      <c r="O62" s="348"/>
      <c r="P62" s="349">
        <v>2</v>
      </c>
      <c r="Q62" s="353">
        <v>1</v>
      </c>
      <c r="R62" s="353"/>
      <c r="S62" s="351"/>
      <c r="T62" s="351"/>
      <c r="U62" s="351"/>
      <c r="V62" s="351"/>
      <c r="W62" s="351"/>
      <c r="X62" s="351"/>
      <c r="Y62" s="351"/>
    </row>
    <row r="63" spans="1:25">
      <c r="A63" s="228" t="s">
        <v>613</v>
      </c>
      <c r="B63" s="96" t="s">
        <v>811</v>
      </c>
      <c r="C63" s="98">
        <v>1</v>
      </c>
      <c r="D63" s="98" t="s">
        <v>780</v>
      </c>
      <c r="E63" s="98" t="s">
        <v>778</v>
      </c>
      <c r="F63" s="93">
        <f t="shared" si="0"/>
        <v>0</v>
      </c>
      <c r="G63" s="205"/>
      <c r="H63" s="353"/>
      <c r="I63" s="353"/>
      <c r="L63" s="345" t="s">
        <v>1997</v>
      </c>
      <c r="M63" s="346" t="s">
        <v>1264</v>
      </c>
      <c r="N63" s="347">
        <v>101</v>
      </c>
      <c r="O63" s="348">
        <v>1</v>
      </c>
      <c r="P63" s="349"/>
      <c r="Q63" s="353"/>
      <c r="R63" s="353">
        <v>2</v>
      </c>
      <c r="S63" s="351"/>
      <c r="T63" s="351"/>
      <c r="U63" s="351"/>
      <c r="V63" s="351"/>
      <c r="W63" s="351"/>
      <c r="X63" s="351"/>
      <c r="Y63" s="351"/>
    </row>
    <row r="64" spans="1:25">
      <c r="A64" s="228" t="s">
        <v>720</v>
      </c>
      <c r="B64" s="96" t="s">
        <v>816</v>
      </c>
      <c r="C64" s="98">
        <v>1</v>
      </c>
      <c r="D64" s="98" t="s">
        <v>780</v>
      </c>
      <c r="E64" s="98" t="s">
        <v>778</v>
      </c>
      <c r="F64" s="93">
        <f t="shared" si="0"/>
        <v>0</v>
      </c>
      <c r="G64" s="205"/>
      <c r="H64" s="353"/>
      <c r="I64" s="353"/>
      <c r="L64" s="345" t="s">
        <v>2053</v>
      </c>
      <c r="M64" s="346" t="s">
        <v>1264</v>
      </c>
      <c r="N64" s="347">
        <v>105</v>
      </c>
      <c r="O64" s="348">
        <v>1</v>
      </c>
      <c r="P64" s="349"/>
      <c r="Q64" s="353"/>
      <c r="R64" s="353">
        <v>2</v>
      </c>
      <c r="S64" s="351"/>
      <c r="T64" s="351"/>
      <c r="U64" s="351"/>
      <c r="V64" s="351"/>
      <c r="W64" s="351"/>
      <c r="X64" s="351"/>
      <c r="Y64" s="351"/>
    </row>
    <row r="65" spans="1:25">
      <c r="A65" s="228" t="s">
        <v>253</v>
      </c>
      <c r="B65" s="96" t="s">
        <v>254</v>
      </c>
      <c r="C65" s="98">
        <v>1</v>
      </c>
      <c r="D65" s="98" t="s">
        <v>780</v>
      </c>
      <c r="E65" s="98" t="s">
        <v>778</v>
      </c>
      <c r="F65" s="93">
        <f t="shared" si="0"/>
        <v>0</v>
      </c>
      <c r="G65" s="205"/>
      <c r="H65" s="353"/>
      <c r="I65" s="353"/>
      <c r="L65" s="345" t="s">
        <v>1813</v>
      </c>
      <c r="M65" s="346" t="s">
        <v>254</v>
      </c>
      <c r="N65" s="347">
        <v>171</v>
      </c>
      <c r="O65" s="348">
        <v>1</v>
      </c>
      <c r="P65" s="349"/>
      <c r="Q65" s="353"/>
      <c r="R65" s="353">
        <v>2</v>
      </c>
      <c r="S65" s="351"/>
      <c r="T65" s="351"/>
      <c r="U65" s="351"/>
      <c r="V65" s="351"/>
      <c r="W65" s="351"/>
      <c r="X65" s="351"/>
      <c r="Y65" s="351"/>
    </row>
    <row r="66" spans="1:25">
      <c r="A66" s="228" t="s">
        <v>389</v>
      </c>
      <c r="B66" s="96" t="s">
        <v>390</v>
      </c>
      <c r="C66" s="98">
        <v>2</v>
      </c>
      <c r="D66" s="98" t="s">
        <v>780</v>
      </c>
      <c r="E66" s="98" t="s">
        <v>778</v>
      </c>
      <c r="F66" s="93">
        <f t="shared" si="0"/>
        <v>0</v>
      </c>
      <c r="G66" s="205"/>
      <c r="H66" s="353"/>
      <c r="I66" s="353"/>
      <c r="L66" s="345" t="s">
        <v>1883</v>
      </c>
      <c r="M66" s="346" t="s">
        <v>390</v>
      </c>
      <c r="N66" s="347">
        <v>105</v>
      </c>
      <c r="O66" s="348"/>
      <c r="P66" s="349">
        <v>2</v>
      </c>
      <c r="Q66" s="353"/>
      <c r="R66" s="353">
        <v>2</v>
      </c>
      <c r="S66" s="351"/>
      <c r="T66" s="351"/>
      <c r="U66" s="351"/>
      <c r="V66" s="351"/>
      <c r="W66" s="351"/>
      <c r="X66" s="351"/>
      <c r="Y66" s="351"/>
    </row>
    <row r="67" spans="1:25">
      <c r="A67" s="228" t="s">
        <v>532</v>
      </c>
      <c r="B67" s="96" t="s">
        <v>533</v>
      </c>
      <c r="C67" s="98">
        <v>2</v>
      </c>
      <c r="D67" s="98" t="s">
        <v>780</v>
      </c>
      <c r="E67" s="98" t="s">
        <v>778</v>
      </c>
      <c r="F67" s="93">
        <f t="shared" ref="F67:F130" si="1">IF(+D67="cash",1,0)</f>
        <v>0</v>
      </c>
      <c r="G67" s="205"/>
      <c r="H67" s="353"/>
      <c r="I67" s="353"/>
      <c r="L67" s="345" t="s">
        <v>1956</v>
      </c>
      <c r="M67" s="346" t="s">
        <v>533</v>
      </c>
      <c r="N67" s="347">
        <v>121</v>
      </c>
      <c r="O67" s="348"/>
      <c r="P67" s="349">
        <v>2</v>
      </c>
      <c r="Q67" s="353"/>
      <c r="R67" s="353">
        <v>2</v>
      </c>
      <c r="S67" s="351"/>
      <c r="T67" s="351"/>
      <c r="U67" s="351"/>
      <c r="V67" s="351"/>
      <c r="W67" s="351"/>
      <c r="X67" s="351"/>
      <c r="Y67" s="351"/>
    </row>
    <row r="68" spans="1:25">
      <c r="A68" s="228" t="s">
        <v>573</v>
      </c>
      <c r="B68" s="96" t="s">
        <v>574</v>
      </c>
      <c r="C68" s="98">
        <v>1</v>
      </c>
      <c r="D68" s="98" t="s">
        <v>780</v>
      </c>
      <c r="E68" s="98" t="s">
        <v>778</v>
      </c>
      <c r="F68" s="93">
        <f t="shared" si="1"/>
        <v>0</v>
      </c>
      <c r="G68" s="205"/>
      <c r="H68" s="353"/>
      <c r="I68" s="353"/>
      <c r="L68" s="345" t="s">
        <v>1977</v>
      </c>
      <c r="M68" s="346" t="s">
        <v>574</v>
      </c>
      <c r="N68" s="347">
        <v>189</v>
      </c>
      <c r="O68" s="348">
        <v>1</v>
      </c>
      <c r="P68" s="349"/>
      <c r="Q68" s="353"/>
      <c r="R68" s="353">
        <v>2</v>
      </c>
      <c r="S68" s="351"/>
      <c r="T68" s="351"/>
      <c r="U68" s="351"/>
      <c r="V68" s="351"/>
      <c r="W68" s="351"/>
      <c r="X68" s="351"/>
      <c r="Y68" s="351"/>
    </row>
    <row r="69" spans="1:25">
      <c r="A69" s="228" t="s">
        <v>393</v>
      </c>
      <c r="B69" s="96" t="s">
        <v>394</v>
      </c>
      <c r="C69" s="98">
        <v>1</v>
      </c>
      <c r="D69" s="98" t="s">
        <v>780</v>
      </c>
      <c r="E69" s="98" t="s">
        <v>778</v>
      </c>
      <c r="F69" s="93">
        <f t="shared" si="1"/>
        <v>0</v>
      </c>
      <c r="G69" s="205"/>
      <c r="H69" s="353"/>
      <c r="I69" s="353"/>
      <c r="L69" s="345" t="s">
        <v>1885</v>
      </c>
      <c r="M69" s="346" t="s">
        <v>394</v>
      </c>
      <c r="N69" s="347">
        <v>105</v>
      </c>
      <c r="O69" s="348">
        <v>1</v>
      </c>
      <c r="P69" s="349"/>
      <c r="Q69" s="353"/>
      <c r="R69" s="353">
        <v>2</v>
      </c>
      <c r="S69" s="351"/>
      <c r="T69" s="351"/>
      <c r="U69" s="351"/>
      <c r="V69" s="351"/>
      <c r="W69" s="351"/>
      <c r="X69" s="351"/>
      <c r="Y69" s="351"/>
    </row>
    <row r="70" spans="1:25">
      <c r="A70" s="228" t="s">
        <v>309</v>
      </c>
      <c r="B70" s="96" t="s">
        <v>310</v>
      </c>
      <c r="C70" s="98">
        <v>2</v>
      </c>
      <c r="D70" s="98" t="s">
        <v>780</v>
      </c>
      <c r="E70" s="98" t="s">
        <v>778</v>
      </c>
      <c r="F70" s="93">
        <f t="shared" si="1"/>
        <v>0</v>
      </c>
      <c r="G70" s="205"/>
      <c r="H70" s="353"/>
      <c r="I70" s="353"/>
      <c r="L70" s="345" t="s">
        <v>1841</v>
      </c>
      <c r="M70" s="346" t="s">
        <v>310</v>
      </c>
      <c r="N70" s="347">
        <v>113</v>
      </c>
      <c r="O70" s="348"/>
      <c r="P70" s="349">
        <v>2</v>
      </c>
      <c r="Q70" s="353"/>
      <c r="R70" s="353">
        <v>2</v>
      </c>
      <c r="S70" s="351"/>
      <c r="T70" s="351"/>
      <c r="U70" s="351"/>
      <c r="V70" s="351"/>
      <c r="W70" s="351"/>
      <c r="X70" s="351"/>
      <c r="Y70" s="351"/>
    </row>
    <row r="71" spans="1:25">
      <c r="A71" s="228" t="s">
        <v>706</v>
      </c>
      <c r="B71" s="96" t="s">
        <v>707</v>
      </c>
      <c r="C71" s="98">
        <v>2</v>
      </c>
      <c r="D71" s="98" t="s">
        <v>777</v>
      </c>
      <c r="E71" s="98" t="s">
        <v>779</v>
      </c>
      <c r="F71" s="93">
        <f t="shared" si="1"/>
        <v>1</v>
      </c>
      <c r="G71" s="205"/>
      <c r="H71" s="353"/>
      <c r="I71" s="353"/>
      <c r="L71" s="345" t="s">
        <v>2046</v>
      </c>
      <c r="M71" s="346" t="s">
        <v>707</v>
      </c>
      <c r="N71" s="347">
        <v>101</v>
      </c>
      <c r="O71" s="348"/>
      <c r="P71" s="349">
        <v>2</v>
      </c>
      <c r="Q71" s="353">
        <v>1</v>
      </c>
      <c r="R71" s="353"/>
      <c r="S71" s="351"/>
      <c r="T71" s="351"/>
      <c r="U71" s="351"/>
      <c r="V71" s="351"/>
      <c r="W71" s="351"/>
      <c r="X71" s="351"/>
      <c r="Y71" s="351"/>
    </row>
    <row r="72" spans="1:25">
      <c r="A72" s="228" t="s">
        <v>195</v>
      </c>
      <c r="B72" s="96" t="s">
        <v>196</v>
      </c>
      <c r="C72" s="98">
        <v>2</v>
      </c>
      <c r="D72" s="98" t="s">
        <v>780</v>
      </c>
      <c r="E72" s="98" t="s">
        <v>778</v>
      </c>
      <c r="F72" s="93">
        <f t="shared" si="1"/>
        <v>0</v>
      </c>
      <c r="G72" s="205"/>
      <c r="H72" s="353"/>
      <c r="I72" s="353"/>
      <c r="L72" s="345" t="s">
        <v>1782</v>
      </c>
      <c r="M72" s="346" t="s">
        <v>196</v>
      </c>
      <c r="N72" s="347">
        <v>171</v>
      </c>
      <c r="O72" s="348"/>
      <c r="P72" s="349">
        <v>2</v>
      </c>
      <c r="Q72" s="353"/>
      <c r="R72" s="353">
        <v>2</v>
      </c>
      <c r="S72" s="351"/>
      <c r="T72" s="351"/>
      <c r="U72" s="351"/>
      <c r="V72" s="351"/>
      <c r="W72" s="351"/>
      <c r="X72" s="351"/>
      <c r="Y72" s="351"/>
    </row>
    <row r="73" spans="1:25">
      <c r="A73" s="228" t="s">
        <v>345</v>
      </c>
      <c r="B73" s="96" t="s">
        <v>346</v>
      </c>
      <c r="C73" s="98">
        <v>1</v>
      </c>
      <c r="D73" s="98" t="s">
        <v>780</v>
      </c>
      <c r="E73" s="98" t="s">
        <v>778</v>
      </c>
      <c r="F73" s="93">
        <f t="shared" si="1"/>
        <v>0</v>
      </c>
      <c r="G73" s="205"/>
      <c r="H73" s="353"/>
      <c r="I73" s="353"/>
      <c r="L73" s="345" t="s">
        <v>1859</v>
      </c>
      <c r="M73" s="346" t="s">
        <v>346</v>
      </c>
      <c r="N73" s="347">
        <v>121</v>
      </c>
      <c r="O73" s="348">
        <v>1</v>
      </c>
      <c r="P73" s="349"/>
      <c r="Q73" s="353"/>
      <c r="R73" s="353">
        <v>2</v>
      </c>
      <c r="S73" s="351"/>
      <c r="T73" s="351"/>
      <c r="U73" s="351"/>
      <c r="V73" s="351"/>
      <c r="W73" s="351"/>
      <c r="X73" s="351"/>
      <c r="Y73" s="351"/>
    </row>
    <row r="74" spans="1:25">
      <c r="A74" s="228" t="s">
        <v>293</v>
      </c>
      <c r="B74" s="96" t="s">
        <v>294</v>
      </c>
      <c r="C74" s="98">
        <v>1</v>
      </c>
      <c r="D74" s="98" t="s">
        <v>780</v>
      </c>
      <c r="E74" s="98" t="s">
        <v>778</v>
      </c>
      <c r="F74" s="93">
        <f t="shared" si="1"/>
        <v>0</v>
      </c>
      <c r="G74" s="205"/>
      <c r="H74" s="353"/>
      <c r="I74" s="353"/>
      <c r="L74" s="345" t="s">
        <v>1833</v>
      </c>
      <c r="M74" s="346" t="s">
        <v>294</v>
      </c>
      <c r="N74" s="347">
        <v>171</v>
      </c>
      <c r="O74" s="348">
        <v>1</v>
      </c>
      <c r="P74" s="349"/>
      <c r="Q74" s="353"/>
      <c r="R74" s="353">
        <v>2</v>
      </c>
      <c r="S74" s="351"/>
      <c r="T74" s="351"/>
      <c r="U74" s="351"/>
      <c r="V74" s="351"/>
      <c r="W74" s="351"/>
      <c r="X74" s="351"/>
      <c r="Y74" s="351"/>
    </row>
    <row r="75" spans="1:25">
      <c r="A75" s="228" t="s">
        <v>421</v>
      </c>
      <c r="B75" s="96" t="s">
        <v>422</v>
      </c>
      <c r="C75" s="98">
        <v>2</v>
      </c>
      <c r="D75" s="98" t="s">
        <v>777</v>
      </c>
      <c r="E75" s="98" t="s">
        <v>779</v>
      </c>
      <c r="F75" s="93">
        <f t="shared" si="1"/>
        <v>1</v>
      </c>
      <c r="G75" s="205"/>
      <c r="H75" s="353"/>
      <c r="I75" s="353"/>
      <c r="L75" s="345" t="s">
        <v>1899</v>
      </c>
      <c r="M75" s="346" t="s">
        <v>422</v>
      </c>
      <c r="N75" s="347">
        <v>113</v>
      </c>
      <c r="O75" s="348"/>
      <c r="P75" s="349">
        <v>2</v>
      </c>
      <c r="Q75" s="353">
        <v>1</v>
      </c>
      <c r="R75" s="353"/>
      <c r="S75" s="351"/>
      <c r="T75" s="351"/>
      <c r="U75" s="351"/>
      <c r="V75" s="351"/>
      <c r="W75" s="351"/>
      <c r="X75" s="351"/>
      <c r="Y75" s="351"/>
    </row>
    <row r="76" spans="1:25">
      <c r="A76" s="228" t="s">
        <v>567</v>
      </c>
      <c r="B76" s="96" t="s">
        <v>568</v>
      </c>
      <c r="C76" s="98">
        <v>1</v>
      </c>
      <c r="D76" s="98" t="s">
        <v>780</v>
      </c>
      <c r="E76" s="98" t="s">
        <v>778</v>
      </c>
      <c r="F76" s="93">
        <f t="shared" si="1"/>
        <v>0</v>
      </c>
      <c r="G76" s="205"/>
      <c r="H76" s="353"/>
      <c r="I76" s="353"/>
      <c r="L76" s="345" t="s">
        <v>1974</v>
      </c>
      <c r="M76" s="346" t="s">
        <v>568</v>
      </c>
      <c r="N76" s="347">
        <v>189</v>
      </c>
      <c r="O76" s="348">
        <v>1</v>
      </c>
      <c r="P76" s="349"/>
      <c r="Q76" s="353"/>
      <c r="R76" s="353">
        <v>2</v>
      </c>
      <c r="S76" s="351"/>
      <c r="T76" s="351"/>
      <c r="U76" s="351"/>
      <c r="V76" s="351"/>
      <c r="W76" s="351"/>
      <c r="X76" s="351"/>
      <c r="Y76" s="351"/>
    </row>
    <row r="77" spans="1:25">
      <c r="A77" s="228" t="s">
        <v>224</v>
      </c>
      <c r="B77" s="96" t="s">
        <v>810</v>
      </c>
      <c r="C77" s="98">
        <v>1</v>
      </c>
      <c r="D77" s="98" t="s">
        <v>780</v>
      </c>
      <c r="E77" s="98" t="s">
        <v>778</v>
      </c>
      <c r="F77" s="93">
        <f t="shared" si="1"/>
        <v>0</v>
      </c>
      <c r="G77" s="205"/>
      <c r="H77" s="353"/>
      <c r="I77" s="353"/>
      <c r="L77" s="345" t="s">
        <v>1798</v>
      </c>
      <c r="M77" s="346" t="s">
        <v>1260</v>
      </c>
      <c r="N77" s="347">
        <v>112</v>
      </c>
      <c r="O77" s="348">
        <v>1</v>
      </c>
      <c r="P77" s="349"/>
      <c r="Q77" s="353"/>
      <c r="R77" s="353">
        <v>2</v>
      </c>
      <c r="S77" s="351"/>
      <c r="T77" s="351"/>
      <c r="U77" s="351"/>
      <c r="V77" s="351"/>
      <c r="W77" s="351"/>
      <c r="X77" s="351"/>
      <c r="Y77" s="351"/>
    </row>
    <row r="78" spans="1:25">
      <c r="A78" s="228" t="s">
        <v>635</v>
      </c>
      <c r="B78" s="96" t="s">
        <v>813</v>
      </c>
      <c r="C78" s="98">
        <v>2</v>
      </c>
      <c r="D78" s="98" t="s">
        <v>777</v>
      </c>
      <c r="E78" s="98" t="s">
        <v>779</v>
      </c>
      <c r="F78" s="93">
        <f t="shared" si="1"/>
        <v>1</v>
      </c>
      <c r="G78" s="205"/>
      <c r="H78" s="353"/>
      <c r="I78" s="353"/>
      <c r="L78" s="345" t="s">
        <v>2009</v>
      </c>
      <c r="M78" s="346" t="s">
        <v>1260</v>
      </c>
      <c r="N78" s="347">
        <v>101</v>
      </c>
      <c r="O78" s="348"/>
      <c r="P78" s="349">
        <v>2</v>
      </c>
      <c r="Q78" s="353">
        <v>1</v>
      </c>
      <c r="R78" s="353"/>
      <c r="S78" s="351"/>
      <c r="T78" s="351"/>
      <c r="U78" s="351"/>
      <c r="V78" s="351"/>
      <c r="W78" s="351"/>
      <c r="X78" s="351"/>
      <c r="Y78" s="351"/>
    </row>
    <row r="79" spans="1:25">
      <c r="A79" s="228" t="s">
        <v>343</v>
      </c>
      <c r="B79" s="96" t="s">
        <v>344</v>
      </c>
      <c r="C79" s="98">
        <v>1</v>
      </c>
      <c r="D79" s="98" t="s">
        <v>780</v>
      </c>
      <c r="E79" s="98" t="s">
        <v>778</v>
      </c>
      <c r="F79" s="93">
        <f t="shared" si="1"/>
        <v>0</v>
      </c>
      <c r="G79" s="205"/>
      <c r="H79" s="353"/>
      <c r="I79" s="353"/>
      <c r="L79" s="345" t="s">
        <v>1858</v>
      </c>
      <c r="M79" s="346" t="s">
        <v>344</v>
      </c>
      <c r="N79" s="347">
        <v>121</v>
      </c>
      <c r="O79" s="348">
        <v>1</v>
      </c>
      <c r="P79" s="349"/>
      <c r="Q79" s="353"/>
      <c r="R79" s="353">
        <v>2</v>
      </c>
      <c r="S79" s="351"/>
      <c r="T79" s="351"/>
      <c r="U79" s="351"/>
      <c r="V79" s="351"/>
      <c r="W79" s="351"/>
      <c r="X79" s="351"/>
      <c r="Y79" s="351"/>
    </row>
    <row r="80" spans="1:25">
      <c r="A80" s="228" t="s">
        <v>676</v>
      </c>
      <c r="B80" s="96" t="s">
        <v>677</v>
      </c>
      <c r="C80" s="98">
        <v>1</v>
      </c>
      <c r="D80" s="98" t="s">
        <v>780</v>
      </c>
      <c r="E80" s="98" t="s">
        <v>778</v>
      </c>
      <c r="F80" s="93">
        <f t="shared" si="1"/>
        <v>0</v>
      </c>
      <c r="G80" s="205"/>
      <c r="H80" s="353"/>
      <c r="I80" s="353"/>
      <c r="L80" s="345" t="s">
        <v>2031</v>
      </c>
      <c r="M80" s="346" t="s">
        <v>677</v>
      </c>
      <c r="N80" s="347">
        <v>189</v>
      </c>
      <c r="O80" s="348">
        <v>1</v>
      </c>
      <c r="P80" s="349"/>
      <c r="Q80" s="353"/>
      <c r="R80" s="353">
        <v>2</v>
      </c>
      <c r="S80" s="351"/>
      <c r="T80" s="351"/>
      <c r="U80" s="351"/>
      <c r="V80" s="351"/>
      <c r="W80" s="351"/>
      <c r="X80" s="351"/>
      <c r="Y80" s="351"/>
    </row>
    <row r="81" spans="1:25">
      <c r="A81" s="228" t="s">
        <v>536</v>
      </c>
      <c r="B81" s="96" t="s">
        <v>537</v>
      </c>
      <c r="C81" s="98">
        <v>1</v>
      </c>
      <c r="D81" s="98" t="s">
        <v>780</v>
      </c>
      <c r="E81" s="98" t="s">
        <v>778</v>
      </c>
      <c r="F81" s="93">
        <f t="shared" si="1"/>
        <v>0</v>
      </c>
      <c r="G81" s="205"/>
      <c r="H81" s="353"/>
      <c r="I81" s="353"/>
      <c r="L81" s="345" t="s">
        <v>1958</v>
      </c>
      <c r="M81" s="346" t="s">
        <v>537</v>
      </c>
      <c r="N81" s="347">
        <v>121</v>
      </c>
      <c r="O81" s="348">
        <v>1</v>
      </c>
      <c r="P81" s="349"/>
      <c r="Q81" s="353"/>
      <c r="R81" s="353">
        <v>2</v>
      </c>
      <c r="S81" s="351"/>
      <c r="T81" s="351"/>
      <c r="U81" s="351"/>
      <c r="V81" s="351"/>
      <c r="W81" s="351"/>
      <c r="X81" s="351"/>
      <c r="Y81" s="351"/>
    </row>
    <row r="82" spans="1:25">
      <c r="A82" s="228" t="s">
        <v>185</v>
      </c>
      <c r="B82" s="96" t="s">
        <v>186</v>
      </c>
      <c r="C82" s="98">
        <v>2</v>
      </c>
      <c r="D82" s="98" t="s">
        <v>780</v>
      </c>
      <c r="E82" s="98" t="s">
        <v>778</v>
      </c>
      <c r="F82" s="93">
        <f t="shared" si="1"/>
        <v>0</v>
      </c>
      <c r="H82" s="353"/>
      <c r="I82" s="353"/>
      <c r="L82" s="345" t="s">
        <v>1777</v>
      </c>
      <c r="M82" s="346" t="s">
        <v>186</v>
      </c>
      <c r="N82" s="347">
        <v>123</v>
      </c>
      <c r="O82" s="348"/>
      <c r="P82" s="349">
        <v>2</v>
      </c>
      <c r="Q82" s="353"/>
      <c r="R82" s="353">
        <v>2</v>
      </c>
      <c r="S82" s="351"/>
      <c r="T82" s="351"/>
      <c r="U82" s="351"/>
      <c r="V82" s="351"/>
      <c r="W82" s="351"/>
      <c r="X82" s="351"/>
      <c r="Y82" s="351"/>
    </row>
    <row r="83" spans="1:25">
      <c r="A83" s="228" t="s">
        <v>528</v>
      </c>
      <c r="B83" s="96" t="s">
        <v>529</v>
      </c>
      <c r="C83" s="98">
        <v>1</v>
      </c>
      <c r="D83" s="98" t="s">
        <v>780</v>
      </c>
      <c r="E83" s="98" t="s">
        <v>778</v>
      </c>
      <c r="F83" s="93">
        <f t="shared" si="1"/>
        <v>0</v>
      </c>
      <c r="G83" s="205"/>
      <c r="H83" s="353"/>
      <c r="I83" s="353"/>
      <c r="L83" s="345" t="s">
        <v>1954</v>
      </c>
      <c r="M83" s="346" t="s">
        <v>529</v>
      </c>
      <c r="N83" s="347">
        <v>121</v>
      </c>
      <c r="O83" s="348">
        <v>1</v>
      </c>
      <c r="P83" s="349"/>
      <c r="Q83" s="353"/>
      <c r="R83" s="353">
        <v>2</v>
      </c>
      <c r="S83" s="351"/>
      <c r="T83" s="351"/>
      <c r="U83" s="351"/>
      <c r="V83" s="351"/>
      <c r="W83" s="351"/>
      <c r="X83" s="351"/>
      <c r="Y83" s="351"/>
    </row>
    <row r="84" spans="1:25">
      <c r="A84" s="228" t="s">
        <v>609</v>
      </c>
      <c r="B84" s="96" t="s">
        <v>610</v>
      </c>
      <c r="C84" s="98">
        <v>2</v>
      </c>
      <c r="D84" s="104" t="s">
        <v>777</v>
      </c>
      <c r="E84" s="98" t="s">
        <v>778</v>
      </c>
      <c r="F84" s="93">
        <f t="shared" si="1"/>
        <v>1</v>
      </c>
      <c r="G84" s="205"/>
      <c r="H84" s="353"/>
      <c r="I84" s="353"/>
      <c r="L84" s="345" t="s">
        <v>1995</v>
      </c>
      <c r="M84" s="346" t="s">
        <v>610</v>
      </c>
      <c r="N84" s="347">
        <v>101</v>
      </c>
      <c r="O84" s="348"/>
      <c r="P84" s="349">
        <v>2</v>
      </c>
      <c r="Q84" s="353">
        <v>1</v>
      </c>
      <c r="R84" s="353"/>
      <c r="S84" s="351"/>
      <c r="T84" s="351"/>
      <c r="U84" s="351"/>
      <c r="V84" s="351"/>
      <c r="W84" s="351"/>
      <c r="X84" s="351"/>
      <c r="Y84" s="351"/>
    </row>
    <row r="85" spans="1:25">
      <c r="A85" s="228" t="s">
        <v>700</v>
      </c>
      <c r="B85" s="96" t="s">
        <v>701</v>
      </c>
      <c r="C85" s="98">
        <v>2</v>
      </c>
      <c r="D85" s="104" t="s">
        <v>777</v>
      </c>
      <c r="E85" s="98" t="s">
        <v>778</v>
      </c>
      <c r="F85" s="93">
        <f t="shared" si="1"/>
        <v>1</v>
      </c>
      <c r="G85" s="205"/>
      <c r="H85" s="353"/>
      <c r="I85" s="353"/>
      <c r="L85" s="345" t="s">
        <v>2043</v>
      </c>
      <c r="M85" s="346" t="s">
        <v>701</v>
      </c>
      <c r="N85" s="347">
        <v>101</v>
      </c>
      <c r="O85" s="348"/>
      <c r="P85" s="349">
        <v>2</v>
      </c>
      <c r="Q85" s="353">
        <v>1</v>
      </c>
      <c r="R85" s="353"/>
      <c r="S85" s="351"/>
      <c r="T85" s="351"/>
      <c r="U85" s="351"/>
      <c r="V85" s="351"/>
      <c r="W85" s="351"/>
      <c r="X85" s="351"/>
      <c r="Y85" s="351"/>
    </row>
    <row r="86" spans="1:25">
      <c r="A86" s="228" t="s">
        <v>407</v>
      </c>
      <c r="B86" s="96" t="s">
        <v>408</v>
      </c>
      <c r="C86" s="98">
        <v>2</v>
      </c>
      <c r="D86" s="104" t="s">
        <v>777</v>
      </c>
      <c r="E86" s="98" t="s">
        <v>778</v>
      </c>
      <c r="F86" s="93">
        <f t="shared" si="1"/>
        <v>1</v>
      </c>
      <c r="G86" s="205"/>
      <c r="H86" s="354"/>
      <c r="I86" s="353"/>
      <c r="L86" s="345" t="s">
        <v>1892</v>
      </c>
      <c r="M86" s="346" t="s">
        <v>408</v>
      </c>
      <c r="N86" s="347">
        <v>112</v>
      </c>
      <c r="O86" s="348"/>
      <c r="P86" s="349">
        <v>2</v>
      </c>
      <c r="Q86" s="353">
        <v>1</v>
      </c>
      <c r="R86" s="353"/>
      <c r="S86" s="351"/>
      <c r="T86" s="351"/>
      <c r="U86" s="351"/>
      <c r="V86" s="351"/>
      <c r="W86" s="351"/>
      <c r="X86" s="351"/>
      <c r="Y86" s="351"/>
    </row>
    <row r="87" spans="1:25">
      <c r="A87" s="228" t="s">
        <v>413</v>
      </c>
      <c r="B87" s="96" t="s">
        <v>414</v>
      </c>
      <c r="C87" s="98">
        <v>2</v>
      </c>
      <c r="D87" s="104" t="s">
        <v>777</v>
      </c>
      <c r="E87" s="98" t="s">
        <v>778</v>
      </c>
      <c r="F87" s="93">
        <f t="shared" si="1"/>
        <v>1</v>
      </c>
      <c r="G87" s="205"/>
      <c r="H87" s="354"/>
      <c r="I87" s="353"/>
      <c r="L87" s="345" t="s">
        <v>1895</v>
      </c>
      <c r="M87" s="346" t="s">
        <v>414</v>
      </c>
      <c r="N87" s="347">
        <v>105</v>
      </c>
      <c r="O87" s="348"/>
      <c r="P87" s="349">
        <v>2</v>
      </c>
      <c r="Q87" s="353">
        <v>1</v>
      </c>
      <c r="R87" s="353"/>
      <c r="S87" s="351"/>
      <c r="T87" s="351"/>
      <c r="U87" s="351"/>
      <c r="V87" s="351"/>
      <c r="W87" s="351"/>
      <c r="X87" s="351"/>
      <c r="Y87" s="351"/>
    </row>
    <row r="88" spans="1:25">
      <c r="A88" s="228" t="s">
        <v>297</v>
      </c>
      <c r="B88" s="96" t="s">
        <v>298</v>
      </c>
      <c r="C88" s="98">
        <v>2</v>
      </c>
      <c r="D88" s="98" t="s">
        <v>780</v>
      </c>
      <c r="E88" s="98" t="s">
        <v>778</v>
      </c>
      <c r="F88" s="93">
        <f t="shared" si="1"/>
        <v>0</v>
      </c>
      <c r="G88" s="205"/>
      <c r="H88" s="353"/>
      <c r="I88" s="353"/>
      <c r="L88" s="345" t="s">
        <v>1835</v>
      </c>
      <c r="M88" s="346" t="s">
        <v>298</v>
      </c>
      <c r="N88" s="347">
        <v>171</v>
      </c>
      <c r="O88" s="348"/>
      <c r="P88" s="349">
        <v>2</v>
      </c>
      <c r="Q88" s="353"/>
      <c r="R88" s="353">
        <v>2</v>
      </c>
      <c r="S88" s="351"/>
      <c r="T88" s="351"/>
      <c r="U88" s="351"/>
      <c r="V88" s="351"/>
      <c r="W88" s="351"/>
      <c r="X88" s="351"/>
      <c r="Y88" s="351"/>
    </row>
    <row r="89" spans="1:25">
      <c r="A89" s="228" t="s">
        <v>725</v>
      </c>
      <c r="B89" s="96" t="s">
        <v>726</v>
      </c>
      <c r="C89" s="98">
        <v>1</v>
      </c>
      <c r="D89" s="98" t="s">
        <v>780</v>
      </c>
      <c r="E89" s="98" t="s">
        <v>778</v>
      </c>
      <c r="F89" s="93">
        <f t="shared" si="1"/>
        <v>0</v>
      </c>
      <c r="G89" s="205"/>
      <c r="H89" s="353"/>
      <c r="I89" s="353"/>
      <c r="L89" s="345" t="s">
        <v>2056</v>
      </c>
      <c r="M89" s="346" t="s">
        <v>726</v>
      </c>
      <c r="N89" s="347">
        <v>105</v>
      </c>
      <c r="O89" s="348">
        <v>1</v>
      </c>
      <c r="P89" s="349"/>
      <c r="Q89" s="353"/>
      <c r="R89" s="353">
        <v>2</v>
      </c>
      <c r="S89" s="351"/>
      <c r="T89" s="351"/>
      <c r="U89" s="351"/>
      <c r="V89" s="351"/>
      <c r="W89" s="351"/>
      <c r="X89" s="351"/>
      <c r="Y89" s="351"/>
    </row>
    <row r="90" spans="1:25">
      <c r="A90" s="228" t="s">
        <v>733</v>
      </c>
      <c r="B90" s="96" t="s">
        <v>734</v>
      </c>
      <c r="C90" s="98">
        <v>2</v>
      </c>
      <c r="D90" s="98" t="s">
        <v>780</v>
      </c>
      <c r="E90" s="98" t="s">
        <v>778</v>
      </c>
      <c r="F90" s="93">
        <f t="shared" si="1"/>
        <v>0</v>
      </c>
      <c r="G90" s="205"/>
      <c r="H90" s="353"/>
      <c r="I90" s="353"/>
      <c r="L90" s="345" t="s">
        <v>2060</v>
      </c>
      <c r="M90" s="346" t="s">
        <v>734</v>
      </c>
      <c r="N90" s="347">
        <v>105</v>
      </c>
      <c r="O90" s="348"/>
      <c r="P90" s="349">
        <v>2</v>
      </c>
      <c r="Q90" s="353"/>
      <c r="R90" s="353">
        <v>2</v>
      </c>
      <c r="S90" s="351"/>
      <c r="T90" s="351"/>
      <c r="U90" s="351"/>
      <c r="V90" s="351"/>
      <c r="W90" s="351"/>
      <c r="X90" s="351"/>
      <c r="Y90" s="351"/>
    </row>
    <row r="91" spans="1:25">
      <c r="A91" s="228" t="s">
        <v>591</v>
      </c>
      <c r="B91" s="96" t="s">
        <v>592</v>
      </c>
      <c r="C91" s="98">
        <v>1</v>
      </c>
      <c r="D91" s="98" t="s">
        <v>780</v>
      </c>
      <c r="E91" s="98" t="s">
        <v>778</v>
      </c>
      <c r="F91" s="93">
        <f t="shared" si="1"/>
        <v>0</v>
      </c>
      <c r="G91" s="205"/>
      <c r="H91" s="353"/>
      <c r="I91" s="353"/>
      <c r="L91" s="345" t="s">
        <v>1986</v>
      </c>
      <c r="M91" s="346" t="s">
        <v>592</v>
      </c>
      <c r="N91" s="347">
        <v>189</v>
      </c>
      <c r="O91" s="348">
        <v>1</v>
      </c>
      <c r="P91" s="349"/>
      <c r="Q91" s="353"/>
      <c r="R91" s="353">
        <v>2</v>
      </c>
      <c r="S91" s="351"/>
      <c r="T91" s="351"/>
      <c r="U91" s="351"/>
      <c r="V91" s="351"/>
      <c r="W91" s="351"/>
      <c r="X91" s="351"/>
      <c r="Y91" s="351"/>
    </row>
    <row r="92" spans="1:25">
      <c r="A92" s="228" t="s">
        <v>463</v>
      </c>
      <c r="B92" s="96" t="s">
        <v>464</v>
      </c>
      <c r="C92" s="98">
        <v>2</v>
      </c>
      <c r="D92" s="98" t="s">
        <v>777</v>
      </c>
      <c r="E92" s="98" t="s">
        <v>779</v>
      </c>
      <c r="F92" s="93">
        <f t="shared" si="1"/>
        <v>1</v>
      </c>
      <c r="G92" s="205"/>
      <c r="H92" s="353"/>
      <c r="I92" s="353"/>
      <c r="L92" s="345" t="s">
        <v>1920</v>
      </c>
      <c r="M92" s="346" t="s">
        <v>464</v>
      </c>
      <c r="N92" s="347">
        <v>113</v>
      </c>
      <c r="O92" s="348"/>
      <c r="P92" s="349">
        <v>2</v>
      </c>
      <c r="Q92" s="353">
        <v>1</v>
      </c>
      <c r="R92" s="353"/>
      <c r="S92" s="351"/>
      <c r="T92" s="351"/>
      <c r="U92" s="351"/>
      <c r="V92" s="351"/>
      <c r="W92" s="351"/>
      <c r="X92" s="351"/>
      <c r="Y92" s="351"/>
    </row>
    <row r="93" spans="1:25">
      <c r="A93" s="228" t="s">
        <v>599</v>
      </c>
      <c r="B93" s="96" t="s">
        <v>600</v>
      </c>
      <c r="C93" s="98">
        <v>2</v>
      </c>
      <c r="D93" s="98" t="s">
        <v>777</v>
      </c>
      <c r="E93" s="98" t="s">
        <v>779</v>
      </c>
      <c r="F93" s="93">
        <f t="shared" si="1"/>
        <v>1</v>
      </c>
      <c r="G93" s="205"/>
      <c r="H93" s="353"/>
      <c r="I93" s="353"/>
      <c r="L93" s="345" t="s">
        <v>1990</v>
      </c>
      <c r="M93" s="346" t="s">
        <v>600</v>
      </c>
      <c r="N93" s="347">
        <v>101</v>
      </c>
      <c r="O93" s="348"/>
      <c r="P93" s="349">
        <v>2</v>
      </c>
      <c r="Q93" s="353">
        <v>1</v>
      </c>
      <c r="R93" s="353"/>
      <c r="S93" s="351"/>
      <c r="T93" s="351"/>
      <c r="U93" s="351"/>
      <c r="V93" s="351"/>
      <c r="W93" s="351"/>
      <c r="X93" s="351"/>
      <c r="Y93" s="351"/>
    </row>
    <row r="94" spans="1:25">
      <c r="A94" s="231" t="s">
        <v>1369</v>
      </c>
      <c r="B94" s="232" t="s">
        <v>1634</v>
      </c>
      <c r="C94" s="98">
        <v>1</v>
      </c>
      <c r="D94" s="98" t="s">
        <v>780</v>
      </c>
      <c r="E94" s="98" t="s">
        <v>778</v>
      </c>
      <c r="F94" s="93">
        <f t="shared" si="1"/>
        <v>0</v>
      </c>
      <c r="G94" s="205"/>
      <c r="H94" s="353"/>
      <c r="I94" s="353"/>
      <c r="L94" s="231" t="s">
        <v>1369</v>
      </c>
      <c r="M94" s="232" t="s">
        <v>1634</v>
      </c>
      <c r="N94" s="347"/>
      <c r="O94" s="348"/>
      <c r="P94" s="349"/>
      <c r="Q94" s="353"/>
      <c r="R94" s="353"/>
      <c r="S94" s="351"/>
      <c r="T94" s="351"/>
      <c r="U94" s="351"/>
      <c r="V94" s="351"/>
      <c r="W94" s="351"/>
      <c r="X94" s="351"/>
      <c r="Y94" s="351"/>
    </row>
    <row r="95" spans="1:25">
      <c r="A95" s="231" t="s">
        <v>1353</v>
      </c>
      <c r="B95" s="232" t="s">
        <v>1632</v>
      </c>
      <c r="C95" s="98">
        <v>1</v>
      </c>
      <c r="D95" s="98" t="s">
        <v>780</v>
      </c>
      <c r="E95" s="98" t="s">
        <v>778</v>
      </c>
      <c r="F95" s="93">
        <f t="shared" si="1"/>
        <v>0</v>
      </c>
      <c r="G95" s="205"/>
      <c r="H95" s="353"/>
      <c r="I95" s="353"/>
      <c r="L95" s="231" t="s">
        <v>1353</v>
      </c>
      <c r="M95" s="232" t="s">
        <v>1632</v>
      </c>
      <c r="N95" s="347"/>
      <c r="O95" s="348"/>
      <c r="P95" s="349"/>
      <c r="Q95" s="353"/>
      <c r="R95" s="353"/>
      <c r="S95" s="351"/>
      <c r="T95" s="351"/>
      <c r="U95" s="351"/>
      <c r="V95" s="351"/>
      <c r="W95" s="351"/>
      <c r="X95" s="351"/>
      <c r="Y95" s="351"/>
    </row>
    <row r="96" spans="1:25">
      <c r="A96" s="231" t="s">
        <v>1620</v>
      </c>
      <c r="B96" s="232" t="s">
        <v>1633</v>
      </c>
      <c r="C96" s="98">
        <v>1</v>
      </c>
      <c r="D96" s="98" t="s">
        <v>780</v>
      </c>
      <c r="E96" s="98" t="s">
        <v>778</v>
      </c>
      <c r="F96" s="93">
        <f t="shared" si="1"/>
        <v>0</v>
      </c>
      <c r="G96" s="205"/>
      <c r="H96" s="353"/>
      <c r="I96" s="353"/>
      <c r="L96" s="231" t="s">
        <v>1620</v>
      </c>
      <c r="M96" s="232" t="s">
        <v>1633</v>
      </c>
      <c r="N96" s="347"/>
      <c r="O96" s="348"/>
      <c r="P96" s="349"/>
      <c r="Q96" s="353"/>
      <c r="R96" s="353"/>
      <c r="S96" s="351"/>
      <c r="T96" s="351"/>
      <c r="U96" s="351"/>
      <c r="V96" s="351"/>
      <c r="W96" s="351"/>
      <c r="X96" s="351"/>
      <c r="Y96" s="351"/>
    </row>
    <row r="97" spans="1:25">
      <c r="A97" s="228" t="s">
        <v>220</v>
      </c>
      <c r="B97" s="96" t="s">
        <v>221</v>
      </c>
      <c r="C97" s="98">
        <v>2</v>
      </c>
      <c r="D97" s="98" t="s">
        <v>777</v>
      </c>
      <c r="E97" s="98" t="s">
        <v>779</v>
      </c>
      <c r="F97" s="93">
        <f t="shared" si="1"/>
        <v>1</v>
      </c>
      <c r="G97" s="205"/>
      <c r="H97" s="353"/>
      <c r="I97" s="353"/>
      <c r="L97" s="345" t="s">
        <v>1796</v>
      </c>
      <c r="M97" s="346" t="s">
        <v>221</v>
      </c>
      <c r="N97" s="347">
        <v>112</v>
      </c>
      <c r="O97" s="348"/>
      <c r="P97" s="349">
        <v>2</v>
      </c>
      <c r="Q97" s="353">
        <v>1</v>
      </c>
      <c r="R97" s="353"/>
      <c r="S97" s="351"/>
      <c r="T97" s="351"/>
      <c r="U97" s="351"/>
      <c r="V97" s="351"/>
      <c r="W97" s="351"/>
      <c r="X97" s="351"/>
      <c r="Y97" s="351"/>
    </row>
    <row r="98" spans="1:25">
      <c r="A98" s="228" t="s">
        <v>653</v>
      </c>
      <c r="B98" s="96" t="s">
        <v>654</v>
      </c>
      <c r="C98" s="98">
        <v>2</v>
      </c>
      <c r="D98" s="98" t="s">
        <v>777</v>
      </c>
      <c r="E98" s="98" t="s">
        <v>779</v>
      </c>
      <c r="F98" s="93">
        <f t="shared" si="1"/>
        <v>1</v>
      </c>
      <c r="G98" s="205"/>
      <c r="H98" s="353"/>
      <c r="I98" s="353"/>
      <c r="L98" s="345" t="s">
        <v>2019</v>
      </c>
      <c r="M98" s="346" t="s">
        <v>654</v>
      </c>
      <c r="N98" s="347">
        <v>113</v>
      </c>
      <c r="O98" s="348"/>
      <c r="P98" s="349">
        <v>2</v>
      </c>
      <c r="Q98" s="353">
        <v>1</v>
      </c>
      <c r="R98" s="353"/>
      <c r="S98" s="351"/>
      <c r="T98" s="351"/>
      <c r="U98" s="351"/>
      <c r="V98" s="351"/>
      <c r="W98" s="351"/>
      <c r="X98" s="351"/>
      <c r="Y98" s="351"/>
    </row>
    <row r="99" spans="1:25">
      <c r="A99" s="228" t="s">
        <v>457</v>
      </c>
      <c r="B99" s="96" t="s">
        <v>458</v>
      </c>
      <c r="C99" s="98">
        <v>2</v>
      </c>
      <c r="D99" s="98" t="s">
        <v>777</v>
      </c>
      <c r="E99" s="98" t="s">
        <v>778</v>
      </c>
      <c r="F99" s="93">
        <f t="shared" si="1"/>
        <v>1</v>
      </c>
      <c r="G99" s="205"/>
      <c r="H99" s="353"/>
      <c r="I99" s="353"/>
      <c r="L99" s="345" t="s">
        <v>1917</v>
      </c>
      <c r="M99" s="346" t="s">
        <v>458</v>
      </c>
      <c r="N99" s="347">
        <v>101</v>
      </c>
      <c r="O99" s="348"/>
      <c r="P99" s="349">
        <v>2</v>
      </c>
      <c r="Q99" s="353">
        <v>1</v>
      </c>
      <c r="R99" s="353"/>
      <c r="S99" s="351"/>
      <c r="T99" s="351"/>
      <c r="U99" s="351"/>
      <c r="V99" s="351"/>
      <c r="W99" s="351"/>
      <c r="X99" s="351"/>
      <c r="Y99" s="351"/>
    </row>
    <row r="100" spans="1:25">
      <c r="A100" s="228" t="s">
        <v>731</v>
      </c>
      <c r="B100" s="96" t="s">
        <v>732</v>
      </c>
      <c r="C100" s="98">
        <v>2</v>
      </c>
      <c r="D100" s="98" t="s">
        <v>780</v>
      </c>
      <c r="E100" s="98" t="s">
        <v>778</v>
      </c>
      <c r="F100" s="93">
        <f t="shared" si="1"/>
        <v>0</v>
      </c>
      <c r="G100" s="205"/>
      <c r="H100" s="353"/>
      <c r="I100" s="353"/>
      <c r="L100" s="345" t="s">
        <v>2059</v>
      </c>
      <c r="M100" s="346" t="s">
        <v>732</v>
      </c>
      <c r="N100" s="347">
        <v>105</v>
      </c>
      <c r="O100" s="348"/>
      <c r="P100" s="349">
        <v>2</v>
      </c>
      <c r="Q100" s="353"/>
      <c r="R100" s="353">
        <v>2</v>
      </c>
      <c r="S100" s="351"/>
      <c r="T100" s="351"/>
      <c r="U100" s="351"/>
      <c r="V100" s="351"/>
      <c r="W100" s="351"/>
      <c r="X100" s="351"/>
      <c r="Y100" s="351"/>
    </row>
    <row r="101" spans="1:25">
      <c r="A101" s="228" t="s">
        <v>349</v>
      </c>
      <c r="B101" s="96" t="s">
        <v>350</v>
      </c>
      <c r="C101" s="98">
        <v>1</v>
      </c>
      <c r="D101" s="98" t="s">
        <v>780</v>
      </c>
      <c r="E101" s="98" t="s">
        <v>778</v>
      </c>
      <c r="F101" s="93">
        <f t="shared" si="1"/>
        <v>0</v>
      </c>
      <c r="G101" s="205"/>
      <c r="H101" s="353"/>
      <c r="I101" s="353"/>
      <c r="L101" s="345" t="s">
        <v>1861</v>
      </c>
      <c r="M101" s="346" t="s">
        <v>350</v>
      </c>
      <c r="N101" s="347">
        <v>121</v>
      </c>
      <c r="O101" s="348">
        <v>1</v>
      </c>
      <c r="P101" s="349"/>
      <c r="Q101" s="353"/>
      <c r="R101" s="353">
        <v>2</v>
      </c>
      <c r="S101" s="351"/>
      <c r="T101" s="351"/>
      <c r="U101" s="351"/>
      <c r="V101" s="351"/>
      <c r="W101" s="351"/>
      <c r="X101" s="351"/>
      <c r="Y101" s="351"/>
    </row>
    <row r="102" spans="1:25">
      <c r="A102" s="228" t="s">
        <v>217</v>
      </c>
      <c r="B102" s="96" t="s">
        <v>218</v>
      </c>
      <c r="C102" s="98">
        <v>2</v>
      </c>
      <c r="D102" s="98" t="s">
        <v>780</v>
      </c>
      <c r="E102" s="98" t="s">
        <v>778</v>
      </c>
      <c r="F102" s="93">
        <f t="shared" si="1"/>
        <v>0</v>
      </c>
      <c r="G102" s="205"/>
      <c r="H102" s="353"/>
      <c r="I102" s="353"/>
      <c r="L102" s="345" t="s">
        <v>1793</v>
      </c>
      <c r="M102" s="346" t="s">
        <v>218</v>
      </c>
      <c r="N102" s="347">
        <v>112</v>
      </c>
      <c r="O102" s="348"/>
      <c r="P102" s="349">
        <v>2</v>
      </c>
      <c r="Q102" s="353"/>
      <c r="R102" s="353">
        <v>2</v>
      </c>
      <c r="S102" s="351"/>
      <c r="T102" s="351"/>
      <c r="U102" s="351"/>
      <c r="V102" s="351"/>
      <c r="W102" s="351"/>
      <c r="X102" s="351"/>
      <c r="Y102" s="351"/>
    </row>
    <row r="103" spans="1:25">
      <c r="A103" s="228" t="s">
        <v>473</v>
      </c>
      <c r="B103" s="96" t="s">
        <v>474</v>
      </c>
      <c r="C103" s="98">
        <v>2</v>
      </c>
      <c r="D103" s="98" t="s">
        <v>777</v>
      </c>
      <c r="E103" s="98" t="s">
        <v>779</v>
      </c>
      <c r="F103" s="93">
        <f t="shared" si="1"/>
        <v>1</v>
      </c>
      <c r="G103" s="205"/>
      <c r="H103" s="353"/>
      <c r="I103" s="353"/>
      <c r="L103" s="345" t="s">
        <v>1925</v>
      </c>
      <c r="M103" s="346" t="s">
        <v>474</v>
      </c>
      <c r="N103" s="347">
        <v>113</v>
      </c>
      <c r="O103" s="348"/>
      <c r="P103" s="349">
        <v>2</v>
      </c>
      <c r="Q103" s="353">
        <v>1</v>
      </c>
      <c r="R103" s="353"/>
      <c r="S103" s="351"/>
      <c r="T103" s="351"/>
      <c r="U103" s="351"/>
      <c r="V103" s="351"/>
      <c r="W103" s="351"/>
      <c r="X103" s="351"/>
      <c r="Y103" s="351"/>
    </row>
    <row r="104" spans="1:25">
      <c r="A104" s="228" t="s">
        <v>301</v>
      </c>
      <c r="B104" s="96" t="s">
        <v>302</v>
      </c>
      <c r="C104" s="98">
        <v>2</v>
      </c>
      <c r="D104" s="98" t="s">
        <v>780</v>
      </c>
      <c r="E104" s="98" t="s">
        <v>778</v>
      </c>
      <c r="F104" s="93">
        <f t="shared" si="1"/>
        <v>0</v>
      </c>
      <c r="G104" s="205"/>
      <c r="H104" s="353"/>
      <c r="I104" s="353"/>
      <c r="L104" s="345" t="s">
        <v>1837</v>
      </c>
      <c r="M104" s="346" t="s">
        <v>302</v>
      </c>
      <c r="N104" s="347">
        <v>113</v>
      </c>
      <c r="O104" s="348"/>
      <c r="P104" s="349">
        <v>2</v>
      </c>
      <c r="Q104" s="353"/>
      <c r="R104" s="353">
        <v>2</v>
      </c>
      <c r="S104" s="351"/>
      <c r="T104" s="351"/>
      <c r="U104" s="351"/>
      <c r="V104" s="351"/>
      <c r="W104" s="351"/>
      <c r="X104" s="351"/>
      <c r="Y104" s="351"/>
    </row>
    <row r="105" spans="1:25" s="80" customFormat="1">
      <c r="A105" s="229" t="s">
        <v>1686</v>
      </c>
      <c r="B105" s="230" t="s">
        <v>1743</v>
      </c>
      <c r="C105" s="98">
        <v>1</v>
      </c>
      <c r="D105" s="98" t="s">
        <v>780</v>
      </c>
      <c r="E105" s="98" t="s">
        <v>778</v>
      </c>
      <c r="F105" s="93">
        <f t="shared" si="1"/>
        <v>0</v>
      </c>
      <c r="G105" s="205"/>
      <c r="H105" s="353"/>
      <c r="I105" s="353"/>
      <c r="L105" s="229" t="s">
        <v>1686</v>
      </c>
      <c r="M105" s="230" t="s">
        <v>1743</v>
      </c>
      <c r="N105" s="347"/>
      <c r="O105" s="348"/>
      <c r="P105" s="349"/>
      <c r="Q105" s="353"/>
      <c r="R105" s="353"/>
      <c r="S105" s="351"/>
      <c r="T105" s="351"/>
      <c r="U105" s="351"/>
      <c r="V105" s="351"/>
      <c r="W105" s="351"/>
      <c r="X105" s="351"/>
      <c r="Y105" s="351"/>
    </row>
    <row r="106" spans="1:25" s="80" customFormat="1">
      <c r="A106" s="228" t="s">
        <v>265</v>
      </c>
      <c r="B106" s="96" t="s">
        <v>266</v>
      </c>
      <c r="C106" s="98">
        <v>2</v>
      </c>
      <c r="D106" s="98" t="s">
        <v>777</v>
      </c>
      <c r="E106" s="98" t="s">
        <v>778</v>
      </c>
      <c r="F106" s="93">
        <f t="shared" si="1"/>
        <v>1</v>
      </c>
      <c r="G106" s="205"/>
      <c r="H106" s="353"/>
      <c r="I106" s="353"/>
      <c r="L106" s="345" t="s">
        <v>1819</v>
      </c>
      <c r="M106" s="346" t="s">
        <v>266</v>
      </c>
      <c r="N106" s="347">
        <v>101</v>
      </c>
      <c r="O106" s="348"/>
      <c r="P106" s="349">
        <v>2</v>
      </c>
      <c r="Q106" s="353">
        <v>1</v>
      </c>
      <c r="R106" s="353"/>
      <c r="S106" s="351"/>
      <c r="T106" s="351"/>
      <c r="U106" s="351"/>
      <c r="V106" s="351"/>
      <c r="W106" s="351"/>
      <c r="X106" s="351"/>
      <c r="Y106" s="351"/>
    </row>
    <row r="107" spans="1:25">
      <c r="A107" s="228" t="s">
        <v>579</v>
      </c>
      <c r="B107" s="96" t="s">
        <v>580</v>
      </c>
      <c r="C107" s="98">
        <v>2</v>
      </c>
      <c r="D107" s="98" t="s">
        <v>780</v>
      </c>
      <c r="E107" s="98" t="s">
        <v>779</v>
      </c>
      <c r="F107" s="93">
        <f t="shared" si="1"/>
        <v>0</v>
      </c>
      <c r="G107" s="205"/>
      <c r="H107" s="353"/>
      <c r="I107" s="353"/>
      <c r="L107" s="345" t="s">
        <v>1980</v>
      </c>
      <c r="M107" s="346" t="s">
        <v>580</v>
      </c>
      <c r="N107" s="347">
        <v>189</v>
      </c>
      <c r="O107" s="348"/>
      <c r="P107" s="349">
        <v>2</v>
      </c>
      <c r="Q107" s="353"/>
      <c r="R107" s="353">
        <v>2</v>
      </c>
      <c r="S107" s="351"/>
      <c r="T107" s="351"/>
      <c r="U107" s="351"/>
      <c r="V107" s="351"/>
      <c r="W107" s="351"/>
      <c r="X107" s="351"/>
      <c r="Y107" s="351"/>
    </row>
    <row r="108" spans="1:25">
      <c r="A108" s="228" t="s">
        <v>367</v>
      </c>
      <c r="B108" s="96" t="s">
        <v>368</v>
      </c>
      <c r="C108" s="98">
        <v>1</v>
      </c>
      <c r="D108" s="98" t="s">
        <v>780</v>
      </c>
      <c r="E108" s="98" t="s">
        <v>778</v>
      </c>
      <c r="F108" s="93">
        <f t="shared" si="1"/>
        <v>0</v>
      </c>
      <c r="G108" s="205"/>
      <c r="H108" s="353"/>
      <c r="I108" s="353"/>
      <c r="L108" s="345" t="s">
        <v>1872</v>
      </c>
      <c r="M108" s="346" t="s">
        <v>368</v>
      </c>
      <c r="N108" s="347">
        <v>121</v>
      </c>
      <c r="O108" s="348">
        <v>1</v>
      </c>
      <c r="P108" s="349"/>
      <c r="Q108" s="353"/>
      <c r="R108" s="353">
        <v>2</v>
      </c>
      <c r="S108" s="351"/>
      <c r="T108" s="351"/>
      <c r="U108" s="351"/>
      <c r="V108" s="351"/>
      <c r="W108" s="351"/>
      <c r="X108" s="351"/>
      <c r="Y108" s="351"/>
    </row>
    <row r="109" spans="1:25">
      <c r="A109" s="228" t="s">
        <v>275</v>
      </c>
      <c r="B109" s="96" t="s">
        <v>276</v>
      </c>
      <c r="C109" s="98">
        <v>2</v>
      </c>
      <c r="D109" s="98" t="s">
        <v>777</v>
      </c>
      <c r="E109" s="98" t="s">
        <v>778</v>
      </c>
      <c r="F109" s="93">
        <f t="shared" si="1"/>
        <v>1</v>
      </c>
      <c r="G109" s="205"/>
      <c r="H109" s="353"/>
      <c r="I109" s="353"/>
      <c r="L109" s="345" t="s">
        <v>1824</v>
      </c>
      <c r="M109" s="346" t="s">
        <v>276</v>
      </c>
      <c r="N109" s="347">
        <v>123</v>
      </c>
      <c r="O109" s="348"/>
      <c r="P109" s="349">
        <v>2</v>
      </c>
      <c r="Q109" s="353">
        <v>1</v>
      </c>
      <c r="R109" s="353"/>
      <c r="S109" s="351"/>
      <c r="T109" s="351"/>
      <c r="U109" s="351"/>
      <c r="V109" s="351"/>
      <c r="W109" s="351"/>
      <c r="X109" s="351"/>
      <c r="Y109" s="351"/>
    </row>
    <row r="110" spans="1:25">
      <c r="A110" s="228" t="s">
        <v>241</v>
      </c>
      <c r="B110" s="96" t="s">
        <v>242</v>
      </c>
      <c r="C110" s="98">
        <v>2</v>
      </c>
      <c r="D110" s="98" t="s">
        <v>780</v>
      </c>
      <c r="E110" s="98" t="s">
        <v>778</v>
      </c>
      <c r="F110" s="93">
        <f t="shared" si="1"/>
        <v>0</v>
      </c>
      <c r="G110" s="205"/>
      <c r="H110" s="353"/>
      <c r="I110" s="353"/>
      <c r="L110" s="345" t="s">
        <v>1807</v>
      </c>
      <c r="M110" s="346" t="s">
        <v>242</v>
      </c>
      <c r="N110" s="347">
        <v>112</v>
      </c>
      <c r="O110" s="348"/>
      <c r="P110" s="349">
        <v>2</v>
      </c>
      <c r="Q110" s="353"/>
      <c r="R110" s="353">
        <v>2</v>
      </c>
      <c r="S110" s="351"/>
      <c r="T110" s="351"/>
      <c r="U110" s="351"/>
      <c r="V110" s="351"/>
      <c r="W110" s="351"/>
      <c r="X110" s="351"/>
      <c r="Y110" s="351"/>
    </row>
    <row r="111" spans="1:25" s="80" customFormat="1">
      <c r="A111" s="228" t="s">
        <v>259</v>
      </c>
      <c r="B111" s="96" t="s">
        <v>260</v>
      </c>
      <c r="C111" s="98">
        <v>2</v>
      </c>
      <c r="D111" s="98" t="s">
        <v>777</v>
      </c>
      <c r="E111" s="98" t="s">
        <v>779</v>
      </c>
      <c r="F111" s="93">
        <f t="shared" si="1"/>
        <v>1</v>
      </c>
      <c r="G111" s="205"/>
      <c r="H111" s="353"/>
      <c r="I111" s="353"/>
      <c r="L111" s="345" t="s">
        <v>1816</v>
      </c>
      <c r="M111" s="346" t="s">
        <v>260</v>
      </c>
      <c r="N111" s="347">
        <v>101</v>
      </c>
      <c r="O111" s="348"/>
      <c r="P111" s="349">
        <v>2</v>
      </c>
      <c r="Q111" s="353">
        <v>1</v>
      </c>
      <c r="R111" s="353"/>
      <c r="S111" s="351"/>
      <c r="T111" s="351"/>
      <c r="U111" s="351"/>
      <c r="V111" s="351"/>
      <c r="W111" s="351"/>
      <c r="X111" s="351"/>
      <c r="Y111" s="351"/>
    </row>
    <row r="112" spans="1:25">
      <c r="A112" s="228" t="s">
        <v>245</v>
      </c>
      <c r="B112" s="96" t="s">
        <v>246</v>
      </c>
      <c r="C112" s="98">
        <v>1</v>
      </c>
      <c r="D112" s="98" t="s">
        <v>780</v>
      </c>
      <c r="E112" s="98" t="s">
        <v>778</v>
      </c>
      <c r="F112" s="93">
        <f t="shared" si="1"/>
        <v>0</v>
      </c>
      <c r="G112" s="205"/>
      <c r="H112" s="353"/>
      <c r="I112" s="353"/>
      <c r="L112" s="345" t="s">
        <v>1809</v>
      </c>
      <c r="M112" s="346" t="s">
        <v>246</v>
      </c>
      <c r="N112" s="347">
        <v>112</v>
      </c>
      <c r="O112" s="348">
        <v>1</v>
      </c>
      <c r="P112" s="349"/>
      <c r="Q112" s="353"/>
      <c r="R112" s="353">
        <v>2</v>
      </c>
      <c r="S112" s="351"/>
      <c r="T112" s="351"/>
      <c r="U112" s="351"/>
      <c r="V112" s="351"/>
      <c r="W112" s="351"/>
      <c r="X112" s="351"/>
      <c r="Y112" s="351"/>
    </row>
    <row r="113" spans="1:25">
      <c r="A113" s="228" t="s">
        <v>179</v>
      </c>
      <c r="B113" s="96" t="s">
        <v>180</v>
      </c>
      <c r="C113" s="98">
        <v>1</v>
      </c>
      <c r="D113" s="98" t="s">
        <v>780</v>
      </c>
      <c r="E113" s="98" t="s">
        <v>778</v>
      </c>
      <c r="F113" s="93">
        <f t="shared" si="1"/>
        <v>0</v>
      </c>
      <c r="G113" s="205"/>
      <c r="H113" s="353"/>
      <c r="I113" s="353"/>
      <c r="L113" s="345" t="s">
        <v>1774</v>
      </c>
      <c r="M113" s="346" t="s">
        <v>180</v>
      </c>
      <c r="N113" s="347">
        <v>123</v>
      </c>
      <c r="O113" s="348">
        <v>1</v>
      </c>
      <c r="P113" s="349"/>
      <c r="Q113" s="353"/>
      <c r="R113" s="353">
        <v>2</v>
      </c>
      <c r="S113" s="351"/>
      <c r="T113" s="351"/>
      <c r="U113" s="351"/>
      <c r="V113" s="351"/>
      <c r="W113" s="351"/>
      <c r="X113" s="351"/>
      <c r="Y113" s="351"/>
    </row>
    <row r="114" spans="1:25">
      <c r="A114" s="228" t="s">
        <v>373</v>
      </c>
      <c r="B114" s="96" t="s">
        <v>374</v>
      </c>
      <c r="C114" s="98">
        <v>1</v>
      </c>
      <c r="D114" s="98" t="s">
        <v>780</v>
      </c>
      <c r="E114" s="98" t="s">
        <v>778</v>
      </c>
      <c r="F114" s="93">
        <f t="shared" si="1"/>
        <v>0</v>
      </c>
      <c r="G114" s="205"/>
      <c r="H114" s="353"/>
      <c r="I114" s="353"/>
      <c r="L114" s="345" t="s">
        <v>1875</v>
      </c>
      <c r="M114" s="346" t="s">
        <v>374</v>
      </c>
      <c r="N114" s="347">
        <v>121</v>
      </c>
      <c r="O114" s="348">
        <v>1</v>
      </c>
      <c r="P114" s="349"/>
      <c r="Q114" s="353"/>
      <c r="R114" s="353">
        <v>2</v>
      </c>
      <c r="S114" s="351"/>
      <c r="T114" s="351"/>
      <c r="U114" s="351"/>
      <c r="V114" s="351"/>
      <c r="W114" s="351"/>
      <c r="X114" s="351"/>
      <c r="Y114" s="351"/>
    </row>
    <row r="115" spans="1:25">
      <c r="A115" s="228" t="s">
        <v>641</v>
      </c>
      <c r="B115" s="96" t="s">
        <v>642</v>
      </c>
      <c r="C115" s="98">
        <v>2</v>
      </c>
      <c r="D115" s="98" t="s">
        <v>777</v>
      </c>
      <c r="E115" s="98" t="s">
        <v>778</v>
      </c>
      <c r="F115" s="93">
        <f t="shared" si="1"/>
        <v>1</v>
      </c>
      <c r="G115" s="205"/>
      <c r="H115" s="353"/>
      <c r="I115" s="353"/>
      <c r="L115" s="345" t="s">
        <v>2013</v>
      </c>
      <c r="M115" s="346" t="s">
        <v>642</v>
      </c>
      <c r="N115" s="347">
        <v>101</v>
      </c>
      <c r="O115" s="348"/>
      <c r="P115" s="349">
        <v>2</v>
      </c>
      <c r="Q115" s="353">
        <v>1</v>
      </c>
      <c r="R115" s="353"/>
      <c r="S115" s="351"/>
      <c r="T115" s="351"/>
      <c r="U115" s="351"/>
      <c r="V115" s="351"/>
      <c r="W115" s="351"/>
      <c r="X115" s="351"/>
      <c r="Y115" s="351"/>
    </row>
    <row r="116" spans="1:25">
      <c r="A116" s="228" t="s">
        <v>183</v>
      </c>
      <c r="B116" s="96" t="s">
        <v>184</v>
      </c>
      <c r="C116" s="98">
        <v>2</v>
      </c>
      <c r="D116" s="98" t="s">
        <v>780</v>
      </c>
      <c r="E116" s="98" t="s">
        <v>778</v>
      </c>
      <c r="F116" s="93">
        <f t="shared" si="1"/>
        <v>0</v>
      </c>
      <c r="G116" s="205"/>
      <c r="H116" s="353"/>
      <c r="I116" s="353"/>
      <c r="L116" s="345" t="s">
        <v>1776</v>
      </c>
      <c r="M116" s="346" t="s">
        <v>184</v>
      </c>
      <c r="N116" s="347">
        <v>123</v>
      </c>
      <c r="O116" s="348"/>
      <c r="P116" s="349">
        <v>2</v>
      </c>
      <c r="Q116" s="353"/>
      <c r="R116" s="353">
        <v>2</v>
      </c>
      <c r="S116" s="351"/>
      <c r="T116" s="351"/>
      <c r="U116" s="351"/>
      <c r="V116" s="351"/>
      <c r="W116" s="351"/>
      <c r="X116" s="351"/>
      <c r="Y116" s="351"/>
    </row>
    <row r="117" spans="1:25">
      <c r="A117" s="228" t="s">
        <v>395</v>
      </c>
      <c r="B117" s="233" t="s">
        <v>396</v>
      </c>
      <c r="C117" s="98">
        <v>2</v>
      </c>
      <c r="D117" s="98" t="s">
        <v>777</v>
      </c>
      <c r="E117" s="98" t="s">
        <v>778</v>
      </c>
      <c r="F117" s="93">
        <f t="shared" si="1"/>
        <v>1</v>
      </c>
      <c r="G117" s="205"/>
      <c r="H117" s="353"/>
      <c r="I117" s="353"/>
      <c r="L117" s="345" t="s">
        <v>1886</v>
      </c>
      <c r="M117" s="346" t="s">
        <v>396</v>
      </c>
      <c r="N117" s="347">
        <v>105</v>
      </c>
      <c r="O117" s="348"/>
      <c r="P117" s="349">
        <v>2</v>
      </c>
      <c r="Q117" s="353">
        <v>1</v>
      </c>
      <c r="R117" s="353"/>
      <c r="S117" s="351"/>
      <c r="T117" s="351"/>
      <c r="U117" s="351"/>
      <c r="V117" s="351"/>
      <c r="W117" s="351"/>
      <c r="X117" s="351"/>
      <c r="Y117" s="351"/>
    </row>
    <row r="118" spans="1:25">
      <c r="A118" s="228" t="s">
        <v>409</v>
      </c>
      <c r="B118" s="96" t="s">
        <v>410</v>
      </c>
      <c r="C118" s="98">
        <v>2</v>
      </c>
      <c r="D118" s="98" t="s">
        <v>777</v>
      </c>
      <c r="E118" s="98" t="s">
        <v>778</v>
      </c>
      <c r="F118" s="93">
        <f t="shared" si="1"/>
        <v>1</v>
      </c>
      <c r="G118" s="205"/>
      <c r="H118" s="353"/>
      <c r="I118" s="353"/>
      <c r="L118" s="345" t="s">
        <v>1893</v>
      </c>
      <c r="M118" s="346" t="s">
        <v>410</v>
      </c>
      <c r="N118" s="347">
        <v>112</v>
      </c>
      <c r="O118" s="348"/>
      <c r="P118" s="349">
        <v>2</v>
      </c>
      <c r="Q118" s="353">
        <v>1</v>
      </c>
      <c r="R118" s="353"/>
      <c r="S118" s="351"/>
      <c r="T118" s="351"/>
      <c r="U118" s="351"/>
      <c r="V118" s="351"/>
      <c r="W118" s="351"/>
      <c r="X118" s="351"/>
      <c r="Y118" s="351"/>
    </row>
    <row r="119" spans="1:25">
      <c r="A119" s="228" t="s">
        <v>553</v>
      </c>
      <c r="B119" s="96" t="s">
        <v>554</v>
      </c>
      <c r="C119" s="98">
        <v>2</v>
      </c>
      <c r="D119" s="98" t="s">
        <v>780</v>
      </c>
      <c r="E119" s="98" t="s">
        <v>778</v>
      </c>
      <c r="F119" s="93">
        <f t="shared" si="1"/>
        <v>0</v>
      </c>
      <c r="G119" s="205"/>
      <c r="H119" s="353"/>
      <c r="I119" s="353"/>
      <c r="L119" s="345" t="s">
        <v>1794</v>
      </c>
      <c r="M119" s="346" t="s">
        <v>1795</v>
      </c>
      <c r="N119" s="347">
        <v>112</v>
      </c>
      <c r="O119" s="348"/>
      <c r="P119" s="349">
        <v>2</v>
      </c>
      <c r="Q119" s="353"/>
      <c r="R119" s="353">
        <v>2</v>
      </c>
      <c r="S119" s="351"/>
      <c r="T119" s="351"/>
      <c r="U119" s="351"/>
      <c r="V119" s="351"/>
      <c r="W119" s="351"/>
      <c r="X119" s="351"/>
      <c r="Y119" s="351"/>
    </row>
    <row r="120" spans="1:25">
      <c r="A120" s="228" t="s">
        <v>219</v>
      </c>
      <c r="B120" s="96" t="s">
        <v>1259</v>
      </c>
      <c r="C120" s="98">
        <v>2</v>
      </c>
      <c r="D120" s="98" t="s">
        <v>780</v>
      </c>
      <c r="E120" s="98" t="s">
        <v>778</v>
      </c>
      <c r="F120" s="93">
        <f t="shared" si="1"/>
        <v>0</v>
      </c>
      <c r="G120" s="205"/>
      <c r="H120" s="353"/>
      <c r="I120" s="353"/>
      <c r="L120" s="345" t="s">
        <v>1967</v>
      </c>
      <c r="M120" s="346" t="s">
        <v>554</v>
      </c>
      <c r="N120" s="347">
        <v>189</v>
      </c>
      <c r="O120" s="348"/>
      <c r="P120" s="349">
        <v>2</v>
      </c>
      <c r="Q120" s="353"/>
      <c r="R120" s="353">
        <v>2</v>
      </c>
      <c r="S120" s="351"/>
      <c r="T120" s="351"/>
      <c r="U120" s="351"/>
      <c r="V120" s="351"/>
      <c r="W120" s="351"/>
      <c r="X120" s="351"/>
      <c r="Y120" s="351"/>
    </row>
    <row r="121" spans="1:25">
      <c r="A121" s="228" t="s">
        <v>688</v>
      </c>
      <c r="B121" s="96" t="s">
        <v>689</v>
      </c>
      <c r="C121" s="98">
        <v>2</v>
      </c>
      <c r="D121" s="98" t="s">
        <v>777</v>
      </c>
      <c r="E121" s="98" t="s">
        <v>778</v>
      </c>
      <c r="F121" s="93">
        <f t="shared" si="1"/>
        <v>1</v>
      </c>
      <c r="G121" s="205"/>
      <c r="H121" s="353"/>
      <c r="I121" s="353"/>
      <c r="L121" s="345" t="s">
        <v>2037</v>
      </c>
      <c r="M121" s="346" t="s">
        <v>689</v>
      </c>
      <c r="N121" s="347">
        <v>101</v>
      </c>
      <c r="O121" s="348"/>
      <c r="P121" s="349">
        <v>2</v>
      </c>
      <c r="Q121" s="353">
        <v>1</v>
      </c>
      <c r="R121" s="353"/>
      <c r="S121" s="351"/>
      <c r="T121" s="351"/>
      <c r="U121" s="351"/>
      <c r="V121" s="351"/>
      <c r="W121" s="351"/>
      <c r="X121" s="351"/>
      <c r="Y121" s="351"/>
    </row>
    <row r="122" spans="1:25">
      <c r="A122" s="228" t="s">
        <v>197</v>
      </c>
      <c r="B122" s="96" t="s">
        <v>198</v>
      </c>
      <c r="C122" s="98">
        <v>2</v>
      </c>
      <c r="D122" s="98" t="s">
        <v>780</v>
      </c>
      <c r="E122" s="98" t="s">
        <v>778</v>
      </c>
      <c r="F122" s="93">
        <f t="shared" si="1"/>
        <v>0</v>
      </c>
      <c r="G122" s="205"/>
      <c r="H122" s="353"/>
      <c r="I122" s="353"/>
      <c r="L122" s="345" t="s">
        <v>1783</v>
      </c>
      <c r="M122" s="346" t="s">
        <v>198</v>
      </c>
      <c r="N122" s="347">
        <v>171</v>
      </c>
      <c r="O122" s="348"/>
      <c r="P122" s="349">
        <v>2</v>
      </c>
      <c r="Q122" s="353"/>
      <c r="R122" s="353">
        <v>2</v>
      </c>
      <c r="S122" s="351"/>
      <c r="T122" s="351"/>
      <c r="U122" s="351"/>
      <c r="V122" s="351"/>
      <c r="W122" s="351"/>
      <c r="X122" s="351"/>
      <c r="Y122" s="351"/>
    </row>
    <row r="123" spans="1:25">
      <c r="A123" s="228" t="s">
        <v>313</v>
      </c>
      <c r="B123" s="96" t="s">
        <v>314</v>
      </c>
      <c r="C123" s="98">
        <v>2</v>
      </c>
      <c r="D123" s="98" t="s">
        <v>780</v>
      </c>
      <c r="E123" s="98" t="s">
        <v>778</v>
      </c>
      <c r="F123" s="93">
        <f t="shared" si="1"/>
        <v>0</v>
      </c>
      <c r="G123" s="205"/>
      <c r="H123" s="353"/>
      <c r="I123" s="353"/>
      <c r="L123" s="345" t="s">
        <v>1843</v>
      </c>
      <c r="M123" s="346" t="s">
        <v>314</v>
      </c>
      <c r="N123" s="347">
        <v>113</v>
      </c>
      <c r="O123" s="348"/>
      <c r="P123" s="349">
        <v>2</v>
      </c>
      <c r="Q123" s="353"/>
      <c r="R123" s="353">
        <v>2</v>
      </c>
      <c r="S123" s="351"/>
      <c r="T123" s="351"/>
      <c r="U123" s="351"/>
      <c r="V123" s="351"/>
      <c r="W123" s="351"/>
      <c r="X123" s="351"/>
      <c r="Y123" s="351"/>
    </row>
    <row r="124" spans="1:25">
      <c r="A124" s="228" t="s">
        <v>569</v>
      </c>
      <c r="B124" s="96" t="s">
        <v>570</v>
      </c>
      <c r="C124" s="98">
        <v>1</v>
      </c>
      <c r="D124" s="98" t="s">
        <v>780</v>
      </c>
      <c r="E124" s="98" t="s">
        <v>778</v>
      </c>
      <c r="F124" s="93">
        <f t="shared" si="1"/>
        <v>0</v>
      </c>
      <c r="G124" s="205"/>
      <c r="H124" s="353"/>
      <c r="I124" s="353"/>
      <c r="L124" s="345" t="s">
        <v>1975</v>
      </c>
      <c r="M124" s="346" t="s">
        <v>570</v>
      </c>
      <c r="N124" s="347">
        <v>189</v>
      </c>
      <c r="O124" s="348">
        <v>1</v>
      </c>
      <c r="P124" s="349"/>
      <c r="Q124" s="353"/>
      <c r="R124" s="353">
        <v>2</v>
      </c>
      <c r="S124" s="351"/>
      <c r="T124" s="351"/>
      <c r="U124" s="351"/>
      <c r="V124" s="351"/>
      <c r="W124" s="351"/>
      <c r="X124" s="351"/>
      <c r="Y124" s="351"/>
    </row>
    <row r="125" spans="1:25">
      <c r="A125" s="228" t="s">
        <v>371</v>
      </c>
      <c r="B125" s="96" t="s">
        <v>372</v>
      </c>
      <c r="C125" s="98">
        <v>1</v>
      </c>
      <c r="D125" s="98" t="s">
        <v>780</v>
      </c>
      <c r="E125" s="98" t="s">
        <v>778</v>
      </c>
      <c r="F125" s="93">
        <f t="shared" si="1"/>
        <v>0</v>
      </c>
      <c r="G125" s="205"/>
      <c r="H125" s="353"/>
      <c r="I125" s="353"/>
      <c r="L125" s="345" t="s">
        <v>1874</v>
      </c>
      <c r="M125" s="346" t="s">
        <v>372</v>
      </c>
      <c r="N125" s="347">
        <v>121</v>
      </c>
      <c r="O125" s="348">
        <v>1</v>
      </c>
      <c r="P125" s="349"/>
      <c r="Q125" s="353"/>
      <c r="R125" s="353">
        <v>2</v>
      </c>
      <c r="S125" s="351"/>
      <c r="T125" s="351"/>
      <c r="U125" s="351"/>
      <c r="V125" s="351"/>
      <c r="W125" s="351"/>
      <c r="X125" s="351"/>
      <c r="Y125" s="351"/>
    </row>
    <row r="126" spans="1:25">
      <c r="A126" s="228" t="s">
        <v>585</v>
      </c>
      <c r="B126" s="96" t="s">
        <v>586</v>
      </c>
      <c r="C126" s="98">
        <v>1</v>
      </c>
      <c r="D126" s="98" t="s">
        <v>780</v>
      </c>
      <c r="E126" s="98" t="s">
        <v>778</v>
      </c>
      <c r="F126" s="93">
        <f t="shared" si="1"/>
        <v>0</v>
      </c>
      <c r="G126" s="205"/>
      <c r="H126" s="353"/>
      <c r="I126" s="353"/>
      <c r="L126" s="345" t="s">
        <v>1983</v>
      </c>
      <c r="M126" s="346" t="s">
        <v>586</v>
      </c>
      <c r="N126" s="347">
        <v>189</v>
      </c>
      <c r="O126" s="348">
        <v>1</v>
      </c>
      <c r="P126" s="349"/>
      <c r="Q126" s="353"/>
      <c r="R126" s="353">
        <v>2</v>
      </c>
      <c r="S126" s="351"/>
      <c r="T126" s="351"/>
      <c r="U126" s="351"/>
      <c r="V126" s="351"/>
      <c r="W126" s="351"/>
      <c r="X126" s="351"/>
      <c r="Y126" s="351"/>
    </row>
    <row r="127" spans="1:25">
      <c r="A127" s="228" t="s">
        <v>690</v>
      </c>
      <c r="B127" s="96" t="s">
        <v>691</v>
      </c>
      <c r="C127" s="98">
        <v>2</v>
      </c>
      <c r="D127" s="98" t="s">
        <v>777</v>
      </c>
      <c r="E127" s="98" t="s">
        <v>779</v>
      </c>
      <c r="F127" s="93">
        <f t="shared" si="1"/>
        <v>1</v>
      </c>
      <c r="G127" s="205"/>
      <c r="H127" s="353"/>
      <c r="I127" s="353"/>
      <c r="L127" s="345" t="s">
        <v>2038</v>
      </c>
      <c r="M127" s="346" t="s">
        <v>691</v>
      </c>
      <c r="N127" s="347">
        <v>101</v>
      </c>
      <c r="O127" s="348"/>
      <c r="P127" s="349">
        <v>2</v>
      </c>
      <c r="Q127" s="353">
        <v>1</v>
      </c>
      <c r="R127" s="353"/>
      <c r="S127" s="351"/>
      <c r="T127" s="351"/>
      <c r="U127" s="351"/>
      <c r="V127" s="351"/>
      <c r="W127" s="351"/>
      <c r="X127" s="351"/>
      <c r="Y127" s="351"/>
    </row>
    <row r="128" spans="1:25">
      <c r="A128" s="228" t="s">
        <v>614</v>
      </c>
      <c r="B128" s="96" t="s">
        <v>615</v>
      </c>
      <c r="C128" s="98">
        <v>2</v>
      </c>
      <c r="D128" s="98" t="s">
        <v>777</v>
      </c>
      <c r="E128" s="98" t="s">
        <v>778</v>
      </c>
      <c r="F128" s="93">
        <f t="shared" si="1"/>
        <v>1</v>
      </c>
      <c r="G128" s="205"/>
      <c r="H128" s="353"/>
      <c r="I128" s="353"/>
      <c r="L128" s="345" t="s">
        <v>1998</v>
      </c>
      <c r="M128" s="346" t="s">
        <v>615</v>
      </c>
      <c r="N128" s="347">
        <v>101</v>
      </c>
      <c r="O128" s="348"/>
      <c r="P128" s="349">
        <v>2</v>
      </c>
      <c r="Q128" s="353">
        <v>1</v>
      </c>
      <c r="R128" s="353"/>
      <c r="S128" s="351"/>
      <c r="T128" s="351"/>
      <c r="U128" s="351"/>
      <c r="V128" s="351"/>
      <c r="W128" s="351"/>
      <c r="X128" s="351"/>
      <c r="Y128" s="351"/>
    </row>
    <row r="129" spans="1:25">
      <c r="A129" s="228" t="s">
        <v>171</v>
      </c>
      <c r="B129" s="96" t="s">
        <v>172</v>
      </c>
      <c r="C129" s="98">
        <v>2</v>
      </c>
      <c r="D129" s="98" t="s">
        <v>777</v>
      </c>
      <c r="E129" s="98" t="s">
        <v>778</v>
      </c>
      <c r="F129" s="93">
        <f t="shared" si="1"/>
        <v>1</v>
      </c>
      <c r="G129" s="205"/>
      <c r="H129" s="353"/>
      <c r="I129" s="353"/>
      <c r="L129" s="345" t="s">
        <v>1770</v>
      </c>
      <c r="M129" s="346" t="s">
        <v>172</v>
      </c>
      <c r="N129" s="347">
        <v>101</v>
      </c>
      <c r="O129" s="348"/>
      <c r="P129" s="349">
        <v>2</v>
      </c>
      <c r="Q129" s="353">
        <v>1</v>
      </c>
      <c r="R129" s="353"/>
      <c r="S129" s="351"/>
      <c r="T129" s="351"/>
      <c r="U129" s="351"/>
      <c r="V129" s="351"/>
      <c r="W129" s="351"/>
      <c r="X129" s="351"/>
      <c r="Y129" s="351"/>
    </row>
    <row r="130" spans="1:25">
      <c r="A130" s="228" t="s">
        <v>235</v>
      </c>
      <c r="B130" s="96" t="s">
        <v>236</v>
      </c>
      <c r="C130" s="98">
        <v>1</v>
      </c>
      <c r="D130" s="98" t="s">
        <v>780</v>
      </c>
      <c r="E130" s="98" t="s">
        <v>778</v>
      </c>
      <c r="F130" s="93">
        <f t="shared" si="1"/>
        <v>0</v>
      </c>
      <c r="G130" s="205"/>
      <c r="H130" s="353"/>
      <c r="I130" s="353"/>
      <c r="L130" s="345" t="s">
        <v>1804</v>
      </c>
      <c r="M130" s="346" t="s">
        <v>236</v>
      </c>
      <c r="N130" s="347">
        <v>112</v>
      </c>
      <c r="O130" s="348">
        <v>1</v>
      </c>
      <c r="P130" s="349"/>
      <c r="Q130" s="353"/>
      <c r="R130" s="353">
        <v>2</v>
      </c>
      <c r="S130" s="351"/>
      <c r="T130" s="351"/>
      <c r="U130" s="351"/>
      <c r="V130" s="351"/>
      <c r="W130" s="351"/>
      <c r="X130" s="351"/>
      <c r="Y130" s="351"/>
    </row>
    <row r="131" spans="1:25">
      <c r="A131" s="228" t="s">
        <v>631</v>
      </c>
      <c r="B131" s="96" t="s">
        <v>632</v>
      </c>
      <c r="C131" s="98">
        <v>2</v>
      </c>
      <c r="D131" s="98" t="s">
        <v>777</v>
      </c>
      <c r="E131" s="98" t="s">
        <v>779</v>
      </c>
      <c r="F131" s="93">
        <f t="shared" ref="F131:F194" si="2">IF(+D131="cash",1,0)</f>
        <v>1</v>
      </c>
      <c r="G131" s="205"/>
      <c r="H131" s="353"/>
      <c r="I131" s="353"/>
      <c r="L131" s="345" t="s">
        <v>2007</v>
      </c>
      <c r="M131" s="346" t="s">
        <v>632</v>
      </c>
      <c r="N131" s="347">
        <v>101</v>
      </c>
      <c r="O131" s="348"/>
      <c r="P131" s="349">
        <v>2</v>
      </c>
      <c r="Q131" s="353">
        <v>1</v>
      </c>
      <c r="R131" s="353"/>
      <c r="S131" s="351"/>
      <c r="T131" s="351"/>
      <c r="U131" s="351"/>
      <c r="V131" s="351"/>
      <c r="W131" s="351"/>
      <c r="X131" s="351"/>
      <c r="Y131" s="351"/>
    </row>
    <row r="132" spans="1:25">
      <c r="A132" s="228" t="s">
        <v>542</v>
      </c>
      <c r="B132" s="96" t="s">
        <v>543</v>
      </c>
      <c r="C132" s="98">
        <v>2</v>
      </c>
      <c r="D132" s="98" t="s">
        <v>780</v>
      </c>
      <c r="E132" s="98" t="s">
        <v>778</v>
      </c>
      <c r="F132" s="93">
        <f t="shared" si="2"/>
        <v>0</v>
      </c>
      <c r="G132" s="205"/>
      <c r="H132" s="353"/>
      <c r="I132" s="353"/>
      <c r="L132" s="345" t="s">
        <v>1961</v>
      </c>
      <c r="M132" s="346" t="s">
        <v>543</v>
      </c>
      <c r="N132" s="347">
        <v>189</v>
      </c>
      <c r="O132" s="348"/>
      <c r="P132" s="349">
        <v>2</v>
      </c>
      <c r="Q132" s="353"/>
      <c r="R132" s="353">
        <v>2</v>
      </c>
      <c r="S132" s="351"/>
      <c r="T132" s="351"/>
      <c r="U132" s="351"/>
      <c r="V132" s="351"/>
      <c r="W132" s="351"/>
      <c r="X132" s="351"/>
      <c r="Y132" s="351"/>
    </row>
    <row r="133" spans="1:25">
      <c r="A133" s="234" t="s">
        <v>1240</v>
      </c>
      <c r="B133" s="120" t="s">
        <v>1253</v>
      </c>
      <c r="C133" s="98">
        <v>1</v>
      </c>
      <c r="D133" s="98" t="s">
        <v>780</v>
      </c>
      <c r="E133" s="98" t="s">
        <v>778</v>
      </c>
      <c r="F133" s="93">
        <f t="shared" si="2"/>
        <v>0</v>
      </c>
      <c r="G133" s="205"/>
      <c r="H133" s="353"/>
      <c r="I133" s="353"/>
      <c r="L133" s="234" t="s">
        <v>1240</v>
      </c>
      <c r="M133" s="120" t="s">
        <v>1253</v>
      </c>
      <c r="N133" s="347"/>
      <c r="O133" s="348"/>
      <c r="P133" s="349"/>
      <c r="Q133" s="353"/>
      <c r="R133" s="353"/>
      <c r="S133" s="351"/>
      <c r="T133" s="351"/>
      <c r="U133" s="351"/>
      <c r="V133" s="351"/>
      <c r="W133" s="351"/>
      <c r="X133" s="351"/>
      <c r="Y133" s="351"/>
    </row>
    <row r="134" spans="1:25">
      <c r="A134" s="228" t="s">
        <v>417</v>
      </c>
      <c r="B134" s="96" t="s">
        <v>418</v>
      </c>
      <c r="C134" s="98">
        <v>2</v>
      </c>
      <c r="D134" s="98" t="s">
        <v>777</v>
      </c>
      <c r="E134" s="98" t="s">
        <v>778</v>
      </c>
      <c r="F134" s="93">
        <f t="shared" si="2"/>
        <v>1</v>
      </c>
      <c r="G134" s="205"/>
      <c r="H134" s="353"/>
      <c r="I134" s="353"/>
      <c r="L134" s="345" t="s">
        <v>1897</v>
      </c>
      <c r="M134" s="346" t="s">
        <v>418</v>
      </c>
      <c r="N134" s="347">
        <v>112</v>
      </c>
      <c r="O134" s="348"/>
      <c r="P134" s="349">
        <v>2</v>
      </c>
      <c r="Q134" s="353">
        <v>1</v>
      </c>
      <c r="R134" s="353"/>
      <c r="S134" s="351"/>
      <c r="T134" s="351"/>
      <c r="U134" s="351"/>
      <c r="V134" s="351"/>
      <c r="W134" s="351"/>
      <c r="X134" s="351"/>
      <c r="Y134" s="351"/>
    </row>
    <row r="135" spans="1:25">
      <c r="A135" s="228" t="s">
        <v>680</v>
      </c>
      <c r="B135" s="96" t="s">
        <v>681</v>
      </c>
      <c r="C135" s="98">
        <v>1</v>
      </c>
      <c r="D135" s="98" t="s">
        <v>780</v>
      </c>
      <c r="E135" s="98" t="s">
        <v>778</v>
      </c>
      <c r="F135" s="93">
        <f t="shared" si="2"/>
        <v>0</v>
      </c>
      <c r="G135" s="205"/>
      <c r="H135" s="353"/>
      <c r="I135" s="353"/>
      <c r="L135" s="345" t="s">
        <v>2033</v>
      </c>
      <c r="M135" s="346" t="s">
        <v>681</v>
      </c>
      <c r="N135" s="347">
        <v>189</v>
      </c>
      <c r="O135" s="348">
        <v>1</v>
      </c>
      <c r="P135" s="349"/>
      <c r="Q135" s="353"/>
      <c r="R135" s="353">
        <v>2</v>
      </c>
      <c r="S135" s="351"/>
      <c r="T135" s="351"/>
      <c r="U135" s="351"/>
      <c r="V135" s="351"/>
      <c r="W135" s="351"/>
      <c r="X135" s="351"/>
      <c r="Y135" s="351"/>
    </row>
    <row r="136" spans="1:25">
      <c r="A136" s="228" t="s">
        <v>723</v>
      </c>
      <c r="B136" s="96" t="s">
        <v>724</v>
      </c>
      <c r="C136" s="98">
        <v>2</v>
      </c>
      <c r="D136" s="98" t="s">
        <v>780</v>
      </c>
      <c r="E136" s="98" t="s">
        <v>778</v>
      </c>
      <c r="F136" s="93">
        <f t="shared" si="2"/>
        <v>0</v>
      </c>
      <c r="G136" s="205"/>
      <c r="H136" s="353"/>
      <c r="I136" s="353"/>
      <c r="L136" s="345" t="s">
        <v>2055</v>
      </c>
      <c r="M136" s="346" t="s">
        <v>724</v>
      </c>
      <c r="N136" s="347">
        <v>105</v>
      </c>
      <c r="O136" s="348"/>
      <c r="P136" s="349">
        <v>2</v>
      </c>
      <c r="Q136" s="353"/>
      <c r="R136" s="353">
        <v>2</v>
      </c>
      <c r="S136" s="351"/>
      <c r="T136" s="351"/>
      <c r="U136" s="351"/>
      <c r="V136" s="351"/>
      <c r="W136" s="351"/>
      <c r="X136" s="351"/>
      <c r="Y136" s="351"/>
    </row>
    <row r="137" spans="1:25">
      <c r="A137" s="228" t="s">
        <v>255</v>
      </c>
      <c r="B137" s="96" t="s">
        <v>256</v>
      </c>
      <c r="C137" s="98">
        <v>2</v>
      </c>
      <c r="D137" s="98" t="s">
        <v>780</v>
      </c>
      <c r="E137" s="98" t="s">
        <v>778</v>
      </c>
      <c r="F137" s="93">
        <f t="shared" si="2"/>
        <v>0</v>
      </c>
      <c r="G137" s="205"/>
      <c r="H137" s="353"/>
      <c r="I137" s="353"/>
      <c r="L137" s="345" t="s">
        <v>1814</v>
      </c>
      <c r="M137" s="346" t="s">
        <v>256</v>
      </c>
      <c r="N137" s="347">
        <v>171</v>
      </c>
      <c r="O137" s="348"/>
      <c r="P137" s="349">
        <v>2</v>
      </c>
      <c r="Q137" s="353"/>
      <c r="R137" s="353">
        <v>2</v>
      </c>
      <c r="S137" s="351"/>
      <c r="T137" s="351"/>
      <c r="U137" s="351"/>
      <c r="V137" s="351"/>
      <c r="W137" s="351"/>
      <c r="X137" s="351"/>
      <c r="Y137" s="351"/>
    </row>
    <row r="138" spans="1:25">
      <c r="A138" s="228" t="s">
        <v>191</v>
      </c>
      <c r="B138" s="96" t="s">
        <v>192</v>
      </c>
      <c r="C138" s="98">
        <v>2</v>
      </c>
      <c r="D138" s="98" t="s">
        <v>780</v>
      </c>
      <c r="E138" s="98" t="s">
        <v>778</v>
      </c>
      <c r="F138" s="93">
        <f t="shared" si="2"/>
        <v>0</v>
      </c>
      <c r="G138" s="205"/>
      <c r="H138" s="353"/>
      <c r="I138" s="353"/>
      <c r="L138" s="345" t="s">
        <v>1780</v>
      </c>
      <c r="M138" s="346" t="s">
        <v>192</v>
      </c>
      <c r="N138" s="347">
        <v>171</v>
      </c>
      <c r="O138" s="348"/>
      <c r="P138" s="349">
        <v>2</v>
      </c>
      <c r="Q138" s="353"/>
      <c r="R138" s="353">
        <v>2</v>
      </c>
      <c r="S138" s="351"/>
      <c r="T138" s="351"/>
      <c r="U138" s="351"/>
      <c r="V138" s="351"/>
      <c r="W138" s="351"/>
      <c r="X138" s="351"/>
      <c r="Y138" s="351"/>
    </row>
    <row r="139" spans="1:25">
      <c r="A139" s="228" t="s">
        <v>467</v>
      </c>
      <c r="B139" s="96" t="s">
        <v>468</v>
      </c>
      <c r="C139" s="98">
        <v>2</v>
      </c>
      <c r="D139" s="98" t="s">
        <v>780</v>
      </c>
      <c r="E139" s="98" t="s">
        <v>778</v>
      </c>
      <c r="F139" s="93">
        <f t="shared" si="2"/>
        <v>0</v>
      </c>
      <c r="G139" s="205"/>
      <c r="H139" s="353"/>
      <c r="I139" s="353"/>
      <c r="L139" s="345" t="s">
        <v>1922</v>
      </c>
      <c r="M139" s="346" t="s">
        <v>468</v>
      </c>
      <c r="N139" s="347">
        <v>113</v>
      </c>
      <c r="O139" s="348"/>
      <c r="P139" s="349">
        <v>2</v>
      </c>
      <c r="Q139" s="353"/>
      <c r="R139" s="353">
        <v>2</v>
      </c>
      <c r="S139" s="351"/>
      <c r="T139" s="351"/>
      <c r="U139" s="351"/>
      <c r="V139" s="351"/>
      <c r="W139" s="351"/>
      <c r="X139" s="351"/>
      <c r="Y139" s="351"/>
    </row>
    <row r="140" spans="1:25">
      <c r="A140" s="228" t="s">
        <v>637</v>
      </c>
      <c r="B140" s="96" t="s">
        <v>638</v>
      </c>
      <c r="C140" s="98">
        <v>2</v>
      </c>
      <c r="D140" s="98" t="s">
        <v>777</v>
      </c>
      <c r="E140" s="98" t="s">
        <v>778</v>
      </c>
      <c r="F140" s="93">
        <f t="shared" si="2"/>
        <v>1</v>
      </c>
      <c r="G140" s="205"/>
      <c r="H140" s="353"/>
      <c r="I140" s="353"/>
      <c r="L140" s="345" t="s">
        <v>2011</v>
      </c>
      <c r="M140" s="346" t="s">
        <v>638</v>
      </c>
      <c r="N140" s="347">
        <v>101</v>
      </c>
      <c r="O140" s="348"/>
      <c r="P140" s="349">
        <v>2</v>
      </c>
      <c r="Q140" s="353">
        <v>1</v>
      </c>
      <c r="R140" s="353"/>
      <c r="S140" s="351"/>
      <c r="T140" s="351"/>
      <c r="U140" s="351"/>
      <c r="V140" s="351"/>
      <c r="W140" s="351"/>
      <c r="X140" s="351"/>
      <c r="Y140" s="351"/>
    </row>
    <row r="141" spans="1:25">
      <c r="A141" s="228" t="s">
        <v>577</v>
      </c>
      <c r="B141" s="96" t="s">
        <v>578</v>
      </c>
      <c r="C141" s="98">
        <v>1</v>
      </c>
      <c r="D141" s="98" t="s">
        <v>780</v>
      </c>
      <c r="E141" s="98" t="s">
        <v>778</v>
      </c>
      <c r="F141" s="93">
        <f t="shared" si="2"/>
        <v>0</v>
      </c>
      <c r="G141" s="205"/>
      <c r="H141" s="353"/>
      <c r="I141" s="353"/>
      <c r="L141" s="345" t="s">
        <v>1979</v>
      </c>
      <c r="M141" s="346" t="s">
        <v>578</v>
      </c>
      <c r="N141" s="347">
        <v>189</v>
      </c>
      <c r="O141" s="348">
        <v>1</v>
      </c>
      <c r="P141" s="349"/>
      <c r="Q141" s="353"/>
      <c r="R141" s="353">
        <v>2</v>
      </c>
      <c r="S141" s="351"/>
      <c r="T141" s="351"/>
      <c r="U141" s="351"/>
      <c r="V141" s="351"/>
      <c r="W141" s="351"/>
      <c r="X141" s="351"/>
      <c r="Y141" s="351"/>
    </row>
    <row r="142" spans="1:25">
      <c r="A142" s="228" t="s">
        <v>305</v>
      </c>
      <c r="B142" s="96" t="s">
        <v>306</v>
      </c>
      <c r="C142" s="98">
        <v>2</v>
      </c>
      <c r="D142" s="98" t="s">
        <v>777</v>
      </c>
      <c r="E142" s="98" t="s">
        <v>779</v>
      </c>
      <c r="F142" s="93">
        <f t="shared" si="2"/>
        <v>1</v>
      </c>
      <c r="G142" s="205"/>
      <c r="H142" s="353"/>
      <c r="I142" s="353"/>
      <c r="L142" s="345" t="s">
        <v>1839</v>
      </c>
      <c r="M142" s="346" t="s">
        <v>306</v>
      </c>
      <c r="N142" s="347">
        <v>113</v>
      </c>
      <c r="O142" s="348"/>
      <c r="P142" s="349">
        <v>2</v>
      </c>
      <c r="Q142" s="353">
        <v>1</v>
      </c>
      <c r="R142" s="353"/>
      <c r="S142" s="351"/>
      <c r="T142" s="351"/>
      <c r="U142" s="351"/>
      <c r="V142" s="351"/>
      <c r="W142" s="351"/>
      <c r="X142" s="351"/>
      <c r="Y142" s="351"/>
    </row>
    <row r="143" spans="1:25">
      <c r="A143" s="228" t="s">
        <v>605</v>
      </c>
      <c r="B143" s="96" t="s">
        <v>606</v>
      </c>
      <c r="C143" s="98">
        <v>1</v>
      </c>
      <c r="D143" s="98" t="s">
        <v>780</v>
      </c>
      <c r="E143" s="98" t="s">
        <v>778</v>
      </c>
      <c r="F143" s="93">
        <f t="shared" si="2"/>
        <v>0</v>
      </c>
      <c r="G143" s="205"/>
      <c r="H143" s="353"/>
      <c r="I143" s="353"/>
      <c r="L143" s="345" t="s">
        <v>1993</v>
      </c>
      <c r="M143" s="346" t="s">
        <v>606</v>
      </c>
      <c r="N143" s="347">
        <v>101</v>
      </c>
      <c r="O143" s="348">
        <v>1</v>
      </c>
      <c r="P143" s="349"/>
      <c r="Q143" s="353"/>
      <c r="R143" s="353">
        <v>2</v>
      </c>
      <c r="S143" s="351"/>
      <c r="T143" s="351"/>
      <c r="U143" s="351"/>
      <c r="V143" s="351"/>
      <c r="W143" s="351"/>
      <c r="X143" s="351"/>
      <c r="Y143" s="351"/>
    </row>
    <row r="144" spans="1:25">
      <c r="A144" s="228" t="s">
        <v>603</v>
      </c>
      <c r="B144" s="96" t="s">
        <v>604</v>
      </c>
      <c r="C144" s="98">
        <v>2</v>
      </c>
      <c r="D144" s="98" t="s">
        <v>780</v>
      </c>
      <c r="E144" s="98" t="s">
        <v>778</v>
      </c>
      <c r="F144" s="93">
        <f t="shared" si="2"/>
        <v>0</v>
      </c>
      <c r="G144" s="205"/>
      <c r="H144" s="353"/>
      <c r="I144" s="353"/>
      <c r="L144" s="345" t="s">
        <v>1992</v>
      </c>
      <c r="M144" s="346" t="s">
        <v>604</v>
      </c>
      <c r="N144" s="347">
        <v>101</v>
      </c>
      <c r="O144" s="348"/>
      <c r="P144" s="349">
        <v>2</v>
      </c>
      <c r="Q144" s="353"/>
      <c r="R144" s="353">
        <v>2</v>
      </c>
      <c r="S144" s="351"/>
      <c r="T144" s="351"/>
      <c r="U144" s="351"/>
      <c r="V144" s="351"/>
      <c r="W144" s="351"/>
      <c r="X144" s="351"/>
      <c r="Y144" s="351"/>
    </row>
    <row r="145" spans="1:25">
      <c r="A145" s="228" t="s">
        <v>347</v>
      </c>
      <c r="B145" s="96" t="s">
        <v>348</v>
      </c>
      <c r="C145" s="98">
        <v>1</v>
      </c>
      <c r="D145" s="98" t="s">
        <v>780</v>
      </c>
      <c r="E145" s="98" t="s">
        <v>778</v>
      </c>
      <c r="F145" s="93">
        <f t="shared" si="2"/>
        <v>0</v>
      </c>
      <c r="G145" s="205"/>
      <c r="H145" s="353"/>
      <c r="I145" s="353"/>
      <c r="L145" s="345" t="s">
        <v>1860</v>
      </c>
      <c r="M145" s="346" t="s">
        <v>348</v>
      </c>
      <c r="N145" s="347">
        <v>121</v>
      </c>
      <c r="O145" s="348">
        <v>1</v>
      </c>
      <c r="P145" s="349"/>
      <c r="Q145" s="353"/>
      <c r="R145" s="353">
        <v>2</v>
      </c>
      <c r="S145" s="351"/>
      <c r="T145" s="351"/>
      <c r="U145" s="351"/>
      <c r="V145" s="351"/>
      <c r="W145" s="351"/>
      <c r="X145" s="351"/>
      <c r="Y145" s="351"/>
    </row>
    <row r="146" spans="1:25">
      <c r="A146" s="228" t="s">
        <v>682</v>
      </c>
      <c r="B146" s="96" t="s">
        <v>683</v>
      </c>
      <c r="C146" s="98">
        <v>2</v>
      </c>
      <c r="D146" s="98" t="s">
        <v>780</v>
      </c>
      <c r="E146" s="98" t="s">
        <v>778</v>
      </c>
      <c r="F146" s="93">
        <f t="shared" si="2"/>
        <v>0</v>
      </c>
      <c r="G146" s="205"/>
      <c r="H146" s="353"/>
      <c r="I146" s="353"/>
      <c r="L146" s="345" t="s">
        <v>2034</v>
      </c>
      <c r="M146" s="346" t="s">
        <v>683</v>
      </c>
      <c r="N146" s="347">
        <v>189</v>
      </c>
      <c r="O146" s="348"/>
      <c r="P146" s="349">
        <v>2</v>
      </c>
      <c r="Q146" s="353"/>
      <c r="R146" s="353">
        <v>2</v>
      </c>
      <c r="S146" s="351"/>
      <c r="T146" s="351"/>
      <c r="U146" s="351"/>
      <c r="V146" s="351"/>
      <c r="W146" s="351"/>
      <c r="X146" s="351"/>
      <c r="Y146" s="351"/>
    </row>
    <row r="147" spans="1:25">
      <c r="A147" s="228" t="s">
        <v>485</v>
      </c>
      <c r="B147" s="96" t="s">
        <v>486</v>
      </c>
      <c r="C147" s="98">
        <v>2</v>
      </c>
      <c r="D147" s="98" t="s">
        <v>780</v>
      </c>
      <c r="E147" s="98" t="s">
        <v>778</v>
      </c>
      <c r="F147" s="93">
        <f t="shared" si="2"/>
        <v>0</v>
      </c>
      <c r="G147" s="205"/>
      <c r="H147" s="353"/>
      <c r="I147" s="353"/>
      <c r="L147" s="345" t="s">
        <v>1931</v>
      </c>
      <c r="M147" s="346" t="s">
        <v>486</v>
      </c>
      <c r="N147" s="347">
        <v>171</v>
      </c>
      <c r="O147" s="348"/>
      <c r="P147" s="349">
        <v>2</v>
      </c>
      <c r="Q147" s="353"/>
      <c r="R147" s="353">
        <v>2</v>
      </c>
      <c r="S147" s="351"/>
      <c r="T147" s="351"/>
      <c r="U147" s="351"/>
      <c r="V147" s="351"/>
      <c r="W147" s="351"/>
      <c r="X147" s="351"/>
      <c r="Y147" s="351"/>
    </row>
    <row r="148" spans="1:25">
      <c r="A148" s="228" t="s">
        <v>563</v>
      </c>
      <c r="B148" s="96" t="s">
        <v>564</v>
      </c>
      <c r="C148" s="98">
        <v>2</v>
      </c>
      <c r="D148" s="98" t="s">
        <v>777</v>
      </c>
      <c r="E148" s="98" t="s">
        <v>779</v>
      </c>
      <c r="F148" s="93">
        <f t="shared" si="2"/>
        <v>1</v>
      </c>
      <c r="G148" s="205"/>
      <c r="H148" s="353"/>
      <c r="I148" s="353"/>
      <c r="L148" s="345" t="s">
        <v>1972</v>
      </c>
      <c r="M148" s="346" t="s">
        <v>564</v>
      </c>
      <c r="N148" s="347">
        <v>112</v>
      </c>
      <c r="O148" s="348"/>
      <c r="P148" s="349">
        <v>2</v>
      </c>
      <c r="Q148" s="353">
        <v>1</v>
      </c>
      <c r="R148" s="353"/>
      <c r="S148" s="351"/>
      <c r="T148" s="351"/>
      <c r="U148" s="351"/>
      <c r="V148" s="351"/>
      <c r="W148" s="351"/>
      <c r="X148" s="351"/>
      <c r="Y148" s="351"/>
    </row>
    <row r="149" spans="1:25">
      <c r="A149" s="228" t="s">
        <v>581</v>
      </c>
      <c r="B149" s="96" t="s">
        <v>582</v>
      </c>
      <c r="C149" s="98">
        <v>1</v>
      </c>
      <c r="D149" s="98" t="s">
        <v>780</v>
      </c>
      <c r="E149" s="98" t="s">
        <v>778</v>
      </c>
      <c r="F149" s="93">
        <f t="shared" si="2"/>
        <v>0</v>
      </c>
      <c r="G149" s="205"/>
      <c r="H149" s="353"/>
      <c r="I149" s="353"/>
      <c r="L149" s="345" t="s">
        <v>1981</v>
      </c>
      <c r="M149" s="346" t="s">
        <v>582</v>
      </c>
      <c r="N149" s="347">
        <v>189</v>
      </c>
      <c r="O149" s="348">
        <v>1</v>
      </c>
      <c r="P149" s="349"/>
      <c r="Q149" s="353"/>
      <c r="R149" s="353">
        <v>2</v>
      </c>
      <c r="S149" s="351"/>
      <c r="T149" s="351"/>
      <c r="U149" s="351"/>
      <c r="V149" s="351"/>
      <c r="W149" s="351"/>
      <c r="X149" s="351"/>
      <c r="Y149" s="351"/>
    </row>
    <row r="150" spans="1:25">
      <c r="A150" s="228" t="s">
        <v>307</v>
      </c>
      <c r="B150" s="96" t="s">
        <v>308</v>
      </c>
      <c r="C150" s="98">
        <v>2</v>
      </c>
      <c r="D150" s="98" t="s">
        <v>780</v>
      </c>
      <c r="E150" s="98" t="s">
        <v>778</v>
      </c>
      <c r="F150" s="93">
        <f t="shared" si="2"/>
        <v>0</v>
      </c>
      <c r="G150" s="205"/>
      <c r="H150" s="353"/>
      <c r="I150" s="353"/>
      <c r="L150" s="345" t="s">
        <v>1840</v>
      </c>
      <c r="M150" s="346" t="s">
        <v>308</v>
      </c>
      <c r="N150" s="347">
        <v>113</v>
      </c>
      <c r="O150" s="348"/>
      <c r="P150" s="349">
        <v>2</v>
      </c>
      <c r="Q150" s="353"/>
      <c r="R150" s="353">
        <v>2</v>
      </c>
      <c r="S150" s="351"/>
      <c r="T150" s="351"/>
      <c r="U150" s="351"/>
      <c r="V150" s="351"/>
      <c r="W150" s="351"/>
      <c r="X150" s="351"/>
      <c r="Y150" s="351"/>
    </row>
    <row r="151" spans="1:25">
      <c r="A151" s="228" t="s">
        <v>425</v>
      </c>
      <c r="B151" s="96" t="s">
        <v>426</v>
      </c>
      <c r="C151" s="98">
        <v>2</v>
      </c>
      <c r="D151" s="98" t="s">
        <v>777</v>
      </c>
      <c r="E151" s="98" t="s">
        <v>778</v>
      </c>
      <c r="F151" s="93">
        <f t="shared" si="2"/>
        <v>1</v>
      </c>
      <c r="G151" s="205"/>
      <c r="H151" s="353"/>
      <c r="I151" s="353"/>
      <c r="L151" s="345" t="s">
        <v>1901</v>
      </c>
      <c r="M151" s="346" t="s">
        <v>426</v>
      </c>
      <c r="N151" s="347">
        <v>113</v>
      </c>
      <c r="O151" s="348"/>
      <c r="P151" s="349">
        <v>2</v>
      </c>
      <c r="Q151" s="353">
        <v>1</v>
      </c>
      <c r="R151" s="353"/>
      <c r="S151" s="351"/>
      <c r="T151" s="351"/>
      <c r="U151" s="351"/>
      <c r="V151" s="351"/>
      <c r="W151" s="351"/>
      <c r="X151" s="351"/>
      <c r="Y151" s="351"/>
    </row>
    <row r="152" spans="1:25">
      <c r="A152" s="228" t="s">
        <v>291</v>
      </c>
      <c r="B152" s="96" t="s">
        <v>292</v>
      </c>
      <c r="C152" s="98">
        <v>1</v>
      </c>
      <c r="D152" s="98" t="s">
        <v>780</v>
      </c>
      <c r="E152" s="98" t="s">
        <v>778</v>
      </c>
      <c r="F152" s="93">
        <f t="shared" si="2"/>
        <v>0</v>
      </c>
      <c r="G152" s="205"/>
      <c r="H152" s="353"/>
      <c r="I152" s="353"/>
      <c r="L152" s="345" t="s">
        <v>1832</v>
      </c>
      <c r="M152" s="346" t="s">
        <v>292</v>
      </c>
      <c r="N152" s="347">
        <v>171</v>
      </c>
      <c r="O152" s="348">
        <v>1</v>
      </c>
      <c r="P152" s="349"/>
      <c r="Q152" s="353"/>
      <c r="R152" s="353">
        <v>2</v>
      </c>
      <c r="S152" s="351"/>
      <c r="T152" s="351"/>
      <c r="U152" s="351"/>
      <c r="V152" s="351"/>
      <c r="W152" s="351"/>
      <c r="X152" s="351"/>
      <c r="Y152" s="351"/>
    </row>
    <row r="153" spans="1:25">
      <c r="A153" s="228" t="s">
        <v>423</v>
      </c>
      <c r="B153" s="96" t="s">
        <v>424</v>
      </c>
      <c r="C153" s="98">
        <v>2</v>
      </c>
      <c r="D153" s="98" t="s">
        <v>780</v>
      </c>
      <c r="E153" s="98" t="s">
        <v>778</v>
      </c>
      <c r="F153" s="93">
        <f t="shared" si="2"/>
        <v>0</v>
      </c>
      <c r="G153" s="205"/>
      <c r="H153" s="353"/>
      <c r="I153" s="353"/>
      <c r="L153" s="345" t="s">
        <v>1900</v>
      </c>
      <c r="M153" s="346" t="s">
        <v>424</v>
      </c>
      <c r="N153" s="347">
        <v>113</v>
      </c>
      <c r="O153" s="348"/>
      <c r="P153" s="349">
        <v>2</v>
      </c>
      <c r="Q153" s="353"/>
      <c r="R153" s="353">
        <v>2</v>
      </c>
      <c r="S153" s="351"/>
      <c r="T153" s="351"/>
      <c r="U153" s="351"/>
      <c r="V153" s="351"/>
      <c r="W153" s="351"/>
      <c r="X153" s="351"/>
      <c r="Y153" s="351"/>
    </row>
    <row r="154" spans="1:25">
      <c r="A154" s="228" t="s">
        <v>740</v>
      </c>
      <c r="B154" s="96" t="s">
        <v>741</v>
      </c>
      <c r="C154" s="98">
        <v>2</v>
      </c>
      <c r="D154" s="98" t="s">
        <v>780</v>
      </c>
      <c r="E154" s="98" t="s">
        <v>778</v>
      </c>
      <c r="F154" s="93">
        <f t="shared" si="2"/>
        <v>0</v>
      </c>
      <c r="G154" s="205"/>
      <c r="H154" s="353"/>
      <c r="I154" s="353"/>
      <c r="L154" s="345" t="s">
        <v>2064</v>
      </c>
      <c r="M154" s="346" t="s">
        <v>741</v>
      </c>
      <c r="N154" s="347">
        <v>105</v>
      </c>
      <c r="O154" s="348"/>
      <c r="P154" s="349">
        <v>2</v>
      </c>
      <c r="Q154" s="353"/>
      <c r="R154" s="353">
        <v>2</v>
      </c>
      <c r="S154" s="351"/>
      <c r="T154" s="351"/>
      <c r="U154" s="351"/>
      <c r="V154" s="351"/>
      <c r="W154" s="351"/>
      <c r="X154" s="351"/>
      <c r="Y154" s="351"/>
    </row>
    <row r="155" spans="1:25">
      <c r="A155" s="228" t="s">
        <v>686</v>
      </c>
      <c r="B155" s="96" t="s">
        <v>687</v>
      </c>
      <c r="C155" s="98">
        <v>2</v>
      </c>
      <c r="D155" s="98" t="s">
        <v>780</v>
      </c>
      <c r="E155" s="98" t="s">
        <v>778</v>
      </c>
      <c r="F155" s="93">
        <f t="shared" si="2"/>
        <v>0</v>
      </c>
      <c r="G155" s="205"/>
      <c r="H155" s="353"/>
      <c r="I155" s="353"/>
      <c r="L155" s="345" t="s">
        <v>2036</v>
      </c>
      <c r="M155" s="346" t="s">
        <v>687</v>
      </c>
      <c r="N155" s="347">
        <v>189</v>
      </c>
      <c r="O155" s="348"/>
      <c r="P155" s="349">
        <v>2</v>
      </c>
      <c r="Q155" s="353"/>
      <c r="R155" s="353">
        <v>2</v>
      </c>
      <c r="S155" s="351"/>
      <c r="T155" s="351"/>
      <c r="U155" s="351"/>
      <c r="V155" s="351"/>
      <c r="W155" s="351"/>
      <c r="X155" s="351"/>
      <c r="Y155" s="351"/>
    </row>
    <row r="156" spans="1:25">
      <c r="A156" s="228" t="s">
        <v>561</v>
      </c>
      <c r="B156" s="96" t="s">
        <v>562</v>
      </c>
      <c r="C156" s="98">
        <v>2</v>
      </c>
      <c r="D156" s="98" t="s">
        <v>777</v>
      </c>
      <c r="E156" s="98" t="s">
        <v>779</v>
      </c>
      <c r="F156" s="93">
        <f t="shared" si="2"/>
        <v>1</v>
      </c>
      <c r="G156" s="205"/>
      <c r="H156" s="353"/>
      <c r="I156" s="353"/>
      <c r="L156" s="345" t="s">
        <v>1971</v>
      </c>
      <c r="M156" s="346" t="s">
        <v>562</v>
      </c>
      <c r="N156" s="347">
        <v>112</v>
      </c>
      <c r="O156" s="348"/>
      <c r="P156" s="349">
        <v>2</v>
      </c>
      <c r="Q156" s="353">
        <v>1</v>
      </c>
      <c r="R156" s="353"/>
      <c r="S156" s="351"/>
      <c r="T156" s="351"/>
      <c r="U156" s="351"/>
      <c r="V156" s="351"/>
      <c r="W156" s="351"/>
      <c r="X156" s="351"/>
      <c r="Y156" s="351"/>
    </row>
    <row r="157" spans="1:25">
      <c r="A157" s="228" t="s">
        <v>557</v>
      </c>
      <c r="B157" s="96" t="s">
        <v>558</v>
      </c>
      <c r="C157" s="98">
        <v>1</v>
      </c>
      <c r="D157" s="98" t="s">
        <v>780</v>
      </c>
      <c r="E157" s="98" t="s">
        <v>778</v>
      </c>
      <c r="F157" s="93">
        <f t="shared" si="2"/>
        <v>0</v>
      </c>
      <c r="G157" s="205"/>
      <c r="H157" s="353"/>
      <c r="I157" s="353"/>
      <c r="L157" s="345" t="s">
        <v>1969</v>
      </c>
      <c r="M157" s="346" t="s">
        <v>558</v>
      </c>
      <c r="N157" s="347">
        <v>189</v>
      </c>
      <c r="O157" s="348">
        <v>1</v>
      </c>
      <c r="P157" s="349"/>
      <c r="Q157" s="353"/>
      <c r="R157" s="353">
        <v>2</v>
      </c>
      <c r="S157" s="351"/>
      <c r="T157" s="351"/>
      <c r="U157" s="351"/>
      <c r="V157" s="351"/>
      <c r="W157" s="351"/>
      <c r="X157" s="351"/>
      <c r="Y157" s="351"/>
    </row>
    <row r="158" spans="1:25">
      <c r="A158" s="234" t="s">
        <v>1238</v>
      </c>
      <c r="B158" s="120" t="s">
        <v>1251</v>
      </c>
      <c r="C158" s="98">
        <v>1</v>
      </c>
      <c r="D158" s="98" t="s">
        <v>780</v>
      </c>
      <c r="E158" s="98" t="s">
        <v>778</v>
      </c>
      <c r="F158" s="93">
        <f t="shared" si="2"/>
        <v>0</v>
      </c>
      <c r="G158" s="205"/>
      <c r="H158" s="353"/>
      <c r="I158" s="353"/>
      <c r="L158" s="234" t="s">
        <v>1238</v>
      </c>
      <c r="M158" s="120" t="s">
        <v>1251</v>
      </c>
      <c r="N158" s="347"/>
      <c r="O158" s="348"/>
      <c r="P158" s="349"/>
      <c r="Q158" s="353"/>
      <c r="R158" s="353"/>
      <c r="S158" s="351"/>
      <c r="T158" s="351"/>
      <c r="U158" s="351"/>
      <c r="V158" s="351"/>
      <c r="W158" s="351"/>
      <c r="X158" s="351"/>
      <c r="Y158" s="351"/>
    </row>
    <row r="159" spans="1:25">
      <c r="A159" s="228" t="s">
        <v>571</v>
      </c>
      <c r="B159" s="96" t="s">
        <v>572</v>
      </c>
      <c r="C159" s="98">
        <v>1</v>
      </c>
      <c r="D159" s="98" t="s">
        <v>780</v>
      </c>
      <c r="E159" s="98" t="s">
        <v>778</v>
      </c>
      <c r="F159" s="93">
        <f t="shared" si="2"/>
        <v>0</v>
      </c>
      <c r="G159" s="205"/>
      <c r="H159" s="353"/>
      <c r="I159" s="353"/>
      <c r="L159" s="345" t="s">
        <v>1976</v>
      </c>
      <c r="M159" s="346" t="s">
        <v>572</v>
      </c>
      <c r="N159" s="347">
        <v>189</v>
      </c>
      <c r="O159" s="348">
        <v>1</v>
      </c>
      <c r="P159" s="349"/>
      <c r="Q159" s="353"/>
      <c r="R159" s="353">
        <v>2</v>
      </c>
      <c r="S159" s="351"/>
      <c r="T159" s="351"/>
      <c r="U159" s="351"/>
      <c r="V159" s="351"/>
      <c r="W159" s="351"/>
      <c r="X159" s="351"/>
      <c r="Y159" s="351"/>
    </row>
    <row r="160" spans="1:25">
      <c r="A160" s="228" t="s">
        <v>716</v>
      </c>
      <c r="B160" s="96" t="s">
        <v>717</v>
      </c>
      <c r="C160" s="98">
        <v>2</v>
      </c>
      <c r="D160" s="98" t="s">
        <v>780</v>
      </c>
      <c r="E160" s="98" t="s">
        <v>778</v>
      </c>
      <c r="F160" s="93">
        <f t="shared" si="2"/>
        <v>0</v>
      </c>
      <c r="G160" s="205"/>
      <c r="H160" s="353"/>
      <c r="I160" s="353"/>
      <c r="L160" s="345" t="s">
        <v>2051</v>
      </c>
      <c r="M160" s="346" t="s">
        <v>717</v>
      </c>
      <c r="N160" s="347">
        <v>105</v>
      </c>
      <c r="O160" s="348"/>
      <c r="P160" s="349">
        <v>2</v>
      </c>
      <c r="Q160" s="353"/>
      <c r="R160" s="353">
        <v>2</v>
      </c>
      <c r="S160" s="351"/>
      <c r="T160" s="351"/>
      <c r="U160" s="351"/>
      <c r="V160" s="351"/>
      <c r="W160" s="351"/>
      <c r="X160" s="351"/>
      <c r="Y160" s="351"/>
    </row>
    <row r="161" spans="1:25">
      <c r="A161" s="228" t="s">
        <v>419</v>
      </c>
      <c r="B161" s="96" t="s">
        <v>420</v>
      </c>
      <c r="C161" s="98">
        <v>2</v>
      </c>
      <c r="D161" s="98" t="s">
        <v>780</v>
      </c>
      <c r="E161" s="98" t="s">
        <v>778</v>
      </c>
      <c r="F161" s="93">
        <f t="shared" si="2"/>
        <v>0</v>
      </c>
      <c r="G161" s="205"/>
      <c r="H161" s="353"/>
      <c r="I161" s="353"/>
      <c r="L161" s="345" t="s">
        <v>1898</v>
      </c>
      <c r="M161" s="346" t="s">
        <v>420</v>
      </c>
      <c r="N161" s="347">
        <v>113</v>
      </c>
      <c r="O161" s="348"/>
      <c r="P161" s="349">
        <v>2</v>
      </c>
      <c r="Q161" s="353"/>
      <c r="R161" s="353">
        <v>2</v>
      </c>
      <c r="S161" s="351"/>
      <c r="T161" s="351"/>
      <c r="U161" s="351"/>
      <c r="V161" s="351"/>
      <c r="W161" s="351"/>
      <c r="X161" s="351"/>
      <c r="Y161" s="351"/>
    </row>
    <row r="162" spans="1:25">
      <c r="A162" s="228" t="s">
        <v>497</v>
      </c>
      <c r="B162" s="96" t="s">
        <v>997</v>
      </c>
      <c r="C162" s="98">
        <v>2</v>
      </c>
      <c r="D162" s="98" t="s">
        <v>777</v>
      </c>
      <c r="E162" s="98" t="s">
        <v>778</v>
      </c>
      <c r="F162" s="93">
        <f t="shared" si="2"/>
        <v>1</v>
      </c>
      <c r="G162" s="205"/>
      <c r="H162" s="353"/>
      <c r="I162" s="353"/>
      <c r="L162" s="345" t="s">
        <v>1937</v>
      </c>
      <c r="M162" s="346" t="s">
        <v>1938</v>
      </c>
      <c r="N162" s="347">
        <v>112</v>
      </c>
      <c r="O162" s="348"/>
      <c r="P162" s="349">
        <v>2</v>
      </c>
      <c r="Q162" s="353">
        <v>1</v>
      </c>
      <c r="R162" s="353"/>
      <c r="S162" s="351"/>
      <c r="T162" s="351"/>
      <c r="U162" s="351"/>
      <c r="V162" s="351"/>
      <c r="W162" s="351"/>
      <c r="X162" s="351"/>
      <c r="Y162" s="351"/>
    </row>
    <row r="163" spans="1:25">
      <c r="A163" s="228" t="s">
        <v>475</v>
      </c>
      <c r="B163" s="96" t="s">
        <v>476</v>
      </c>
      <c r="C163" s="98">
        <v>2</v>
      </c>
      <c r="D163" s="98" t="s">
        <v>780</v>
      </c>
      <c r="E163" s="98" t="s">
        <v>779</v>
      </c>
      <c r="F163" s="93">
        <f t="shared" si="2"/>
        <v>0</v>
      </c>
      <c r="G163" s="205"/>
      <c r="H163" s="353"/>
      <c r="I163" s="353"/>
      <c r="L163" s="345" t="s">
        <v>1926</v>
      </c>
      <c r="M163" s="346" t="s">
        <v>476</v>
      </c>
      <c r="N163" s="347">
        <v>171</v>
      </c>
      <c r="O163" s="348"/>
      <c r="P163" s="349">
        <v>2</v>
      </c>
      <c r="Q163" s="353"/>
      <c r="R163" s="353">
        <v>2</v>
      </c>
      <c r="S163" s="351"/>
      <c r="T163" s="351"/>
      <c r="U163" s="351"/>
      <c r="V163" s="351"/>
      <c r="W163" s="351"/>
      <c r="X163" s="351"/>
      <c r="Y163" s="351"/>
    </row>
    <row r="164" spans="1:25">
      <c r="A164" s="228" t="s">
        <v>502</v>
      </c>
      <c r="B164" s="96" t="s">
        <v>503</v>
      </c>
      <c r="C164" s="98">
        <v>2</v>
      </c>
      <c r="D164" s="98" t="s">
        <v>780</v>
      </c>
      <c r="E164" s="98" t="s">
        <v>778</v>
      </c>
      <c r="F164" s="93">
        <f t="shared" si="2"/>
        <v>0</v>
      </c>
      <c r="G164" s="205"/>
      <c r="H164" s="353"/>
      <c r="I164" s="353"/>
      <c r="L164" s="345" t="s">
        <v>1941</v>
      </c>
      <c r="M164" s="346" t="s">
        <v>503</v>
      </c>
      <c r="N164" s="347">
        <v>101</v>
      </c>
      <c r="O164" s="348"/>
      <c r="P164" s="349">
        <v>2</v>
      </c>
      <c r="Q164" s="353"/>
      <c r="R164" s="353">
        <v>2</v>
      </c>
      <c r="S164" s="351"/>
      <c r="T164" s="351"/>
      <c r="U164" s="351"/>
      <c r="V164" s="351"/>
      <c r="W164" s="351"/>
      <c r="X164" s="351"/>
      <c r="Y164" s="351"/>
    </row>
    <row r="165" spans="1:25">
      <c r="A165" s="228" t="s">
        <v>601</v>
      </c>
      <c r="B165" s="96" t="s">
        <v>602</v>
      </c>
      <c r="C165" s="98">
        <v>2</v>
      </c>
      <c r="D165" s="98" t="s">
        <v>780</v>
      </c>
      <c r="E165" s="98" t="s">
        <v>778</v>
      </c>
      <c r="F165" s="93">
        <f t="shared" si="2"/>
        <v>0</v>
      </c>
      <c r="G165" s="205"/>
      <c r="H165" s="353"/>
      <c r="I165" s="353"/>
      <c r="L165" s="345" t="s">
        <v>1991</v>
      </c>
      <c r="M165" s="346" t="s">
        <v>602</v>
      </c>
      <c r="N165" s="347">
        <v>101</v>
      </c>
      <c r="O165" s="348"/>
      <c r="P165" s="349">
        <v>2</v>
      </c>
      <c r="Q165" s="353"/>
      <c r="R165" s="353">
        <v>2</v>
      </c>
      <c r="S165" s="351"/>
      <c r="T165" s="351"/>
      <c r="U165" s="351"/>
      <c r="V165" s="351"/>
      <c r="W165" s="351"/>
      <c r="X165" s="351"/>
      <c r="Y165" s="351"/>
    </row>
    <row r="166" spans="1:25">
      <c r="A166" s="228" t="s">
        <v>684</v>
      </c>
      <c r="B166" s="96" t="s">
        <v>685</v>
      </c>
      <c r="C166" s="98">
        <v>2</v>
      </c>
      <c r="D166" s="98" t="s">
        <v>780</v>
      </c>
      <c r="E166" s="98" t="s">
        <v>778</v>
      </c>
      <c r="F166" s="93">
        <f t="shared" si="2"/>
        <v>0</v>
      </c>
      <c r="G166" s="205"/>
      <c r="H166" s="353"/>
      <c r="I166" s="353"/>
      <c r="L166" s="345" t="s">
        <v>2035</v>
      </c>
      <c r="M166" s="346" t="s">
        <v>685</v>
      </c>
      <c r="N166" s="347">
        <v>189</v>
      </c>
      <c r="O166" s="348"/>
      <c r="P166" s="349">
        <v>2</v>
      </c>
      <c r="Q166" s="353"/>
      <c r="R166" s="353">
        <v>2</v>
      </c>
      <c r="S166" s="351"/>
      <c r="T166" s="351"/>
      <c r="U166" s="351"/>
      <c r="V166" s="351"/>
      <c r="W166" s="351"/>
      <c r="X166" s="351"/>
      <c r="Y166" s="351"/>
    </row>
    <row r="167" spans="1:25">
      <c r="A167" s="228" t="s">
        <v>303</v>
      </c>
      <c r="B167" s="96" t="s">
        <v>304</v>
      </c>
      <c r="C167" s="98">
        <v>2</v>
      </c>
      <c r="D167" s="98" t="s">
        <v>777</v>
      </c>
      <c r="E167" s="98" t="s">
        <v>778</v>
      </c>
      <c r="F167" s="93">
        <f t="shared" si="2"/>
        <v>1</v>
      </c>
      <c r="G167" s="205"/>
      <c r="H167" s="353"/>
      <c r="I167" s="353"/>
      <c r="L167" s="345" t="s">
        <v>1838</v>
      </c>
      <c r="M167" s="346" t="s">
        <v>304</v>
      </c>
      <c r="N167" s="347">
        <v>113</v>
      </c>
      <c r="O167" s="348"/>
      <c r="P167" s="349">
        <v>2</v>
      </c>
      <c r="Q167" s="353">
        <v>1</v>
      </c>
      <c r="R167" s="353"/>
      <c r="S167" s="351"/>
      <c r="T167" s="351"/>
      <c r="U167" s="351"/>
      <c r="V167" s="351"/>
      <c r="W167" s="351"/>
      <c r="X167" s="351"/>
      <c r="Y167" s="351"/>
    </row>
    <row r="168" spans="1:25">
      <c r="A168" s="228" t="s">
        <v>271</v>
      </c>
      <c r="B168" s="96" t="s">
        <v>272</v>
      </c>
      <c r="C168" s="98">
        <v>1</v>
      </c>
      <c r="D168" s="98" t="s">
        <v>780</v>
      </c>
      <c r="E168" s="98" t="s">
        <v>778</v>
      </c>
      <c r="F168" s="93">
        <f t="shared" si="2"/>
        <v>0</v>
      </c>
      <c r="G168" s="205"/>
      <c r="H168" s="353"/>
      <c r="I168" s="353"/>
      <c r="L168" s="345" t="s">
        <v>1822</v>
      </c>
      <c r="M168" s="346" t="s">
        <v>272</v>
      </c>
      <c r="N168" s="347">
        <v>123</v>
      </c>
      <c r="O168" s="348">
        <v>1</v>
      </c>
      <c r="P168" s="349"/>
      <c r="Q168" s="353"/>
      <c r="R168" s="353">
        <v>2</v>
      </c>
      <c r="S168" s="351"/>
      <c r="T168" s="351"/>
      <c r="U168" s="351"/>
      <c r="V168" s="351"/>
      <c r="W168" s="351"/>
      <c r="X168" s="351"/>
      <c r="Y168" s="351"/>
    </row>
    <row r="169" spans="1:25">
      <c r="A169" s="228" t="s">
        <v>381</v>
      </c>
      <c r="B169" s="96" t="s">
        <v>382</v>
      </c>
      <c r="C169" s="98">
        <v>1</v>
      </c>
      <c r="D169" s="98" t="s">
        <v>780</v>
      </c>
      <c r="E169" s="98" t="s">
        <v>778</v>
      </c>
      <c r="F169" s="93">
        <f t="shared" si="2"/>
        <v>0</v>
      </c>
      <c r="G169" s="205"/>
      <c r="H169" s="353"/>
      <c r="I169" s="353"/>
      <c r="L169" s="345" t="s">
        <v>1879</v>
      </c>
      <c r="M169" s="346" t="s">
        <v>382</v>
      </c>
      <c r="N169" s="347">
        <v>114</v>
      </c>
      <c r="O169" s="348">
        <v>1</v>
      </c>
      <c r="P169" s="349"/>
      <c r="Q169" s="353"/>
      <c r="R169" s="353">
        <v>2</v>
      </c>
      <c r="S169" s="351"/>
      <c r="T169" s="351"/>
      <c r="U169" s="351"/>
      <c r="V169" s="351"/>
      <c r="W169" s="351"/>
      <c r="X169" s="351"/>
      <c r="Y169" s="351"/>
    </row>
    <row r="170" spans="1:25">
      <c r="A170" s="228" t="s">
        <v>471</v>
      </c>
      <c r="B170" s="96" t="s">
        <v>472</v>
      </c>
      <c r="C170" s="98">
        <v>1</v>
      </c>
      <c r="D170" s="98" t="s">
        <v>780</v>
      </c>
      <c r="E170" s="98" t="s">
        <v>778</v>
      </c>
      <c r="F170" s="93">
        <f t="shared" si="2"/>
        <v>0</v>
      </c>
      <c r="G170" s="205"/>
      <c r="H170" s="353"/>
      <c r="I170" s="353"/>
      <c r="L170" s="345" t="s">
        <v>1924</v>
      </c>
      <c r="M170" s="346" t="s">
        <v>472</v>
      </c>
      <c r="N170" s="347">
        <v>114</v>
      </c>
      <c r="O170" s="348">
        <v>1</v>
      </c>
      <c r="P170" s="349"/>
      <c r="Q170" s="353"/>
      <c r="R170" s="353">
        <v>2</v>
      </c>
      <c r="S170" s="351"/>
      <c r="T170" s="351"/>
      <c r="U170" s="351"/>
      <c r="V170" s="351"/>
      <c r="W170" s="351"/>
      <c r="X170" s="351"/>
      <c r="Y170" s="351"/>
    </row>
    <row r="171" spans="1:25">
      <c r="A171" s="228" t="s">
        <v>500</v>
      </c>
      <c r="B171" s="96" t="s">
        <v>501</v>
      </c>
      <c r="C171" s="98">
        <v>2</v>
      </c>
      <c r="D171" s="98" t="s">
        <v>777</v>
      </c>
      <c r="E171" s="98" t="s">
        <v>778</v>
      </c>
      <c r="F171" s="93">
        <f t="shared" si="2"/>
        <v>1</v>
      </c>
      <c r="G171" s="205"/>
      <c r="H171" s="353"/>
      <c r="I171" s="353"/>
      <c r="L171" s="345" t="s">
        <v>1940</v>
      </c>
      <c r="M171" s="346" t="s">
        <v>501</v>
      </c>
      <c r="N171" s="347">
        <v>113</v>
      </c>
      <c r="O171" s="348"/>
      <c r="P171" s="349">
        <v>2</v>
      </c>
      <c r="Q171" s="353">
        <v>1</v>
      </c>
      <c r="R171" s="353"/>
      <c r="S171" s="351"/>
      <c r="T171" s="351"/>
      <c r="U171" s="351"/>
      <c r="V171" s="351"/>
      <c r="W171" s="351"/>
      <c r="X171" s="351"/>
      <c r="Y171" s="351"/>
    </row>
    <row r="172" spans="1:25">
      <c r="A172" s="228" t="s">
        <v>645</v>
      </c>
      <c r="B172" s="96" t="s">
        <v>646</v>
      </c>
      <c r="C172" s="98">
        <v>1</v>
      </c>
      <c r="D172" s="98" t="s">
        <v>780</v>
      </c>
      <c r="E172" s="98" t="s">
        <v>778</v>
      </c>
      <c r="F172" s="93">
        <f t="shared" si="2"/>
        <v>0</v>
      </c>
      <c r="G172" s="205"/>
      <c r="H172" s="353"/>
      <c r="I172" s="353"/>
      <c r="L172" s="345" t="s">
        <v>2015</v>
      </c>
      <c r="M172" s="346" t="s">
        <v>646</v>
      </c>
      <c r="N172" s="347">
        <v>113</v>
      </c>
      <c r="O172" s="348">
        <v>1</v>
      </c>
      <c r="P172" s="349"/>
      <c r="Q172" s="353"/>
      <c r="R172" s="353">
        <v>2</v>
      </c>
      <c r="S172" s="351"/>
      <c r="T172" s="351"/>
      <c r="U172" s="351"/>
      <c r="V172" s="351"/>
      <c r="W172" s="351"/>
      <c r="X172" s="351"/>
      <c r="Y172" s="351"/>
    </row>
    <row r="173" spans="1:25">
      <c r="A173" s="228" t="s">
        <v>639</v>
      </c>
      <c r="B173" s="96" t="s">
        <v>640</v>
      </c>
      <c r="C173" s="98">
        <v>2</v>
      </c>
      <c r="D173" s="98" t="s">
        <v>777</v>
      </c>
      <c r="E173" s="98" t="s">
        <v>778</v>
      </c>
      <c r="F173" s="93">
        <f t="shared" si="2"/>
        <v>1</v>
      </c>
      <c r="G173" s="205"/>
      <c r="H173" s="353"/>
      <c r="I173" s="353"/>
      <c r="L173" s="345" t="s">
        <v>2012</v>
      </c>
      <c r="M173" s="346" t="s">
        <v>640</v>
      </c>
      <c r="N173" s="347">
        <v>101</v>
      </c>
      <c r="O173" s="348"/>
      <c r="P173" s="349">
        <v>2</v>
      </c>
      <c r="Q173" s="353">
        <v>1</v>
      </c>
      <c r="R173" s="353"/>
      <c r="S173" s="351"/>
      <c r="T173" s="351"/>
      <c r="U173" s="351"/>
      <c r="V173" s="351"/>
      <c r="W173" s="351"/>
      <c r="X173" s="351"/>
      <c r="Y173" s="351"/>
    </row>
    <row r="174" spans="1:25">
      <c r="A174" s="228" t="s">
        <v>375</v>
      </c>
      <c r="B174" s="96" t="s">
        <v>376</v>
      </c>
      <c r="C174" s="98">
        <v>1</v>
      </c>
      <c r="D174" s="98" t="s">
        <v>780</v>
      </c>
      <c r="E174" s="98" t="s">
        <v>778</v>
      </c>
      <c r="F174" s="93">
        <f t="shared" si="2"/>
        <v>0</v>
      </c>
      <c r="G174" s="205"/>
      <c r="H174" s="353"/>
      <c r="I174" s="353"/>
      <c r="L174" s="345" t="s">
        <v>1876</v>
      </c>
      <c r="M174" s="346" t="s">
        <v>376</v>
      </c>
      <c r="N174" s="347">
        <v>121</v>
      </c>
      <c r="O174" s="348">
        <v>1</v>
      </c>
      <c r="P174" s="349"/>
      <c r="Q174" s="353"/>
      <c r="R174" s="353">
        <v>2</v>
      </c>
      <c r="S174" s="351"/>
      <c r="T174" s="351"/>
      <c r="U174" s="351"/>
      <c r="V174" s="351"/>
      <c r="W174" s="351"/>
      <c r="X174" s="351"/>
      <c r="Y174" s="351"/>
    </row>
    <row r="175" spans="1:25">
      <c r="A175" s="228" t="s">
        <v>325</v>
      </c>
      <c r="B175" s="96" t="s">
        <v>326</v>
      </c>
      <c r="C175" s="98">
        <v>1</v>
      </c>
      <c r="D175" s="98" t="s">
        <v>780</v>
      </c>
      <c r="E175" s="98" t="s">
        <v>778</v>
      </c>
      <c r="F175" s="93">
        <f t="shared" si="2"/>
        <v>0</v>
      </c>
      <c r="G175" s="205"/>
      <c r="H175" s="353"/>
      <c r="I175" s="353"/>
      <c r="L175" s="345" t="s">
        <v>1849</v>
      </c>
      <c r="M175" s="346" t="s">
        <v>326</v>
      </c>
      <c r="N175" s="347">
        <v>189</v>
      </c>
      <c r="O175" s="348">
        <v>1</v>
      </c>
      <c r="P175" s="349"/>
      <c r="Q175" s="353"/>
      <c r="R175" s="353">
        <v>2</v>
      </c>
      <c r="S175" s="351"/>
      <c r="T175" s="351"/>
      <c r="U175" s="351"/>
      <c r="V175" s="351"/>
      <c r="W175" s="351"/>
      <c r="X175" s="351"/>
      <c r="Y175" s="351"/>
    </row>
    <row r="176" spans="1:25">
      <c r="A176" s="228" t="s">
        <v>712</v>
      </c>
      <c r="B176" s="96" t="s">
        <v>713</v>
      </c>
      <c r="C176" s="98">
        <v>2</v>
      </c>
      <c r="D176" s="98" t="s">
        <v>777</v>
      </c>
      <c r="E176" s="98" t="s">
        <v>778</v>
      </c>
      <c r="F176" s="93">
        <f t="shared" si="2"/>
        <v>1</v>
      </c>
      <c r="G176" s="205"/>
      <c r="H176" s="353"/>
      <c r="I176" s="353"/>
      <c r="L176" s="345" t="s">
        <v>2049</v>
      </c>
      <c r="M176" s="346" t="s">
        <v>713</v>
      </c>
      <c r="N176" s="347">
        <v>101</v>
      </c>
      <c r="O176" s="348"/>
      <c r="P176" s="349">
        <v>2</v>
      </c>
      <c r="Q176" s="353">
        <v>1</v>
      </c>
      <c r="R176" s="353"/>
      <c r="S176" s="351"/>
      <c r="T176" s="351"/>
      <c r="U176" s="351"/>
      <c r="V176" s="351"/>
      <c r="W176" s="351"/>
      <c r="X176" s="351"/>
      <c r="Y176" s="351"/>
    </row>
    <row r="177" spans="1:25">
      <c r="A177" s="228" t="s">
        <v>323</v>
      </c>
      <c r="B177" s="96" t="s">
        <v>324</v>
      </c>
      <c r="C177" s="98">
        <v>2</v>
      </c>
      <c r="D177" s="98" t="s">
        <v>780</v>
      </c>
      <c r="E177" s="98" t="s">
        <v>778</v>
      </c>
      <c r="F177" s="93">
        <f t="shared" si="2"/>
        <v>0</v>
      </c>
      <c r="G177" s="205"/>
      <c r="H177" s="353"/>
      <c r="I177" s="353"/>
      <c r="L177" s="345" t="s">
        <v>1848</v>
      </c>
      <c r="M177" s="346" t="s">
        <v>324</v>
      </c>
      <c r="N177" s="347">
        <v>113</v>
      </c>
      <c r="O177" s="348"/>
      <c r="P177" s="349">
        <v>2</v>
      </c>
      <c r="Q177" s="353"/>
      <c r="R177" s="353">
        <v>2</v>
      </c>
      <c r="S177" s="351"/>
      <c r="T177" s="351"/>
      <c r="U177" s="351"/>
      <c r="V177" s="351"/>
      <c r="W177" s="351"/>
      <c r="X177" s="351"/>
      <c r="Y177" s="351"/>
    </row>
    <row r="178" spans="1:25">
      <c r="A178" s="228" t="s">
        <v>491</v>
      </c>
      <c r="B178" s="96" t="s">
        <v>492</v>
      </c>
      <c r="C178" s="98">
        <v>2</v>
      </c>
      <c r="D178" s="98" t="s">
        <v>780</v>
      </c>
      <c r="E178" s="98" t="s">
        <v>778</v>
      </c>
      <c r="F178" s="93">
        <f t="shared" si="2"/>
        <v>0</v>
      </c>
      <c r="G178" s="205"/>
      <c r="H178" s="353"/>
      <c r="I178" s="353"/>
      <c r="L178" s="345" t="s">
        <v>1934</v>
      </c>
      <c r="M178" s="346" t="s">
        <v>492</v>
      </c>
      <c r="N178" s="347">
        <v>112</v>
      </c>
      <c r="O178" s="348"/>
      <c r="P178" s="349">
        <v>2</v>
      </c>
      <c r="Q178" s="353"/>
      <c r="R178" s="353">
        <v>2</v>
      </c>
      <c r="S178" s="351"/>
      <c r="T178" s="351"/>
      <c r="U178" s="351"/>
      <c r="V178" s="351"/>
      <c r="W178" s="351"/>
      <c r="X178" s="351"/>
      <c r="Y178" s="351"/>
    </row>
    <row r="179" spans="1:25">
      <c r="A179" s="228" t="s">
        <v>321</v>
      </c>
      <c r="B179" s="96" t="s">
        <v>322</v>
      </c>
      <c r="C179" s="98">
        <v>2</v>
      </c>
      <c r="D179" s="98" t="s">
        <v>777</v>
      </c>
      <c r="E179" s="98" t="s">
        <v>778</v>
      </c>
      <c r="F179" s="93">
        <f t="shared" si="2"/>
        <v>1</v>
      </c>
      <c r="G179" s="205"/>
      <c r="H179" s="353"/>
      <c r="I179" s="353"/>
      <c r="L179" s="345" t="s">
        <v>1847</v>
      </c>
      <c r="M179" s="346" t="s">
        <v>322</v>
      </c>
      <c r="N179" s="347">
        <v>113</v>
      </c>
      <c r="O179" s="348"/>
      <c r="P179" s="349">
        <v>2</v>
      </c>
      <c r="Q179" s="353">
        <v>1</v>
      </c>
      <c r="R179" s="353"/>
      <c r="S179" s="351"/>
      <c r="T179" s="351"/>
      <c r="U179" s="351"/>
      <c r="V179" s="351"/>
      <c r="W179" s="351"/>
      <c r="X179" s="351"/>
      <c r="Y179" s="351"/>
    </row>
    <row r="180" spans="1:25">
      <c r="A180" s="228" t="s">
        <v>453</v>
      </c>
      <c r="B180" s="96" t="s">
        <v>454</v>
      </c>
      <c r="C180" s="98">
        <v>2</v>
      </c>
      <c r="D180" s="98" t="s">
        <v>777</v>
      </c>
      <c r="E180" s="98" t="s">
        <v>778</v>
      </c>
      <c r="F180" s="93">
        <f t="shared" si="2"/>
        <v>1</v>
      </c>
      <c r="G180" s="205"/>
      <c r="H180" s="353"/>
      <c r="I180" s="353"/>
      <c r="L180" s="345" t="s">
        <v>1915</v>
      </c>
      <c r="M180" s="346" t="s">
        <v>454</v>
      </c>
      <c r="N180" s="347">
        <v>101</v>
      </c>
      <c r="O180" s="348"/>
      <c r="P180" s="349">
        <v>2</v>
      </c>
      <c r="Q180" s="353">
        <v>1</v>
      </c>
      <c r="R180" s="353"/>
      <c r="S180" s="351"/>
      <c r="T180" s="351"/>
      <c r="U180" s="351"/>
      <c r="V180" s="351"/>
      <c r="W180" s="351"/>
      <c r="X180" s="351"/>
      <c r="Y180" s="351"/>
    </row>
    <row r="181" spans="1:25">
      <c r="A181" s="228" t="s">
        <v>479</v>
      </c>
      <c r="B181" s="96" t="s">
        <v>480</v>
      </c>
      <c r="C181" s="98">
        <v>2</v>
      </c>
      <c r="D181" s="98" t="s">
        <v>780</v>
      </c>
      <c r="E181" s="98" t="s">
        <v>778</v>
      </c>
      <c r="F181" s="93">
        <f t="shared" si="2"/>
        <v>0</v>
      </c>
      <c r="G181" s="205"/>
      <c r="H181" s="353"/>
      <c r="I181" s="353"/>
      <c r="L181" s="345" t="s">
        <v>1928</v>
      </c>
      <c r="M181" s="346" t="s">
        <v>480</v>
      </c>
      <c r="N181" s="347">
        <v>171</v>
      </c>
      <c r="O181" s="348"/>
      <c r="P181" s="349">
        <v>2</v>
      </c>
      <c r="Q181" s="353"/>
      <c r="R181" s="353">
        <v>2</v>
      </c>
      <c r="S181" s="351"/>
      <c r="T181" s="351"/>
      <c r="U181" s="351"/>
      <c r="V181" s="351"/>
      <c r="W181" s="351"/>
      <c r="X181" s="351"/>
      <c r="Y181" s="351"/>
    </row>
    <row r="182" spans="1:25">
      <c r="A182" s="228" t="s">
        <v>649</v>
      </c>
      <c r="B182" s="96" t="s">
        <v>650</v>
      </c>
      <c r="C182" s="98">
        <v>1</v>
      </c>
      <c r="D182" s="98" t="s">
        <v>780</v>
      </c>
      <c r="E182" s="98" t="s">
        <v>778</v>
      </c>
      <c r="F182" s="93">
        <f t="shared" si="2"/>
        <v>0</v>
      </c>
      <c r="G182" s="205"/>
      <c r="H182" s="353"/>
      <c r="I182" s="353"/>
      <c r="L182" s="345" t="s">
        <v>2017</v>
      </c>
      <c r="M182" s="346" t="s">
        <v>650</v>
      </c>
      <c r="N182" s="347">
        <v>113</v>
      </c>
      <c r="O182" s="348">
        <v>1</v>
      </c>
      <c r="P182" s="349"/>
      <c r="Q182" s="353"/>
      <c r="R182" s="353">
        <v>2</v>
      </c>
      <c r="S182" s="351"/>
      <c r="T182" s="351"/>
      <c r="U182" s="351"/>
      <c r="V182" s="351"/>
      <c r="W182" s="351"/>
      <c r="X182" s="351"/>
      <c r="Y182" s="351"/>
    </row>
    <row r="183" spans="1:25">
      <c r="A183" s="228" t="s">
        <v>477</v>
      </c>
      <c r="B183" s="96" t="s">
        <v>478</v>
      </c>
      <c r="C183" s="98">
        <v>2</v>
      </c>
      <c r="D183" s="98" t="s">
        <v>780</v>
      </c>
      <c r="E183" s="98" t="s">
        <v>778</v>
      </c>
      <c r="F183" s="93">
        <f t="shared" si="2"/>
        <v>0</v>
      </c>
      <c r="G183" s="205"/>
      <c r="H183" s="353"/>
      <c r="I183" s="353"/>
      <c r="L183" s="345" t="s">
        <v>1927</v>
      </c>
      <c r="M183" s="346" t="s">
        <v>478</v>
      </c>
      <c r="N183" s="347">
        <v>171</v>
      </c>
      <c r="O183" s="348"/>
      <c r="P183" s="349">
        <v>2</v>
      </c>
      <c r="Q183" s="353"/>
      <c r="R183" s="353">
        <v>2</v>
      </c>
      <c r="S183" s="351"/>
      <c r="T183" s="351"/>
      <c r="U183" s="351"/>
      <c r="V183" s="351"/>
      <c r="W183" s="351"/>
      <c r="X183" s="351"/>
      <c r="Y183" s="351"/>
    </row>
    <row r="184" spans="1:25">
      <c r="A184" s="228" t="s">
        <v>435</v>
      </c>
      <c r="B184" s="96" t="s">
        <v>436</v>
      </c>
      <c r="C184" s="98">
        <v>2</v>
      </c>
      <c r="D184" s="98" t="s">
        <v>780</v>
      </c>
      <c r="E184" s="98" t="s">
        <v>778</v>
      </c>
      <c r="F184" s="93">
        <f t="shared" si="2"/>
        <v>0</v>
      </c>
      <c r="G184" s="205"/>
      <c r="H184" s="353"/>
      <c r="I184" s="353"/>
      <c r="L184" s="345" t="s">
        <v>1906</v>
      </c>
      <c r="M184" s="346" t="s">
        <v>436</v>
      </c>
      <c r="N184" s="347">
        <v>113</v>
      </c>
      <c r="O184" s="347"/>
      <c r="P184" s="353">
        <v>2</v>
      </c>
      <c r="Q184" s="353"/>
      <c r="R184" s="353">
        <v>2</v>
      </c>
      <c r="S184" s="351"/>
      <c r="T184" s="351"/>
      <c r="U184" s="351"/>
      <c r="V184" s="351"/>
      <c r="W184" s="351"/>
      <c r="X184" s="351"/>
      <c r="Y184" s="351"/>
    </row>
    <row r="185" spans="1:25">
      <c r="A185" s="228" t="s">
        <v>621</v>
      </c>
      <c r="B185" s="96" t="s">
        <v>622</v>
      </c>
      <c r="C185" s="98">
        <v>2</v>
      </c>
      <c r="D185" s="98" t="s">
        <v>777</v>
      </c>
      <c r="E185" s="98" t="s">
        <v>779</v>
      </c>
      <c r="F185" s="93">
        <f t="shared" si="2"/>
        <v>1</v>
      </c>
      <c r="G185" s="205"/>
      <c r="H185" s="353"/>
      <c r="I185" s="353"/>
      <c r="L185" s="345" t="s">
        <v>2002</v>
      </c>
      <c r="M185" s="346" t="s">
        <v>622</v>
      </c>
      <c r="N185" s="347">
        <v>101</v>
      </c>
      <c r="O185" s="348"/>
      <c r="P185" s="349">
        <v>2</v>
      </c>
      <c r="Q185" s="353">
        <v>1</v>
      </c>
      <c r="R185" s="353"/>
      <c r="S185" s="351"/>
      <c r="T185" s="351"/>
      <c r="U185" s="351"/>
      <c r="V185" s="351"/>
      <c r="W185" s="351"/>
      <c r="X185" s="351"/>
      <c r="Y185" s="351"/>
    </row>
    <row r="186" spans="1:25">
      <c r="A186" s="228" t="s">
        <v>540</v>
      </c>
      <c r="B186" s="96" t="s">
        <v>541</v>
      </c>
      <c r="C186" s="98">
        <v>2</v>
      </c>
      <c r="D186" s="98" t="s">
        <v>780</v>
      </c>
      <c r="E186" s="98" t="s">
        <v>778</v>
      </c>
      <c r="F186" s="93">
        <f t="shared" si="2"/>
        <v>0</v>
      </c>
      <c r="G186" s="205"/>
      <c r="H186" s="353"/>
      <c r="I186" s="353"/>
      <c r="L186" s="345" t="s">
        <v>1960</v>
      </c>
      <c r="M186" s="346" t="s">
        <v>541</v>
      </c>
      <c r="N186" s="347">
        <v>189</v>
      </c>
      <c r="O186" s="348"/>
      <c r="P186" s="349">
        <v>2</v>
      </c>
      <c r="Q186" s="353"/>
      <c r="R186" s="353">
        <v>2</v>
      </c>
      <c r="S186" s="351"/>
      <c r="T186" s="351"/>
      <c r="U186" s="351"/>
      <c r="V186" s="351"/>
      <c r="W186" s="351"/>
      <c r="X186" s="351"/>
      <c r="Y186" s="351"/>
    </row>
    <row r="187" spans="1:25">
      <c r="A187" s="228" t="s">
        <v>597</v>
      </c>
      <c r="B187" s="96" t="s">
        <v>598</v>
      </c>
      <c r="C187" s="98">
        <v>2</v>
      </c>
      <c r="D187" s="98" t="s">
        <v>777</v>
      </c>
      <c r="E187" s="98" t="s">
        <v>779</v>
      </c>
      <c r="F187" s="93">
        <f t="shared" si="2"/>
        <v>1</v>
      </c>
      <c r="G187" s="205"/>
      <c r="H187" s="353"/>
      <c r="I187" s="353"/>
      <c r="L187" s="345" t="s">
        <v>1989</v>
      </c>
      <c r="M187" s="346" t="s">
        <v>598</v>
      </c>
      <c r="N187" s="347">
        <v>101</v>
      </c>
      <c r="O187" s="348"/>
      <c r="P187" s="349">
        <v>2</v>
      </c>
      <c r="Q187" s="353">
        <v>1</v>
      </c>
      <c r="R187" s="353"/>
      <c r="S187" s="351"/>
      <c r="T187" s="351"/>
      <c r="U187" s="351"/>
      <c r="V187" s="351"/>
      <c r="W187" s="351"/>
      <c r="X187" s="351"/>
      <c r="Y187" s="351"/>
    </row>
    <row r="188" spans="1:25">
      <c r="A188" s="228" t="s">
        <v>263</v>
      </c>
      <c r="B188" s="96" t="s">
        <v>264</v>
      </c>
      <c r="C188" s="98">
        <v>2</v>
      </c>
      <c r="D188" s="98" t="s">
        <v>777</v>
      </c>
      <c r="E188" s="98" t="s">
        <v>779</v>
      </c>
      <c r="F188" s="93">
        <f t="shared" si="2"/>
        <v>1</v>
      </c>
      <c r="G188" s="205"/>
      <c r="H188" s="353"/>
      <c r="I188" s="353"/>
      <c r="L188" s="345" t="s">
        <v>1818</v>
      </c>
      <c r="M188" s="346" t="s">
        <v>264</v>
      </c>
      <c r="N188" s="347">
        <v>101</v>
      </c>
      <c r="O188" s="348"/>
      <c r="P188" s="349">
        <v>2</v>
      </c>
      <c r="Q188" s="353">
        <v>1</v>
      </c>
      <c r="R188" s="353"/>
      <c r="S188" s="351"/>
      <c r="T188" s="351"/>
      <c r="U188" s="351"/>
      <c r="V188" s="351"/>
      <c r="W188" s="351"/>
      <c r="X188" s="351"/>
      <c r="Y188" s="351"/>
    </row>
    <row r="189" spans="1:25">
      <c r="A189" s="228" t="s">
        <v>247</v>
      </c>
      <c r="B189" s="96" t="s">
        <v>248</v>
      </c>
      <c r="C189" s="98">
        <v>2</v>
      </c>
      <c r="D189" s="98" t="s">
        <v>780</v>
      </c>
      <c r="E189" s="98" t="s">
        <v>779</v>
      </c>
      <c r="F189" s="93">
        <f t="shared" si="2"/>
        <v>0</v>
      </c>
      <c r="G189" s="205"/>
      <c r="H189" s="353"/>
      <c r="I189" s="353"/>
      <c r="L189" s="345" t="s">
        <v>1810</v>
      </c>
      <c r="M189" s="346" t="s">
        <v>248</v>
      </c>
      <c r="N189" s="347">
        <v>171</v>
      </c>
      <c r="O189" s="348"/>
      <c r="P189" s="349">
        <v>2</v>
      </c>
      <c r="Q189" s="353"/>
      <c r="R189" s="353">
        <v>2</v>
      </c>
      <c r="S189" s="351"/>
      <c r="T189" s="351"/>
      <c r="U189" s="351"/>
      <c r="V189" s="351"/>
      <c r="W189" s="351"/>
      <c r="X189" s="351"/>
      <c r="Y189" s="351"/>
    </row>
    <row r="190" spans="1:25">
      <c r="A190" s="228" t="s">
        <v>489</v>
      </c>
      <c r="B190" s="96" t="s">
        <v>490</v>
      </c>
      <c r="C190" s="98">
        <v>2</v>
      </c>
      <c r="D190" s="98" t="s">
        <v>780</v>
      </c>
      <c r="E190" s="98" t="s">
        <v>778</v>
      </c>
      <c r="F190" s="93">
        <f t="shared" si="2"/>
        <v>0</v>
      </c>
      <c r="G190" s="205"/>
      <c r="H190" s="353"/>
      <c r="I190" s="353"/>
      <c r="L190" s="345" t="s">
        <v>1933</v>
      </c>
      <c r="M190" s="346" t="s">
        <v>490</v>
      </c>
      <c r="N190" s="347">
        <v>171</v>
      </c>
      <c r="O190" s="348"/>
      <c r="P190" s="349">
        <v>2</v>
      </c>
      <c r="Q190" s="353"/>
      <c r="R190" s="353">
        <v>2</v>
      </c>
      <c r="S190" s="351"/>
      <c r="T190" s="351"/>
      <c r="U190" s="351"/>
      <c r="V190" s="351"/>
      <c r="W190" s="351"/>
      <c r="X190" s="351"/>
      <c r="Y190" s="351"/>
    </row>
    <row r="191" spans="1:25">
      <c r="A191" s="228" t="s">
        <v>522</v>
      </c>
      <c r="B191" s="96" t="s">
        <v>523</v>
      </c>
      <c r="C191" s="98">
        <v>1</v>
      </c>
      <c r="D191" s="98" t="s">
        <v>780</v>
      </c>
      <c r="E191" s="98" t="s">
        <v>778</v>
      </c>
      <c r="F191" s="93">
        <f t="shared" si="2"/>
        <v>0</v>
      </c>
      <c r="G191" s="205"/>
      <c r="H191" s="353"/>
      <c r="I191" s="353"/>
      <c r="L191" s="345" t="s">
        <v>1951</v>
      </c>
      <c r="M191" s="346" t="s">
        <v>523</v>
      </c>
      <c r="N191" s="347">
        <v>121</v>
      </c>
      <c r="O191" s="348">
        <v>1</v>
      </c>
      <c r="P191" s="349"/>
      <c r="Q191" s="353"/>
      <c r="R191" s="353">
        <v>2</v>
      </c>
      <c r="S191" s="351"/>
      <c r="T191" s="351"/>
      <c r="U191" s="351"/>
      <c r="V191" s="351"/>
      <c r="W191" s="351"/>
      <c r="X191" s="351"/>
      <c r="Y191" s="351"/>
    </row>
    <row r="192" spans="1:25">
      <c r="A192" s="228" t="s">
        <v>169</v>
      </c>
      <c r="B192" s="96" t="s">
        <v>170</v>
      </c>
      <c r="C192" s="98">
        <v>1</v>
      </c>
      <c r="D192" s="98" t="s">
        <v>780</v>
      </c>
      <c r="E192" s="98" t="s">
        <v>778</v>
      </c>
      <c r="F192" s="93">
        <f t="shared" si="2"/>
        <v>0</v>
      </c>
      <c r="G192" s="205"/>
      <c r="H192" s="353"/>
      <c r="I192" s="353"/>
      <c r="L192" s="345" t="s">
        <v>1769</v>
      </c>
      <c r="M192" s="346" t="s">
        <v>170</v>
      </c>
      <c r="N192" s="347">
        <v>123</v>
      </c>
      <c r="O192" s="348">
        <v>1</v>
      </c>
      <c r="P192" s="349"/>
      <c r="Q192" s="353"/>
      <c r="R192" s="353">
        <v>2</v>
      </c>
      <c r="S192" s="351"/>
      <c r="T192" s="351"/>
      <c r="U192" s="351"/>
      <c r="V192" s="351"/>
      <c r="W192" s="351"/>
      <c r="X192" s="351"/>
      <c r="Y192" s="351"/>
    </row>
    <row r="193" spans="1:25">
      <c r="A193" s="228" t="s">
        <v>251</v>
      </c>
      <c r="B193" s="96" t="s">
        <v>252</v>
      </c>
      <c r="C193" s="98">
        <v>2</v>
      </c>
      <c r="D193" s="98" t="s">
        <v>780</v>
      </c>
      <c r="E193" s="98" t="s">
        <v>779</v>
      </c>
      <c r="F193" s="93">
        <f t="shared" si="2"/>
        <v>0</v>
      </c>
      <c r="G193" s="205"/>
      <c r="H193" s="353"/>
      <c r="I193" s="353"/>
      <c r="L193" s="345" t="s">
        <v>1812</v>
      </c>
      <c r="M193" s="346" t="s">
        <v>252</v>
      </c>
      <c r="N193" s="347">
        <v>171</v>
      </c>
      <c r="O193" s="348"/>
      <c r="P193" s="349">
        <v>2</v>
      </c>
      <c r="Q193" s="353"/>
      <c r="R193" s="353">
        <v>2</v>
      </c>
      <c r="S193" s="351"/>
      <c r="T193" s="351"/>
      <c r="U193" s="351"/>
      <c r="V193" s="351"/>
      <c r="W193" s="351"/>
      <c r="X193" s="351"/>
      <c r="Y193" s="351"/>
    </row>
    <row r="194" spans="1:25">
      <c r="A194" s="228" t="s">
        <v>698</v>
      </c>
      <c r="B194" s="96" t="s">
        <v>699</v>
      </c>
      <c r="C194" s="98">
        <v>2</v>
      </c>
      <c r="D194" s="98" t="s">
        <v>777</v>
      </c>
      <c r="E194" s="98" t="s">
        <v>778</v>
      </c>
      <c r="F194" s="93">
        <f t="shared" si="2"/>
        <v>1</v>
      </c>
      <c r="G194" s="205"/>
      <c r="H194" s="353"/>
      <c r="I194" s="353"/>
      <c r="L194" s="345" t="s">
        <v>2042</v>
      </c>
      <c r="M194" s="346" t="s">
        <v>699</v>
      </c>
      <c r="N194" s="347">
        <v>101</v>
      </c>
      <c r="O194" s="348"/>
      <c r="P194" s="349">
        <v>2</v>
      </c>
      <c r="Q194" s="353">
        <v>1</v>
      </c>
      <c r="R194" s="353"/>
      <c r="S194" s="351"/>
      <c r="T194" s="351"/>
      <c r="U194" s="351"/>
      <c r="V194" s="351"/>
      <c r="W194" s="351"/>
      <c r="X194" s="351"/>
      <c r="Y194" s="351"/>
    </row>
    <row r="195" spans="1:25">
      <c r="A195" s="228" t="s">
        <v>269</v>
      </c>
      <c r="B195" s="96" t="s">
        <v>270</v>
      </c>
      <c r="C195" s="98">
        <v>1</v>
      </c>
      <c r="D195" s="98" t="s">
        <v>780</v>
      </c>
      <c r="E195" s="98" t="s">
        <v>778</v>
      </c>
      <c r="F195" s="93">
        <f t="shared" ref="F195:F258" si="3">IF(+D195="cash",1,0)</f>
        <v>0</v>
      </c>
      <c r="G195" s="205"/>
      <c r="H195" s="353"/>
      <c r="I195" s="353"/>
      <c r="L195" s="345" t="s">
        <v>1821</v>
      </c>
      <c r="M195" s="346" t="s">
        <v>270</v>
      </c>
      <c r="N195" s="347">
        <v>123</v>
      </c>
      <c r="O195" s="348">
        <v>1</v>
      </c>
      <c r="P195" s="349"/>
      <c r="Q195" s="353"/>
      <c r="R195" s="353">
        <v>2</v>
      </c>
      <c r="S195" s="351"/>
      <c r="T195" s="351"/>
      <c r="U195" s="351"/>
      <c r="V195" s="351"/>
      <c r="W195" s="351"/>
      <c r="X195" s="351"/>
      <c r="Y195" s="351"/>
    </row>
    <row r="196" spans="1:25">
      <c r="A196" s="228" t="s">
        <v>483</v>
      </c>
      <c r="B196" s="96" t="s">
        <v>484</v>
      </c>
      <c r="C196" s="98">
        <v>2</v>
      </c>
      <c r="D196" s="98" t="s">
        <v>780</v>
      </c>
      <c r="E196" s="98" t="s">
        <v>778</v>
      </c>
      <c r="F196" s="93">
        <f t="shared" si="3"/>
        <v>0</v>
      </c>
      <c r="G196" s="205"/>
      <c r="H196" s="353"/>
      <c r="I196" s="353"/>
      <c r="L196" s="345" t="s">
        <v>1930</v>
      </c>
      <c r="M196" s="346" t="s">
        <v>484</v>
      </c>
      <c r="N196" s="347">
        <v>171</v>
      </c>
      <c r="O196" s="348"/>
      <c r="P196" s="349">
        <v>2</v>
      </c>
      <c r="Q196" s="353"/>
      <c r="R196" s="353">
        <v>2</v>
      </c>
      <c r="S196" s="351"/>
      <c r="T196" s="351"/>
      <c r="U196" s="351"/>
      <c r="V196" s="351"/>
      <c r="W196" s="351"/>
      <c r="X196" s="351"/>
      <c r="Y196" s="351"/>
    </row>
    <row r="197" spans="1:25">
      <c r="A197" s="228" t="s">
        <v>181</v>
      </c>
      <c r="B197" s="96" t="s">
        <v>182</v>
      </c>
      <c r="C197" s="98">
        <v>2</v>
      </c>
      <c r="D197" s="98" t="s">
        <v>777</v>
      </c>
      <c r="E197" s="98" t="s">
        <v>779</v>
      </c>
      <c r="F197" s="93">
        <f t="shared" si="3"/>
        <v>1</v>
      </c>
      <c r="G197" s="205"/>
      <c r="H197" s="353"/>
      <c r="I197" s="353"/>
      <c r="L197" s="345" t="s">
        <v>1775</v>
      </c>
      <c r="M197" s="346" t="s">
        <v>182</v>
      </c>
      <c r="N197" s="347">
        <v>123</v>
      </c>
      <c r="O197" s="348"/>
      <c r="P197" s="349">
        <v>2</v>
      </c>
      <c r="Q197" s="353">
        <v>1</v>
      </c>
      <c r="R197" s="353"/>
      <c r="S197" s="351"/>
      <c r="T197" s="351"/>
      <c r="U197" s="351"/>
      <c r="V197" s="351"/>
      <c r="W197" s="351"/>
      <c r="X197" s="351"/>
      <c r="Y197" s="351"/>
    </row>
    <row r="198" spans="1:25">
      <c r="A198" s="228" t="s">
        <v>437</v>
      </c>
      <c r="B198" s="96" t="s">
        <v>438</v>
      </c>
      <c r="C198" s="98">
        <v>2</v>
      </c>
      <c r="D198" s="98" t="s">
        <v>777</v>
      </c>
      <c r="E198" s="98" t="s">
        <v>778</v>
      </c>
      <c r="F198" s="93">
        <f t="shared" si="3"/>
        <v>1</v>
      </c>
      <c r="G198" s="205"/>
      <c r="H198" s="353"/>
      <c r="I198" s="353"/>
      <c r="L198" s="345" t="s">
        <v>1907</v>
      </c>
      <c r="M198" s="346" t="s">
        <v>438</v>
      </c>
      <c r="N198" s="347">
        <v>113</v>
      </c>
      <c r="O198" s="348"/>
      <c r="P198" s="349">
        <v>2</v>
      </c>
      <c r="Q198" s="353">
        <v>1</v>
      </c>
      <c r="R198" s="353"/>
      <c r="S198" s="351"/>
      <c r="T198" s="351"/>
      <c r="U198" s="351"/>
      <c r="V198" s="351"/>
      <c r="W198" s="351"/>
      <c r="X198" s="351"/>
      <c r="Y198" s="351"/>
    </row>
    <row r="199" spans="1:25">
      <c r="A199" s="228" t="s">
        <v>526</v>
      </c>
      <c r="B199" s="96" t="s">
        <v>527</v>
      </c>
      <c r="C199" s="98">
        <v>1</v>
      </c>
      <c r="D199" s="98" t="s">
        <v>780</v>
      </c>
      <c r="E199" s="98" t="s">
        <v>778</v>
      </c>
      <c r="F199" s="93">
        <f t="shared" si="3"/>
        <v>0</v>
      </c>
      <c r="G199" s="205"/>
      <c r="H199" s="353"/>
      <c r="I199" s="353"/>
      <c r="L199" s="345" t="s">
        <v>1953</v>
      </c>
      <c r="M199" s="346" t="s">
        <v>527</v>
      </c>
      <c r="N199" s="347">
        <v>121</v>
      </c>
      <c r="O199" s="348">
        <v>1</v>
      </c>
      <c r="P199" s="349"/>
      <c r="Q199" s="353"/>
      <c r="R199" s="353">
        <v>2</v>
      </c>
      <c r="S199" s="351"/>
      <c r="T199" s="351"/>
      <c r="U199" s="351"/>
      <c r="V199" s="351"/>
      <c r="W199" s="351"/>
      <c r="X199" s="351"/>
      <c r="Y199" s="351"/>
    </row>
    <row r="200" spans="1:25">
      <c r="A200" s="228" t="s">
        <v>469</v>
      </c>
      <c r="B200" s="233" t="s">
        <v>470</v>
      </c>
      <c r="C200" s="98">
        <v>2</v>
      </c>
      <c r="D200" s="98" t="s">
        <v>777</v>
      </c>
      <c r="E200" s="98" t="s">
        <v>779</v>
      </c>
      <c r="F200" s="93">
        <f t="shared" si="3"/>
        <v>1</v>
      </c>
      <c r="G200" s="205"/>
      <c r="H200" s="353"/>
      <c r="I200" s="353"/>
      <c r="L200" s="345" t="s">
        <v>1923</v>
      </c>
      <c r="M200" s="346" t="s">
        <v>470</v>
      </c>
      <c r="N200" s="347">
        <v>113</v>
      </c>
      <c r="O200" s="348"/>
      <c r="P200" s="349">
        <v>2</v>
      </c>
      <c r="Q200" s="353">
        <v>1</v>
      </c>
      <c r="R200" s="353"/>
      <c r="S200" s="351"/>
      <c r="T200" s="351"/>
      <c r="U200" s="351"/>
      <c r="V200" s="351"/>
      <c r="W200" s="351"/>
      <c r="X200" s="351"/>
      <c r="Y200" s="351"/>
    </row>
    <row r="201" spans="1:25">
      <c r="A201" s="228" t="s">
        <v>277</v>
      </c>
      <c r="B201" s="96" t="s">
        <v>278</v>
      </c>
      <c r="C201" s="98">
        <v>2</v>
      </c>
      <c r="D201" s="98" t="s">
        <v>780</v>
      </c>
      <c r="E201" s="98" t="s">
        <v>778</v>
      </c>
      <c r="F201" s="93">
        <f t="shared" si="3"/>
        <v>0</v>
      </c>
      <c r="G201" s="205"/>
      <c r="H201" s="353"/>
      <c r="I201" s="353"/>
      <c r="L201" s="345" t="s">
        <v>1825</v>
      </c>
      <c r="M201" s="346" t="s">
        <v>278</v>
      </c>
      <c r="N201" s="347">
        <v>123</v>
      </c>
      <c r="O201" s="348"/>
      <c r="P201" s="349">
        <v>2</v>
      </c>
      <c r="Q201" s="353"/>
      <c r="R201" s="353">
        <v>2</v>
      </c>
      <c r="S201" s="351"/>
      <c r="T201" s="351"/>
      <c r="U201" s="351"/>
      <c r="V201" s="351"/>
      <c r="W201" s="351"/>
      <c r="X201" s="351"/>
      <c r="Y201" s="351"/>
    </row>
    <row r="202" spans="1:25">
      <c r="A202" s="228" t="s">
        <v>205</v>
      </c>
      <c r="B202" s="96" t="s">
        <v>206</v>
      </c>
      <c r="C202" s="98">
        <v>1</v>
      </c>
      <c r="D202" s="98" t="s">
        <v>780</v>
      </c>
      <c r="E202" s="98" t="s">
        <v>778</v>
      </c>
      <c r="F202" s="93">
        <f t="shared" si="3"/>
        <v>0</v>
      </c>
      <c r="G202" s="205"/>
      <c r="H202" s="353"/>
      <c r="I202" s="353"/>
      <c r="L202" s="345" t="s">
        <v>1787</v>
      </c>
      <c r="M202" s="346" t="s">
        <v>206</v>
      </c>
      <c r="N202" s="347">
        <v>114</v>
      </c>
      <c r="O202" s="348">
        <v>1</v>
      </c>
      <c r="P202" s="349"/>
      <c r="Q202" s="353"/>
      <c r="R202" s="353">
        <v>2</v>
      </c>
      <c r="S202" s="351"/>
      <c r="T202" s="351"/>
      <c r="U202" s="351"/>
      <c r="V202" s="351"/>
      <c r="W202" s="351"/>
      <c r="X202" s="351"/>
      <c r="Y202" s="351"/>
    </row>
    <row r="203" spans="1:25">
      <c r="A203" s="228" t="s">
        <v>339</v>
      </c>
      <c r="B203" s="96" t="s">
        <v>340</v>
      </c>
      <c r="C203" s="98">
        <v>2</v>
      </c>
      <c r="D203" s="98" t="s">
        <v>780</v>
      </c>
      <c r="E203" s="98" t="s">
        <v>778</v>
      </c>
      <c r="F203" s="93">
        <f t="shared" si="3"/>
        <v>0</v>
      </c>
      <c r="G203" s="205"/>
      <c r="H203" s="353"/>
      <c r="I203" s="353"/>
      <c r="L203" s="345" t="s">
        <v>1856</v>
      </c>
      <c r="M203" s="346" t="s">
        <v>340</v>
      </c>
      <c r="N203" s="347">
        <v>114</v>
      </c>
      <c r="O203" s="348"/>
      <c r="P203" s="349">
        <v>2</v>
      </c>
      <c r="Q203" s="353"/>
      <c r="R203" s="353">
        <v>2</v>
      </c>
      <c r="S203" s="351"/>
      <c r="T203" s="351"/>
      <c r="U203" s="351"/>
      <c r="V203" s="351"/>
      <c r="W203" s="351"/>
      <c r="X203" s="351"/>
      <c r="Y203" s="351"/>
    </row>
    <row r="204" spans="1:25">
      <c r="A204" s="228" t="s">
        <v>672</v>
      </c>
      <c r="B204" s="96" t="s">
        <v>673</v>
      </c>
      <c r="C204" s="98">
        <v>2</v>
      </c>
      <c r="D204" s="98" t="s">
        <v>777</v>
      </c>
      <c r="E204" s="98" t="s">
        <v>778</v>
      </c>
      <c r="F204" s="93">
        <f t="shared" si="3"/>
        <v>1</v>
      </c>
      <c r="G204" s="205"/>
      <c r="H204" s="353"/>
      <c r="I204" s="353"/>
      <c r="L204" s="345" t="s">
        <v>2029</v>
      </c>
      <c r="M204" s="346" t="s">
        <v>673</v>
      </c>
      <c r="N204" s="347">
        <v>123</v>
      </c>
      <c r="O204" s="348"/>
      <c r="P204" s="349">
        <v>2</v>
      </c>
      <c r="Q204" s="353">
        <v>1</v>
      </c>
      <c r="R204" s="353"/>
      <c r="S204" s="351"/>
      <c r="T204" s="351"/>
      <c r="U204" s="351"/>
      <c r="V204" s="351"/>
      <c r="W204" s="351"/>
      <c r="X204" s="351"/>
      <c r="Y204" s="351"/>
    </row>
    <row r="205" spans="1:25">
      <c r="A205" s="231" t="s">
        <v>1480</v>
      </c>
      <c r="B205" s="232" t="s">
        <v>1479</v>
      </c>
      <c r="C205" s="98">
        <v>1</v>
      </c>
      <c r="D205" s="98" t="s">
        <v>780</v>
      </c>
      <c r="E205" s="98" t="s">
        <v>778</v>
      </c>
      <c r="F205" s="93">
        <f t="shared" si="3"/>
        <v>0</v>
      </c>
      <c r="G205" s="205"/>
      <c r="H205" s="353"/>
      <c r="I205" s="353"/>
      <c r="L205" s="231" t="s">
        <v>1480</v>
      </c>
      <c r="M205" s="232" t="s">
        <v>1479</v>
      </c>
      <c r="N205" s="347"/>
      <c r="O205" s="348"/>
      <c r="P205" s="349"/>
      <c r="Q205" s="353"/>
      <c r="R205" s="353"/>
      <c r="S205" s="351"/>
      <c r="T205" s="351"/>
      <c r="U205" s="351"/>
      <c r="V205" s="351"/>
      <c r="W205" s="351"/>
      <c r="X205" s="351"/>
      <c r="Y205" s="351"/>
    </row>
    <row r="206" spans="1:25">
      <c r="A206" s="228" t="s">
        <v>187</v>
      </c>
      <c r="B206" s="96" t="s">
        <v>188</v>
      </c>
      <c r="C206" s="98">
        <v>1</v>
      </c>
      <c r="D206" s="98" t="s">
        <v>780</v>
      </c>
      <c r="E206" s="98" t="s">
        <v>778</v>
      </c>
      <c r="F206" s="93">
        <f t="shared" si="3"/>
        <v>0</v>
      </c>
      <c r="G206" s="205"/>
      <c r="H206" s="353"/>
      <c r="I206" s="353"/>
      <c r="L206" s="345" t="s">
        <v>1778</v>
      </c>
      <c r="M206" s="346" t="s">
        <v>188</v>
      </c>
      <c r="N206" s="347">
        <v>123</v>
      </c>
      <c r="O206" s="348">
        <v>1</v>
      </c>
      <c r="P206" s="349"/>
      <c r="Q206" s="353"/>
      <c r="R206" s="353">
        <v>2</v>
      </c>
      <c r="S206" s="351"/>
      <c r="T206" s="351"/>
      <c r="U206" s="351"/>
      <c r="V206" s="351"/>
      <c r="W206" s="351"/>
      <c r="X206" s="351"/>
      <c r="Y206" s="351"/>
    </row>
    <row r="207" spans="1:25">
      <c r="A207" s="228" t="s">
        <v>694</v>
      </c>
      <c r="B207" s="96" t="s">
        <v>695</v>
      </c>
      <c r="C207" s="98">
        <v>1</v>
      </c>
      <c r="D207" s="98" t="s">
        <v>780</v>
      </c>
      <c r="E207" s="98" t="s">
        <v>778</v>
      </c>
      <c r="F207" s="93">
        <f t="shared" si="3"/>
        <v>0</v>
      </c>
      <c r="G207" s="205"/>
      <c r="H207" s="353"/>
      <c r="I207" s="353"/>
      <c r="L207" s="345" t="s">
        <v>2040</v>
      </c>
      <c r="M207" s="346" t="s">
        <v>695</v>
      </c>
      <c r="N207" s="347">
        <v>101</v>
      </c>
      <c r="O207" s="348">
        <v>1</v>
      </c>
      <c r="P207" s="349"/>
      <c r="Q207" s="353"/>
      <c r="R207" s="353">
        <v>2</v>
      </c>
      <c r="S207" s="351"/>
      <c r="T207" s="351"/>
      <c r="U207" s="351"/>
      <c r="V207" s="351"/>
      <c r="W207" s="351"/>
      <c r="X207" s="351"/>
      <c r="Y207" s="351"/>
    </row>
    <row r="208" spans="1:25">
      <c r="A208" s="228" t="s">
        <v>510</v>
      </c>
      <c r="B208" s="96" t="s">
        <v>511</v>
      </c>
      <c r="C208" s="98">
        <v>1</v>
      </c>
      <c r="D208" s="98" t="s">
        <v>780</v>
      </c>
      <c r="E208" s="98" t="s">
        <v>778</v>
      </c>
      <c r="F208" s="93">
        <f t="shared" si="3"/>
        <v>0</v>
      </c>
      <c r="G208" s="205"/>
      <c r="H208" s="353"/>
      <c r="I208" s="353"/>
      <c r="L208" s="345" t="s">
        <v>1945</v>
      </c>
      <c r="M208" s="346" t="s">
        <v>511</v>
      </c>
      <c r="N208" s="347">
        <v>121</v>
      </c>
      <c r="O208" s="348">
        <v>1</v>
      </c>
      <c r="P208" s="349"/>
      <c r="Q208" s="353"/>
      <c r="R208" s="353">
        <v>2</v>
      </c>
      <c r="S208" s="351"/>
      <c r="T208" s="351"/>
      <c r="U208" s="351"/>
      <c r="V208" s="351"/>
      <c r="W208" s="351"/>
      <c r="X208" s="351"/>
      <c r="Y208" s="351"/>
    </row>
    <row r="209" spans="1:25">
      <c r="A209" s="228" t="s">
        <v>331</v>
      </c>
      <c r="B209" s="96" t="s">
        <v>332</v>
      </c>
      <c r="C209" s="98">
        <v>2</v>
      </c>
      <c r="D209" s="98" t="s">
        <v>777</v>
      </c>
      <c r="E209" s="98" t="s">
        <v>779</v>
      </c>
      <c r="F209" s="93">
        <f t="shared" si="3"/>
        <v>1</v>
      </c>
      <c r="G209" s="205"/>
      <c r="H209" s="353"/>
      <c r="I209" s="353"/>
      <c r="L209" s="345" t="s">
        <v>1852</v>
      </c>
      <c r="M209" s="346" t="s">
        <v>332</v>
      </c>
      <c r="N209" s="347">
        <v>114</v>
      </c>
      <c r="O209" s="348"/>
      <c r="P209" s="349">
        <v>2</v>
      </c>
      <c r="Q209" s="353">
        <v>1</v>
      </c>
      <c r="R209" s="353"/>
      <c r="S209" s="351"/>
      <c r="T209" s="351"/>
      <c r="U209" s="351"/>
      <c r="V209" s="351"/>
      <c r="W209" s="351"/>
      <c r="X209" s="351"/>
      <c r="Y209" s="351"/>
    </row>
    <row r="210" spans="1:25">
      <c r="A210" s="228" t="s">
        <v>335</v>
      </c>
      <c r="B210" s="96" t="s">
        <v>336</v>
      </c>
      <c r="C210" s="98">
        <v>2</v>
      </c>
      <c r="D210" s="98" t="s">
        <v>780</v>
      </c>
      <c r="E210" s="98" t="s">
        <v>778</v>
      </c>
      <c r="F210" s="93">
        <f t="shared" si="3"/>
        <v>0</v>
      </c>
      <c r="G210" s="205"/>
      <c r="H210" s="353"/>
      <c r="I210" s="353"/>
      <c r="L210" s="345" t="s">
        <v>1854</v>
      </c>
      <c r="M210" s="346" t="s">
        <v>336</v>
      </c>
      <c r="N210" s="347">
        <v>114</v>
      </c>
      <c r="O210" s="348"/>
      <c r="P210" s="349">
        <v>2</v>
      </c>
      <c r="Q210" s="353"/>
      <c r="R210" s="353">
        <v>2</v>
      </c>
      <c r="S210" s="351"/>
      <c r="T210" s="351"/>
      <c r="U210" s="351"/>
      <c r="V210" s="351"/>
      <c r="W210" s="351"/>
      <c r="X210" s="351"/>
      <c r="Y210" s="351"/>
    </row>
    <row r="211" spans="1:25">
      <c r="A211" s="235" t="s">
        <v>1639</v>
      </c>
      <c r="B211" s="206" t="s">
        <v>1641</v>
      </c>
      <c r="C211" s="98">
        <v>1</v>
      </c>
      <c r="D211" s="98" t="s">
        <v>780</v>
      </c>
      <c r="E211" s="98" t="s">
        <v>778</v>
      </c>
      <c r="F211" s="93">
        <f t="shared" si="3"/>
        <v>0</v>
      </c>
      <c r="G211" s="205"/>
      <c r="H211" s="353"/>
      <c r="I211" s="353"/>
      <c r="L211" s="235" t="s">
        <v>1639</v>
      </c>
      <c r="M211" s="206" t="s">
        <v>1641</v>
      </c>
      <c r="N211" s="347"/>
      <c r="O211" s="348"/>
      <c r="P211" s="349"/>
      <c r="Q211" s="353"/>
      <c r="R211" s="353"/>
      <c r="S211" s="351"/>
      <c r="T211" s="351"/>
      <c r="U211" s="351"/>
      <c r="V211" s="351"/>
      <c r="W211" s="351"/>
      <c r="X211" s="351"/>
      <c r="Y211" s="351"/>
    </row>
    <row r="212" spans="1:25">
      <c r="A212" s="228" t="s">
        <v>213</v>
      </c>
      <c r="B212" s="96" t="s">
        <v>214</v>
      </c>
      <c r="C212" s="98">
        <v>1</v>
      </c>
      <c r="D212" s="98" t="s">
        <v>780</v>
      </c>
      <c r="E212" s="98" t="s">
        <v>778</v>
      </c>
      <c r="F212" s="93">
        <f t="shared" si="3"/>
        <v>0</v>
      </c>
      <c r="G212" s="205"/>
      <c r="H212" s="353"/>
      <c r="I212" s="353"/>
      <c r="L212" s="345" t="s">
        <v>1791</v>
      </c>
      <c r="M212" s="346" t="s">
        <v>214</v>
      </c>
      <c r="N212" s="347">
        <v>114</v>
      </c>
      <c r="O212" s="348">
        <v>1</v>
      </c>
      <c r="P212" s="349"/>
      <c r="Q212" s="353"/>
      <c r="R212" s="353">
        <v>2</v>
      </c>
      <c r="S212" s="351"/>
      <c r="T212" s="351"/>
      <c r="U212" s="351"/>
      <c r="V212" s="351"/>
      <c r="W212" s="351"/>
      <c r="X212" s="351"/>
      <c r="Y212" s="351"/>
    </row>
    <row r="213" spans="1:25">
      <c r="A213" s="228" t="s">
        <v>281</v>
      </c>
      <c r="B213" s="96" t="s">
        <v>282</v>
      </c>
      <c r="C213" s="98">
        <v>1</v>
      </c>
      <c r="D213" s="98" t="s">
        <v>780</v>
      </c>
      <c r="E213" s="98" t="s">
        <v>778</v>
      </c>
      <c r="F213" s="93">
        <f t="shared" si="3"/>
        <v>0</v>
      </c>
      <c r="G213" s="205"/>
      <c r="H213" s="353"/>
      <c r="I213" s="353"/>
      <c r="L213" s="345" t="s">
        <v>1827</v>
      </c>
      <c r="M213" s="346" t="s">
        <v>282</v>
      </c>
      <c r="N213" s="347">
        <v>171</v>
      </c>
      <c r="O213" s="348">
        <v>1</v>
      </c>
      <c r="P213" s="349"/>
      <c r="Q213" s="353"/>
      <c r="R213" s="353">
        <v>2</v>
      </c>
      <c r="S213" s="351"/>
      <c r="T213" s="351"/>
      <c r="U213" s="351"/>
      <c r="V213" s="351"/>
      <c r="W213" s="351"/>
      <c r="X213" s="351"/>
      <c r="Y213" s="351"/>
    </row>
    <row r="214" spans="1:25">
      <c r="A214" s="228" t="s">
        <v>651</v>
      </c>
      <c r="B214" s="96" t="s">
        <v>652</v>
      </c>
      <c r="C214" s="98">
        <v>2</v>
      </c>
      <c r="D214" s="98" t="s">
        <v>780</v>
      </c>
      <c r="E214" s="98" t="s">
        <v>778</v>
      </c>
      <c r="F214" s="93">
        <f t="shared" si="3"/>
        <v>0</v>
      </c>
      <c r="G214" s="205"/>
      <c r="H214" s="353"/>
      <c r="I214" s="353"/>
      <c r="L214" s="345" t="s">
        <v>2018</v>
      </c>
      <c r="M214" s="346" t="s">
        <v>652</v>
      </c>
      <c r="N214" s="347">
        <v>113</v>
      </c>
      <c r="O214" s="348"/>
      <c r="P214" s="349">
        <v>2</v>
      </c>
      <c r="Q214" s="353"/>
      <c r="R214" s="353">
        <v>2</v>
      </c>
      <c r="S214" s="351"/>
      <c r="T214" s="351"/>
      <c r="U214" s="351"/>
      <c r="V214" s="351"/>
      <c r="W214" s="351"/>
      <c r="X214" s="351"/>
      <c r="Y214" s="351"/>
    </row>
    <row r="215" spans="1:25">
      <c r="A215" s="231" t="s">
        <v>1493</v>
      </c>
      <c r="B215" s="232" t="s">
        <v>1636</v>
      </c>
      <c r="C215" s="98">
        <v>1</v>
      </c>
      <c r="D215" s="98" t="s">
        <v>780</v>
      </c>
      <c r="E215" s="98" t="s">
        <v>778</v>
      </c>
      <c r="F215" s="93">
        <f t="shared" si="3"/>
        <v>0</v>
      </c>
      <c r="G215" s="205"/>
      <c r="H215" s="353"/>
      <c r="I215" s="353"/>
      <c r="L215" s="231" t="s">
        <v>1493</v>
      </c>
      <c r="M215" s="232" t="s">
        <v>1636</v>
      </c>
      <c r="N215" s="347"/>
      <c r="O215" s="348"/>
      <c r="P215" s="349"/>
      <c r="Q215" s="353"/>
      <c r="R215" s="353"/>
      <c r="S215" s="351"/>
      <c r="T215" s="351"/>
      <c r="U215" s="351"/>
      <c r="V215" s="351"/>
      <c r="W215" s="351"/>
      <c r="X215" s="351"/>
      <c r="Y215" s="351"/>
    </row>
    <row r="216" spans="1:25">
      <c r="A216" s="228" t="s">
        <v>493</v>
      </c>
      <c r="B216" s="96" t="s">
        <v>494</v>
      </c>
      <c r="C216" s="98">
        <v>2</v>
      </c>
      <c r="D216" s="98" t="s">
        <v>780</v>
      </c>
      <c r="E216" s="98" t="s">
        <v>778</v>
      </c>
      <c r="F216" s="93">
        <f t="shared" si="3"/>
        <v>0</v>
      </c>
      <c r="G216" s="205"/>
      <c r="H216" s="353"/>
      <c r="I216" s="353"/>
      <c r="L216" s="345" t="s">
        <v>1935</v>
      </c>
      <c r="M216" s="346" t="s">
        <v>494</v>
      </c>
      <c r="N216" s="347">
        <v>113</v>
      </c>
      <c r="O216" s="348"/>
      <c r="P216" s="349">
        <v>2</v>
      </c>
      <c r="Q216" s="353"/>
      <c r="R216" s="353">
        <v>2</v>
      </c>
      <c r="S216" s="351"/>
      <c r="T216" s="351"/>
      <c r="U216" s="351"/>
      <c r="V216" s="351"/>
      <c r="W216" s="351"/>
      <c r="X216" s="351"/>
      <c r="Y216" s="351"/>
    </row>
    <row r="217" spans="1:25">
      <c r="A217" s="228" t="s">
        <v>447</v>
      </c>
      <c r="B217" s="96" t="s">
        <v>448</v>
      </c>
      <c r="C217" s="98">
        <v>2</v>
      </c>
      <c r="D217" s="98" t="s">
        <v>777</v>
      </c>
      <c r="E217" s="98" t="s">
        <v>778</v>
      </c>
      <c r="F217" s="93">
        <f t="shared" si="3"/>
        <v>1</v>
      </c>
      <c r="G217" s="205"/>
      <c r="H217" s="353"/>
      <c r="I217" s="353"/>
      <c r="L217" s="345" t="s">
        <v>1912</v>
      </c>
      <c r="M217" s="346" t="s">
        <v>448</v>
      </c>
      <c r="N217" s="347">
        <v>101</v>
      </c>
      <c r="O217" s="348"/>
      <c r="P217" s="349">
        <v>2</v>
      </c>
      <c r="Q217" s="353">
        <v>1</v>
      </c>
      <c r="R217" s="353"/>
      <c r="S217" s="351"/>
      <c r="T217" s="351"/>
      <c r="U217" s="351"/>
      <c r="V217" s="351"/>
      <c r="W217" s="351"/>
      <c r="X217" s="351"/>
      <c r="Y217" s="351"/>
    </row>
    <row r="218" spans="1:25">
      <c r="A218" s="228" t="s">
        <v>353</v>
      </c>
      <c r="B218" s="96" t="s">
        <v>354</v>
      </c>
      <c r="C218" s="98">
        <v>1</v>
      </c>
      <c r="D218" s="98" t="s">
        <v>780</v>
      </c>
      <c r="E218" s="98" t="s">
        <v>778</v>
      </c>
      <c r="F218" s="93">
        <f t="shared" si="3"/>
        <v>0</v>
      </c>
      <c r="G218" s="205"/>
      <c r="H218" s="353"/>
      <c r="I218" s="353"/>
      <c r="L218" s="345" t="s">
        <v>1863</v>
      </c>
      <c r="M218" s="346" t="s">
        <v>354</v>
      </c>
      <c r="N218" s="347">
        <v>121</v>
      </c>
      <c r="O218" s="348">
        <v>1</v>
      </c>
      <c r="P218" s="349"/>
      <c r="Q218" s="353"/>
      <c r="R218" s="353">
        <v>2</v>
      </c>
      <c r="S218" s="351"/>
      <c r="T218" s="351"/>
      <c r="U218" s="351"/>
      <c r="V218" s="351"/>
      <c r="W218" s="351"/>
      <c r="X218" s="351"/>
      <c r="Y218" s="351"/>
    </row>
    <row r="219" spans="1:25">
      <c r="A219" s="228" t="s">
        <v>267</v>
      </c>
      <c r="B219" s="96" t="s">
        <v>268</v>
      </c>
      <c r="C219" s="98">
        <v>2</v>
      </c>
      <c r="D219" s="98" t="s">
        <v>777</v>
      </c>
      <c r="E219" s="98" t="s">
        <v>778</v>
      </c>
      <c r="F219" s="93">
        <f t="shared" si="3"/>
        <v>1</v>
      </c>
      <c r="G219" s="205"/>
      <c r="H219" s="353"/>
      <c r="I219" s="353"/>
      <c r="L219" s="345" t="s">
        <v>1820</v>
      </c>
      <c r="M219" s="346" t="s">
        <v>268</v>
      </c>
      <c r="N219" s="347">
        <v>101</v>
      </c>
      <c r="O219" s="348"/>
      <c r="P219" s="349">
        <v>2</v>
      </c>
      <c r="Q219" s="353">
        <v>1</v>
      </c>
      <c r="R219" s="353"/>
      <c r="S219" s="351"/>
      <c r="T219" s="351"/>
      <c r="U219" s="351"/>
      <c r="V219" s="351"/>
      <c r="W219" s="351"/>
      <c r="X219" s="351"/>
      <c r="Y219" s="351"/>
    </row>
    <row r="220" spans="1:25">
      <c r="A220" s="228" t="s">
        <v>189</v>
      </c>
      <c r="B220" s="96" t="s">
        <v>190</v>
      </c>
      <c r="C220" s="98">
        <v>1</v>
      </c>
      <c r="D220" s="98" t="s">
        <v>780</v>
      </c>
      <c r="E220" s="98" t="s">
        <v>778</v>
      </c>
      <c r="F220" s="93">
        <f t="shared" si="3"/>
        <v>0</v>
      </c>
      <c r="G220" s="205"/>
      <c r="H220" s="353"/>
      <c r="I220" s="353"/>
      <c r="L220" s="345" t="s">
        <v>1779</v>
      </c>
      <c r="M220" s="346" t="s">
        <v>190</v>
      </c>
      <c r="N220" s="347">
        <v>123</v>
      </c>
      <c r="O220" s="348">
        <v>1</v>
      </c>
      <c r="P220" s="349"/>
      <c r="Q220" s="353"/>
      <c r="R220" s="353">
        <v>2</v>
      </c>
      <c r="S220" s="351"/>
      <c r="T220" s="351"/>
      <c r="U220" s="351"/>
      <c r="V220" s="351"/>
      <c r="W220" s="351"/>
      <c r="X220" s="351"/>
      <c r="Y220" s="351"/>
    </row>
    <row r="221" spans="1:25">
      <c r="A221" s="228" t="s">
        <v>229</v>
      </c>
      <c r="B221" s="96" t="s">
        <v>230</v>
      </c>
      <c r="C221" s="98">
        <v>1</v>
      </c>
      <c r="D221" s="98" t="s">
        <v>780</v>
      </c>
      <c r="E221" s="98" t="s">
        <v>778</v>
      </c>
      <c r="F221" s="93">
        <f t="shared" si="3"/>
        <v>0</v>
      </c>
      <c r="G221" s="205"/>
      <c r="H221" s="353"/>
      <c r="I221" s="353"/>
      <c r="L221" s="345" t="s">
        <v>1801</v>
      </c>
      <c r="M221" s="346" t="s">
        <v>230</v>
      </c>
      <c r="N221" s="347">
        <v>112</v>
      </c>
      <c r="O221" s="348">
        <v>1</v>
      </c>
      <c r="P221" s="349"/>
      <c r="Q221" s="353"/>
      <c r="R221" s="353">
        <v>2</v>
      </c>
      <c r="S221" s="351"/>
      <c r="T221" s="351"/>
      <c r="U221" s="351"/>
      <c r="V221" s="351"/>
      <c r="W221" s="351"/>
      <c r="X221" s="351"/>
      <c r="Y221" s="351"/>
    </row>
    <row r="222" spans="1:25">
      <c r="A222" s="228" t="s">
        <v>173</v>
      </c>
      <c r="B222" s="96" t="s">
        <v>174</v>
      </c>
      <c r="C222" s="98">
        <v>2</v>
      </c>
      <c r="D222" s="98" t="s">
        <v>777</v>
      </c>
      <c r="E222" s="98" t="s">
        <v>778</v>
      </c>
      <c r="F222" s="93">
        <f t="shared" si="3"/>
        <v>1</v>
      </c>
      <c r="G222" s="205"/>
      <c r="H222" s="355"/>
      <c r="I222" s="353"/>
      <c r="L222" s="345" t="s">
        <v>1771</v>
      </c>
      <c r="M222" s="346" t="s">
        <v>174</v>
      </c>
      <c r="N222" s="347">
        <v>101</v>
      </c>
      <c r="O222" s="348"/>
      <c r="P222" s="349">
        <v>2</v>
      </c>
      <c r="Q222" s="353">
        <v>1</v>
      </c>
      <c r="R222" s="353"/>
      <c r="S222" s="351"/>
      <c r="T222" s="351"/>
      <c r="U222" s="351"/>
      <c r="V222" s="351"/>
      <c r="W222" s="351"/>
      <c r="X222" s="351"/>
      <c r="Y222" s="351"/>
    </row>
    <row r="223" spans="1:25">
      <c r="A223" s="228" t="s">
        <v>619</v>
      </c>
      <c r="B223" s="96" t="s">
        <v>620</v>
      </c>
      <c r="C223" s="98">
        <v>2</v>
      </c>
      <c r="D223" s="98" t="s">
        <v>780</v>
      </c>
      <c r="E223" s="98" t="s">
        <v>778</v>
      </c>
      <c r="F223" s="93">
        <f t="shared" si="3"/>
        <v>0</v>
      </c>
      <c r="G223" s="205"/>
      <c r="H223" s="353"/>
      <c r="I223" s="353"/>
      <c r="L223" s="345" t="s">
        <v>2001</v>
      </c>
      <c r="M223" s="346" t="s">
        <v>620</v>
      </c>
      <c r="N223" s="347">
        <v>101</v>
      </c>
      <c r="O223" s="348"/>
      <c r="P223" s="349">
        <v>2</v>
      </c>
      <c r="Q223" s="353"/>
      <c r="R223" s="353">
        <v>2</v>
      </c>
      <c r="S223" s="351"/>
      <c r="T223" s="351"/>
      <c r="U223" s="351"/>
      <c r="V223" s="351"/>
      <c r="W223" s="351"/>
      <c r="X223" s="351"/>
      <c r="Y223" s="351"/>
    </row>
    <row r="224" spans="1:25">
      <c r="A224" s="228" t="s">
        <v>361</v>
      </c>
      <c r="B224" s="96" t="s">
        <v>362</v>
      </c>
      <c r="C224" s="98">
        <v>1</v>
      </c>
      <c r="D224" s="98" t="s">
        <v>780</v>
      </c>
      <c r="E224" s="98" t="s">
        <v>778</v>
      </c>
      <c r="F224" s="93">
        <f t="shared" si="3"/>
        <v>0</v>
      </c>
      <c r="G224" s="205"/>
      <c r="H224" s="353"/>
      <c r="I224" s="353"/>
      <c r="L224" s="345" t="s">
        <v>1867</v>
      </c>
      <c r="M224" s="346" t="s">
        <v>362</v>
      </c>
      <c r="N224" s="347">
        <v>121</v>
      </c>
      <c r="O224" s="348">
        <v>1</v>
      </c>
      <c r="P224" s="349"/>
      <c r="Q224" s="353"/>
      <c r="R224" s="353">
        <v>2</v>
      </c>
      <c r="S224" s="351"/>
      <c r="T224" s="351"/>
      <c r="U224" s="351"/>
      <c r="V224" s="351"/>
      <c r="W224" s="351"/>
      <c r="X224" s="351"/>
      <c r="Y224" s="351"/>
    </row>
    <row r="225" spans="1:25">
      <c r="A225" s="228" t="s">
        <v>655</v>
      </c>
      <c r="B225" s="96" t="s">
        <v>656</v>
      </c>
      <c r="C225" s="98">
        <v>1</v>
      </c>
      <c r="D225" s="98" t="s">
        <v>780</v>
      </c>
      <c r="E225" s="98" t="s">
        <v>778</v>
      </c>
      <c r="F225" s="93">
        <f t="shared" si="3"/>
        <v>0</v>
      </c>
      <c r="G225" s="205"/>
      <c r="H225" s="353"/>
      <c r="I225" s="353"/>
      <c r="L225" s="345" t="s">
        <v>2020</v>
      </c>
      <c r="M225" s="346" t="s">
        <v>656</v>
      </c>
      <c r="N225" s="347">
        <v>113</v>
      </c>
      <c r="O225" s="348">
        <v>1</v>
      </c>
      <c r="P225" s="349"/>
      <c r="Q225" s="353"/>
      <c r="R225" s="353">
        <v>2</v>
      </c>
      <c r="S225" s="351"/>
      <c r="T225" s="351"/>
      <c r="U225" s="351"/>
      <c r="V225" s="351"/>
      <c r="W225" s="351"/>
      <c r="X225" s="351"/>
      <c r="Y225" s="351"/>
    </row>
    <row r="226" spans="1:25">
      <c r="A226" s="228" t="s">
        <v>411</v>
      </c>
      <c r="B226" s="96" t="s">
        <v>412</v>
      </c>
      <c r="C226" s="98">
        <v>2</v>
      </c>
      <c r="D226" s="98" t="s">
        <v>777</v>
      </c>
      <c r="E226" s="98" t="s">
        <v>779</v>
      </c>
      <c r="F226" s="93">
        <f t="shared" si="3"/>
        <v>1</v>
      </c>
      <c r="G226" s="205"/>
      <c r="H226" s="353"/>
      <c r="I226" s="353"/>
      <c r="L226" s="345" t="s">
        <v>1894</v>
      </c>
      <c r="M226" s="346" t="s">
        <v>412</v>
      </c>
      <c r="N226" s="347">
        <v>112</v>
      </c>
      <c r="O226" s="348"/>
      <c r="P226" s="349">
        <v>2</v>
      </c>
      <c r="Q226" s="353">
        <v>1</v>
      </c>
      <c r="R226" s="353"/>
      <c r="S226" s="351"/>
      <c r="T226" s="351"/>
      <c r="U226" s="351"/>
      <c r="V226" s="351"/>
      <c r="W226" s="351"/>
      <c r="X226" s="351"/>
      <c r="Y226" s="351"/>
    </row>
    <row r="227" spans="1:25">
      <c r="A227" s="228" t="s">
        <v>708</v>
      </c>
      <c r="B227" s="96" t="s">
        <v>709</v>
      </c>
      <c r="C227" s="98">
        <v>2</v>
      </c>
      <c r="D227" s="98" t="s">
        <v>777</v>
      </c>
      <c r="E227" s="98" t="s">
        <v>778</v>
      </c>
      <c r="F227" s="93">
        <f t="shared" si="3"/>
        <v>1</v>
      </c>
      <c r="G227" s="205"/>
      <c r="H227" s="353"/>
      <c r="I227" s="353"/>
      <c r="L227" s="345" t="s">
        <v>2047</v>
      </c>
      <c r="M227" s="346" t="s">
        <v>709</v>
      </c>
      <c r="N227" s="347">
        <v>101</v>
      </c>
      <c r="O227" s="348"/>
      <c r="P227" s="349">
        <v>2</v>
      </c>
      <c r="Q227" s="353">
        <v>1</v>
      </c>
      <c r="R227" s="353"/>
      <c r="S227" s="351"/>
      <c r="T227" s="351"/>
      <c r="U227" s="351"/>
      <c r="V227" s="351"/>
      <c r="W227" s="351"/>
      <c r="X227" s="351"/>
      <c r="Y227" s="351"/>
    </row>
    <row r="228" spans="1:25">
      <c r="A228" s="228" t="s">
        <v>289</v>
      </c>
      <c r="B228" s="96" t="s">
        <v>290</v>
      </c>
      <c r="C228" s="98">
        <v>2</v>
      </c>
      <c r="D228" s="98" t="s">
        <v>780</v>
      </c>
      <c r="E228" s="98" t="s">
        <v>778</v>
      </c>
      <c r="F228" s="93">
        <f t="shared" si="3"/>
        <v>0</v>
      </c>
      <c r="G228" s="205"/>
      <c r="H228" s="353"/>
      <c r="I228" s="353"/>
      <c r="L228" s="345" t="s">
        <v>1831</v>
      </c>
      <c r="M228" s="346" t="s">
        <v>290</v>
      </c>
      <c r="N228" s="347">
        <v>105</v>
      </c>
      <c r="O228" s="348"/>
      <c r="P228" s="349">
        <v>2</v>
      </c>
      <c r="Q228" s="353"/>
      <c r="R228" s="353">
        <v>2</v>
      </c>
      <c r="S228" s="351"/>
      <c r="T228" s="351"/>
      <c r="U228" s="351"/>
      <c r="V228" s="351"/>
      <c r="W228" s="351"/>
      <c r="X228" s="351"/>
      <c r="Y228" s="351"/>
    </row>
    <row r="229" spans="1:25">
      <c r="A229" s="228" t="s">
        <v>544</v>
      </c>
      <c r="B229" s="96" t="s">
        <v>545</v>
      </c>
      <c r="C229" s="98">
        <v>2</v>
      </c>
      <c r="D229" s="98" t="s">
        <v>780</v>
      </c>
      <c r="E229" s="98" t="s">
        <v>778</v>
      </c>
      <c r="F229" s="93">
        <f t="shared" si="3"/>
        <v>0</v>
      </c>
      <c r="G229" s="205"/>
      <c r="H229" s="353"/>
      <c r="I229" s="353"/>
      <c r="L229" s="345" t="s">
        <v>1962</v>
      </c>
      <c r="M229" s="346" t="s">
        <v>545</v>
      </c>
      <c r="N229" s="347">
        <v>189</v>
      </c>
      <c r="O229" s="348"/>
      <c r="P229" s="349">
        <v>2</v>
      </c>
      <c r="Q229" s="353"/>
      <c r="R229" s="353">
        <v>2</v>
      </c>
      <c r="S229" s="351"/>
      <c r="T229" s="351"/>
      <c r="U229" s="351"/>
      <c r="V229" s="351"/>
      <c r="W229" s="351"/>
      <c r="X229" s="351"/>
      <c r="Y229" s="351"/>
    </row>
    <row r="230" spans="1:25">
      <c r="A230" s="228" t="s">
        <v>317</v>
      </c>
      <c r="B230" s="96" t="s">
        <v>318</v>
      </c>
      <c r="C230" s="98">
        <v>2</v>
      </c>
      <c r="D230" s="98" t="s">
        <v>777</v>
      </c>
      <c r="E230" s="98" t="s">
        <v>779</v>
      </c>
      <c r="F230" s="93">
        <f t="shared" si="3"/>
        <v>1</v>
      </c>
      <c r="G230" s="205"/>
      <c r="H230" s="353"/>
      <c r="I230" s="353"/>
      <c r="L230" s="345" t="s">
        <v>1845</v>
      </c>
      <c r="M230" s="346" t="s">
        <v>318</v>
      </c>
      <c r="N230" s="347">
        <v>113</v>
      </c>
      <c r="O230" s="348"/>
      <c r="P230" s="349">
        <v>2</v>
      </c>
      <c r="Q230" s="353">
        <v>1</v>
      </c>
      <c r="R230" s="353"/>
      <c r="S230" s="351"/>
      <c r="T230" s="351"/>
      <c r="U230" s="351"/>
      <c r="V230" s="351"/>
      <c r="W230" s="351"/>
      <c r="X230" s="351"/>
      <c r="Y230" s="351"/>
    </row>
    <row r="231" spans="1:25">
      <c r="A231" s="228" t="s">
        <v>341</v>
      </c>
      <c r="B231" s="96" t="s">
        <v>342</v>
      </c>
      <c r="C231" s="98">
        <v>1</v>
      </c>
      <c r="D231" s="98" t="s">
        <v>780</v>
      </c>
      <c r="E231" s="98" t="s">
        <v>778</v>
      </c>
      <c r="F231" s="93">
        <f t="shared" si="3"/>
        <v>0</v>
      </c>
      <c r="G231" s="205"/>
      <c r="H231" s="353"/>
      <c r="I231" s="353"/>
      <c r="L231" s="345" t="s">
        <v>1857</v>
      </c>
      <c r="M231" s="346" t="s">
        <v>342</v>
      </c>
      <c r="N231" s="347">
        <v>121</v>
      </c>
      <c r="O231" s="348">
        <v>1</v>
      </c>
      <c r="P231" s="349"/>
      <c r="Q231" s="353"/>
      <c r="R231" s="353">
        <v>2</v>
      </c>
      <c r="S231" s="351"/>
      <c r="T231" s="351"/>
      <c r="U231" s="351"/>
      <c r="V231" s="351"/>
      <c r="W231" s="351"/>
      <c r="X231" s="351"/>
      <c r="Y231" s="351"/>
    </row>
    <row r="232" spans="1:25">
      <c r="A232" s="228" t="s">
        <v>549</v>
      </c>
      <c r="B232" s="96" t="s">
        <v>550</v>
      </c>
      <c r="C232" s="98">
        <v>1</v>
      </c>
      <c r="D232" s="98" t="s">
        <v>780</v>
      </c>
      <c r="E232" s="98" t="s">
        <v>778</v>
      </c>
      <c r="F232" s="93">
        <f t="shared" si="3"/>
        <v>0</v>
      </c>
      <c r="G232" s="205"/>
      <c r="H232" s="353"/>
      <c r="I232" s="353"/>
      <c r="L232" s="345" t="s">
        <v>1965</v>
      </c>
      <c r="M232" s="346" t="s">
        <v>550</v>
      </c>
      <c r="N232" s="347">
        <v>189</v>
      </c>
      <c r="O232" s="348">
        <v>1</v>
      </c>
      <c r="P232" s="349"/>
      <c r="Q232" s="353"/>
      <c r="R232" s="353">
        <v>2</v>
      </c>
      <c r="S232" s="351"/>
      <c r="T232" s="351"/>
      <c r="U232" s="351"/>
      <c r="V232" s="351"/>
      <c r="W232" s="351"/>
      <c r="X232" s="351"/>
      <c r="Y232" s="351"/>
    </row>
    <row r="233" spans="1:25">
      <c r="A233" s="228" t="s">
        <v>721</v>
      </c>
      <c r="B233" s="96" t="s">
        <v>722</v>
      </c>
      <c r="C233" s="98">
        <v>1</v>
      </c>
      <c r="D233" s="98" t="s">
        <v>780</v>
      </c>
      <c r="E233" s="98" t="s">
        <v>778</v>
      </c>
      <c r="F233" s="93">
        <f t="shared" si="3"/>
        <v>0</v>
      </c>
      <c r="G233" s="205"/>
      <c r="H233" s="353"/>
      <c r="I233" s="353"/>
      <c r="L233" s="345" t="s">
        <v>2054</v>
      </c>
      <c r="M233" s="346" t="s">
        <v>722</v>
      </c>
      <c r="N233" s="347">
        <v>105</v>
      </c>
      <c r="O233" s="348">
        <v>1</v>
      </c>
      <c r="P233" s="349"/>
      <c r="Q233" s="353"/>
      <c r="R233" s="353">
        <v>2</v>
      </c>
      <c r="S233" s="351"/>
      <c r="T233" s="351"/>
      <c r="U233" s="351"/>
      <c r="V233" s="351"/>
      <c r="W233" s="351"/>
      <c r="X233" s="351"/>
      <c r="Y233" s="351"/>
    </row>
    <row r="234" spans="1:25">
      <c r="A234" s="228" t="s">
        <v>506</v>
      </c>
      <c r="B234" s="96" t="s">
        <v>507</v>
      </c>
      <c r="C234" s="98">
        <v>2</v>
      </c>
      <c r="D234" s="98" t="s">
        <v>777</v>
      </c>
      <c r="E234" s="98" t="s">
        <v>778</v>
      </c>
      <c r="F234" s="93">
        <f t="shared" si="3"/>
        <v>1</v>
      </c>
      <c r="G234" s="205"/>
      <c r="H234" s="353"/>
      <c r="I234" s="353"/>
      <c r="L234" s="345" t="s">
        <v>1943</v>
      </c>
      <c r="M234" s="346" t="s">
        <v>507</v>
      </c>
      <c r="N234" s="347">
        <v>101</v>
      </c>
      <c r="O234" s="348"/>
      <c r="P234" s="349">
        <v>2</v>
      </c>
      <c r="Q234" s="353">
        <v>1</v>
      </c>
      <c r="R234" s="353"/>
      <c r="S234" s="351"/>
      <c r="T234" s="351"/>
      <c r="U234" s="351"/>
      <c r="V234" s="351"/>
      <c r="W234" s="351"/>
      <c r="X234" s="351"/>
      <c r="Y234" s="351"/>
    </row>
    <row r="235" spans="1:25">
      <c r="A235" s="228" t="s">
        <v>209</v>
      </c>
      <c r="B235" s="96" t="s">
        <v>210</v>
      </c>
      <c r="C235" s="98">
        <v>1</v>
      </c>
      <c r="D235" s="98" t="s">
        <v>780</v>
      </c>
      <c r="E235" s="98" t="s">
        <v>778</v>
      </c>
      <c r="F235" s="93">
        <f t="shared" si="3"/>
        <v>0</v>
      </c>
      <c r="G235" s="205"/>
      <c r="H235" s="353"/>
      <c r="I235" s="353"/>
      <c r="L235" s="345" t="s">
        <v>1789</v>
      </c>
      <c r="M235" s="346" t="s">
        <v>210</v>
      </c>
      <c r="N235" s="347">
        <v>114</v>
      </c>
      <c r="O235" s="348">
        <v>1</v>
      </c>
      <c r="P235" s="349"/>
      <c r="Q235" s="353"/>
      <c r="R235" s="353">
        <v>2</v>
      </c>
      <c r="S235" s="351"/>
      <c r="T235" s="351"/>
      <c r="U235" s="351"/>
      <c r="V235" s="351"/>
      <c r="W235" s="351"/>
      <c r="X235" s="351"/>
      <c r="Y235" s="351"/>
    </row>
    <row r="236" spans="1:25">
      <c r="A236" s="228" t="s">
        <v>538</v>
      </c>
      <c r="B236" s="96" t="s">
        <v>539</v>
      </c>
      <c r="C236" s="98">
        <v>2</v>
      </c>
      <c r="D236" s="98" t="s">
        <v>777</v>
      </c>
      <c r="E236" s="98" t="s">
        <v>779</v>
      </c>
      <c r="F236" s="93">
        <f t="shared" si="3"/>
        <v>1</v>
      </c>
      <c r="G236" s="205"/>
      <c r="H236" s="353"/>
      <c r="I236" s="353"/>
      <c r="L236" s="345" t="s">
        <v>1959</v>
      </c>
      <c r="M236" s="346" t="s">
        <v>539</v>
      </c>
      <c r="N236" s="347">
        <v>189</v>
      </c>
      <c r="O236" s="348"/>
      <c r="P236" s="349">
        <v>2</v>
      </c>
      <c r="Q236" s="353">
        <v>1</v>
      </c>
      <c r="R236" s="353"/>
      <c r="S236" s="351"/>
      <c r="T236" s="351"/>
      <c r="U236" s="351"/>
      <c r="V236" s="351"/>
      <c r="W236" s="351"/>
      <c r="X236" s="351"/>
      <c r="Y236" s="351"/>
    </row>
    <row r="237" spans="1:25">
      <c r="A237" s="228" t="s">
        <v>465</v>
      </c>
      <c r="B237" s="96" t="s">
        <v>466</v>
      </c>
      <c r="C237" s="98">
        <v>1</v>
      </c>
      <c r="D237" s="98" t="s">
        <v>780</v>
      </c>
      <c r="E237" s="98" t="s">
        <v>778</v>
      </c>
      <c r="F237" s="93">
        <f t="shared" si="3"/>
        <v>0</v>
      </c>
      <c r="G237" s="205"/>
      <c r="H237" s="353"/>
      <c r="I237" s="353"/>
      <c r="L237" s="345" t="s">
        <v>1921</v>
      </c>
      <c r="M237" s="346" t="s">
        <v>466</v>
      </c>
      <c r="N237" s="347">
        <v>113</v>
      </c>
      <c r="O237" s="348">
        <v>1</v>
      </c>
      <c r="P237" s="349"/>
      <c r="Q237" s="353"/>
      <c r="R237" s="353">
        <v>2</v>
      </c>
      <c r="S237" s="351"/>
      <c r="T237" s="351"/>
      <c r="U237" s="351"/>
      <c r="V237" s="351"/>
      <c r="W237" s="351"/>
      <c r="X237" s="351"/>
      <c r="Y237" s="351"/>
    </row>
    <row r="238" spans="1:25">
      <c r="A238" s="228" t="s">
        <v>369</v>
      </c>
      <c r="B238" s="96" t="s">
        <v>370</v>
      </c>
      <c r="C238" s="98">
        <v>1</v>
      </c>
      <c r="D238" s="98" t="s">
        <v>780</v>
      </c>
      <c r="E238" s="98" t="s">
        <v>778</v>
      </c>
      <c r="F238" s="93">
        <f t="shared" si="3"/>
        <v>0</v>
      </c>
      <c r="G238" s="205"/>
      <c r="H238" s="353"/>
      <c r="I238" s="353"/>
      <c r="L238" s="345" t="s">
        <v>1873</v>
      </c>
      <c r="M238" s="346" t="s">
        <v>370</v>
      </c>
      <c r="N238" s="347">
        <v>121</v>
      </c>
      <c r="O238" s="348">
        <v>1</v>
      </c>
      <c r="P238" s="349"/>
      <c r="Q238" s="353"/>
      <c r="R238" s="353">
        <v>2</v>
      </c>
      <c r="S238" s="351"/>
      <c r="T238" s="351"/>
      <c r="U238" s="351"/>
      <c r="V238" s="351"/>
      <c r="W238" s="351"/>
      <c r="X238" s="351"/>
      <c r="Y238" s="351"/>
    </row>
    <row r="239" spans="1:25">
      <c r="A239" s="228" t="s">
        <v>559</v>
      </c>
      <c r="B239" s="96" t="s">
        <v>560</v>
      </c>
      <c r="C239" s="98">
        <v>2</v>
      </c>
      <c r="D239" s="98" t="s">
        <v>777</v>
      </c>
      <c r="E239" s="98" t="s">
        <v>779</v>
      </c>
      <c r="F239" s="93">
        <f t="shared" si="3"/>
        <v>1</v>
      </c>
      <c r="G239" s="205"/>
      <c r="H239" s="353"/>
      <c r="I239" s="353"/>
      <c r="L239" s="345" t="s">
        <v>1970</v>
      </c>
      <c r="M239" s="346" t="s">
        <v>560</v>
      </c>
      <c r="N239" s="347">
        <v>112</v>
      </c>
      <c r="O239" s="348"/>
      <c r="P239" s="349">
        <v>2</v>
      </c>
      <c r="Q239" s="353">
        <v>1</v>
      </c>
      <c r="R239" s="353"/>
      <c r="S239" s="351"/>
      <c r="T239" s="351"/>
      <c r="U239" s="351"/>
      <c r="V239" s="351"/>
      <c r="W239" s="351"/>
      <c r="X239" s="351"/>
      <c r="Y239" s="351"/>
    </row>
    <row r="240" spans="1:25">
      <c r="A240" s="228" t="s">
        <v>355</v>
      </c>
      <c r="B240" s="96" t="s">
        <v>356</v>
      </c>
      <c r="C240" s="98">
        <v>2</v>
      </c>
      <c r="D240" s="98" t="s">
        <v>777</v>
      </c>
      <c r="E240" s="98" t="s">
        <v>778</v>
      </c>
      <c r="F240" s="93">
        <f t="shared" si="3"/>
        <v>1</v>
      </c>
      <c r="G240" s="205"/>
      <c r="H240" s="353"/>
      <c r="I240" s="353"/>
      <c r="L240" s="345" t="s">
        <v>1864</v>
      </c>
      <c r="M240" s="346" t="s">
        <v>356</v>
      </c>
      <c r="N240" s="347">
        <v>121</v>
      </c>
      <c r="O240" s="348"/>
      <c r="P240" s="349">
        <v>2</v>
      </c>
      <c r="Q240" s="353">
        <v>1</v>
      </c>
      <c r="R240" s="353"/>
      <c r="S240" s="351"/>
      <c r="T240" s="351"/>
      <c r="U240" s="351"/>
      <c r="V240" s="351"/>
      <c r="W240" s="351"/>
      <c r="X240" s="351"/>
      <c r="Y240" s="351"/>
    </row>
    <row r="241" spans="1:25">
      <c r="A241" s="228" t="s">
        <v>583</v>
      </c>
      <c r="B241" s="96" t="s">
        <v>584</v>
      </c>
      <c r="C241" s="98">
        <v>1</v>
      </c>
      <c r="D241" s="98" t="s">
        <v>780</v>
      </c>
      <c r="E241" s="98" t="s">
        <v>778</v>
      </c>
      <c r="F241" s="93">
        <f t="shared" si="3"/>
        <v>0</v>
      </c>
      <c r="G241" s="205"/>
      <c r="H241" s="353"/>
      <c r="I241" s="353"/>
      <c r="L241" s="345" t="s">
        <v>1982</v>
      </c>
      <c r="M241" s="346" t="s">
        <v>584</v>
      </c>
      <c r="N241" s="347">
        <v>189</v>
      </c>
      <c r="O241" s="348">
        <v>1</v>
      </c>
      <c r="P241" s="349"/>
      <c r="Q241" s="353"/>
      <c r="R241" s="353">
        <v>2</v>
      </c>
      <c r="S241" s="351"/>
      <c r="T241" s="351"/>
      <c r="U241" s="351"/>
      <c r="V241" s="351"/>
      <c r="W241" s="351"/>
      <c r="X241" s="351"/>
      <c r="Y241" s="351"/>
    </row>
    <row r="242" spans="1:25">
      <c r="A242" s="228" t="s">
        <v>366</v>
      </c>
      <c r="B242" s="96" t="s">
        <v>1176</v>
      </c>
      <c r="C242" s="98">
        <v>1</v>
      </c>
      <c r="D242" s="98" t="s">
        <v>780</v>
      </c>
      <c r="E242" s="98" t="s">
        <v>778</v>
      </c>
      <c r="F242" s="93">
        <f t="shared" si="3"/>
        <v>0</v>
      </c>
      <c r="G242" s="205"/>
      <c r="H242" s="353"/>
      <c r="I242" s="353"/>
      <c r="L242" s="345" t="s">
        <v>1870</v>
      </c>
      <c r="M242" s="346" t="s">
        <v>1871</v>
      </c>
      <c r="N242" s="347">
        <v>121</v>
      </c>
      <c r="O242" s="348">
        <v>1</v>
      </c>
      <c r="P242" s="349"/>
      <c r="Q242" s="353"/>
      <c r="R242" s="353">
        <v>2</v>
      </c>
      <c r="S242" s="351"/>
      <c r="T242" s="351"/>
      <c r="U242" s="351"/>
      <c r="V242" s="351"/>
      <c r="W242" s="351"/>
      <c r="X242" s="351"/>
      <c r="Y242" s="351"/>
    </row>
    <row r="243" spans="1:25">
      <c r="A243" s="228" t="s">
        <v>287</v>
      </c>
      <c r="B243" s="96" t="s">
        <v>288</v>
      </c>
      <c r="C243" s="98">
        <v>2</v>
      </c>
      <c r="D243" s="98" t="s">
        <v>780</v>
      </c>
      <c r="E243" s="98" t="s">
        <v>778</v>
      </c>
      <c r="F243" s="93">
        <f t="shared" si="3"/>
        <v>0</v>
      </c>
      <c r="G243" s="205"/>
      <c r="H243" s="353"/>
      <c r="I243" s="353"/>
      <c r="L243" s="345" t="s">
        <v>1830</v>
      </c>
      <c r="M243" s="346" t="s">
        <v>288</v>
      </c>
      <c r="N243" s="347">
        <v>171</v>
      </c>
      <c r="O243" s="348"/>
      <c r="P243" s="349">
        <v>2</v>
      </c>
      <c r="Q243" s="353"/>
      <c r="R243" s="353">
        <v>2</v>
      </c>
      <c r="S243" s="351"/>
      <c r="T243" s="351"/>
      <c r="U243" s="351"/>
      <c r="V243" s="351"/>
      <c r="W243" s="351"/>
      <c r="X243" s="351"/>
      <c r="Y243" s="351"/>
    </row>
    <row r="244" spans="1:25">
      <c r="A244" s="231" t="s">
        <v>1524</v>
      </c>
      <c r="B244" s="232" t="s">
        <v>1635</v>
      </c>
      <c r="C244" s="98">
        <v>1</v>
      </c>
      <c r="D244" s="98" t="s">
        <v>780</v>
      </c>
      <c r="E244" s="98" t="s">
        <v>778</v>
      </c>
      <c r="F244" s="93">
        <f t="shared" si="3"/>
        <v>0</v>
      </c>
      <c r="G244" s="205"/>
      <c r="H244" s="353"/>
      <c r="I244" s="353"/>
      <c r="L244" s="231" t="s">
        <v>1524</v>
      </c>
      <c r="M244" s="232" t="s">
        <v>1635</v>
      </c>
      <c r="N244" s="347"/>
      <c r="O244" s="348"/>
      <c r="P244" s="349"/>
      <c r="Q244" s="353"/>
      <c r="R244" s="353"/>
      <c r="S244" s="351"/>
      <c r="T244" s="351"/>
      <c r="U244" s="351"/>
      <c r="V244" s="351"/>
      <c r="W244" s="351"/>
      <c r="X244" s="351"/>
      <c r="Y244" s="351"/>
    </row>
    <row r="245" spans="1:25">
      <c r="A245" s="228" t="s">
        <v>495</v>
      </c>
      <c r="B245" s="232" t="s">
        <v>496</v>
      </c>
      <c r="C245" s="98">
        <v>2</v>
      </c>
      <c r="D245" s="98" t="s">
        <v>780</v>
      </c>
      <c r="E245" s="98" t="s">
        <v>778</v>
      </c>
      <c r="F245" s="93">
        <f t="shared" si="3"/>
        <v>0</v>
      </c>
      <c r="G245" s="205"/>
      <c r="H245" s="353"/>
      <c r="I245" s="353"/>
      <c r="L245" s="345" t="s">
        <v>1936</v>
      </c>
      <c r="M245" s="346" t="s">
        <v>496</v>
      </c>
      <c r="N245" s="347">
        <v>113</v>
      </c>
      <c r="O245" s="348"/>
      <c r="P245" s="349">
        <v>2</v>
      </c>
      <c r="Q245" s="353"/>
      <c r="R245" s="353">
        <v>2</v>
      </c>
      <c r="S245" s="351"/>
      <c r="T245" s="351"/>
      <c r="U245" s="351"/>
      <c r="V245" s="351"/>
      <c r="W245" s="351"/>
      <c r="X245" s="351"/>
      <c r="Y245" s="351"/>
    </row>
    <row r="246" spans="1:25">
      <c r="A246" s="228" t="s">
        <v>385</v>
      </c>
      <c r="B246" s="232" t="s">
        <v>386</v>
      </c>
      <c r="C246" s="98">
        <v>1</v>
      </c>
      <c r="D246" s="98" t="s">
        <v>780</v>
      </c>
      <c r="E246" s="98" t="s">
        <v>778</v>
      </c>
      <c r="F246" s="93">
        <f t="shared" si="3"/>
        <v>0</v>
      </c>
      <c r="G246" s="205"/>
      <c r="H246" s="353"/>
      <c r="I246" s="353"/>
      <c r="L246" s="345" t="s">
        <v>1881</v>
      </c>
      <c r="M246" s="346" t="s">
        <v>386</v>
      </c>
      <c r="N246" s="347">
        <v>114</v>
      </c>
      <c r="O246" s="348">
        <v>1</v>
      </c>
      <c r="P246" s="349"/>
      <c r="Q246" s="353"/>
      <c r="R246" s="353">
        <v>2</v>
      </c>
      <c r="S246" s="351"/>
      <c r="T246" s="351"/>
      <c r="U246" s="351"/>
      <c r="V246" s="351"/>
      <c r="W246" s="351"/>
      <c r="X246" s="351"/>
      <c r="Y246" s="351"/>
    </row>
    <row r="247" spans="1:25">
      <c r="A247" s="228" t="s">
        <v>329</v>
      </c>
      <c r="B247" s="232" t="s">
        <v>330</v>
      </c>
      <c r="C247" s="98">
        <v>2</v>
      </c>
      <c r="D247" s="98" t="s">
        <v>780</v>
      </c>
      <c r="E247" s="98" t="s">
        <v>778</v>
      </c>
      <c r="F247" s="93">
        <f t="shared" si="3"/>
        <v>0</v>
      </c>
      <c r="G247" s="205"/>
      <c r="H247" s="353"/>
      <c r="I247" s="353"/>
      <c r="L247" s="345" t="s">
        <v>1851</v>
      </c>
      <c r="M247" s="346" t="s">
        <v>330</v>
      </c>
      <c r="N247" s="347">
        <v>189</v>
      </c>
      <c r="O247" s="348"/>
      <c r="P247" s="349">
        <v>2</v>
      </c>
      <c r="Q247" s="353"/>
      <c r="R247" s="353">
        <v>2</v>
      </c>
      <c r="S247" s="351"/>
      <c r="T247" s="351"/>
      <c r="U247" s="351"/>
      <c r="V247" s="351"/>
      <c r="W247" s="351"/>
      <c r="X247" s="351"/>
      <c r="Y247" s="351"/>
    </row>
    <row r="248" spans="1:25">
      <c r="A248" s="228" t="s">
        <v>461</v>
      </c>
      <c r="B248" s="232" t="s">
        <v>462</v>
      </c>
      <c r="C248" s="98">
        <v>2</v>
      </c>
      <c r="D248" s="98" t="s">
        <v>780</v>
      </c>
      <c r="E248" s="98" t="s">
        <v>779</v>
      </c>
      <c r="F248" s="93">
        <f t="shared" si="3"/>
        <v>0</v>
      </c>
      <c r="G248" s="205"/>
      <c r="H248" s="353"/>
      <c r="I248" s="353"/>
      <c r="L248" s="345" t="s">
        <v>1919</v>
      </c>
      <c r="M248" s="346" t="s">
        <v>462</v>
      </c>
      <c r="N248" s="347">
        <v>113</v>
      </c>
      <c r="O248" s="348"/>
      <c r="P248" s="349">
        <v>2</v>
      </c>
      <c r="Q248" s="353"/>
      <c r="R248" s="353">
        <v>2</v>
      </c>
      <c r="S248" s="351"/>
      <c r="T248" s="351"/>
      <c r="U248" s="351"/>
      <c r="V248" s="351"/>
      <c r="W248" s="351"/>
      <c r="X248" s="351"/>
      <c r="Y248" s="351"/>
    </row>
    <row r="249" spans="1:25">
      <c r="A249" s="228" t="s">
        <v>595</v>
      </c>
      <c r="B249" s="232" t="s">
        <v>596</v>
      </c>
      <c r="C249" s="98">
        <v>1</v>
      </c>
      <c r="D249" s="98" t="s">
        <v>780</v>
      </c>
      <c r="E249" s="98" t="s">
        <v>778</v>
      </c>
      <c r="F249" s="93">
        <f t="shared" si="3"/>
        <v>0</v>
      </c>
      <c r="G249" s="205"/>
      <c r="H249" s="353"/>
      <c r="I249" s="353"/>
      <c r="L249" s="345" t="s">
        <v>1988</v>
      </c>
      <c r="M249" s="346" t="s">
        <v>596</v>
      </c>
      <c r="N249" s="347">
        <v>101</v>
      </c>
      <c r="O249" s="348">
        <v>1</v>
      </c>
      <c r="P249" s="349"/>
      <c r="Q249" s="353"/>
      <c r="R249" s="353">
        <v>2</v>
      </c>
      <c r="S249" s="351"/>
      <c r="T249" s="351"/>
      <c r="U249" s="351"/>
      <c r="V249" s="351"/>
      <c r="W249" s="351"/>
      <c r="X249" s="351"/>
      <c r="Y249" s="351"/>
    </row>
    <row r="250" spans="1:25">
      <c r="A250" s="231" t="s">
        <v>1531</v>
      </c>
      <c r="B250" s="232" t="s">
        <v>1530</v>
      </c>
      <c r="C250" s="98">
        <v>1</v>
      </c>
      <c r="D250" s="98" t="s">
        <v>780</v>
      </c>
      <c r="E250" s="98" t="s">
        <v>778</v>
      </c>
      <c r="F250" s="93">
        <f t="shared" si="3"/>
        <v>0</v>
      </c>
      <c r="G250" s="205"/>
      <c r="H250" s="353"/>
      <c r="I250" s="353"/>
      <c r="L250" s="231" t="s">
        <v>1531</v>
      </c>
      <c r="M250" s="232" t="s">
        <v>1530</v>
      </c>
      <c r="N250" s="347"/>
      <c r="O250" s="348"/>
      <c r="P250" s="349"/>
      <c r="Q250" s="353"/>
      <c r="R250" s="353"/>
      <c r="S250" s="351"/>
      <c r="T250" s="351"/>
      <c r="U250" s="351"/>
      <c r="V250" s="351"/>
      <c r="W250" s="351"/>
      <c r="X250" s="351"/>
      <c r="Y250" s="351"/>
    </row>
    <row r="251" spans="1:25">
      <c r="A251" s="228" t="s">
        <v>445</v>
      </c>
      <c r="B251" s="96" t="s">
        <v>446</v>
      </c>
      <c r="C251" s="98">
        <v>2</v>
      </c>
      <c r="D251" s="98" t="s">
        <v>777</v>
      </c>
      <c r="E251" s="98" t="s">
        <v>778</v>
      </c>
      <c r="F251" s="93">
        <f t="shared" si="3"/>
        <v>1</v>
      </c>
      <c r="G251" s="205"/>
      <c r="H251" s="353"/>
      <c r="I251" s="353"/>
      <c r="L251" s="345" t="s">
        <v>1911</v>
      </c>
      <c r="M251" s="346" t="s">
        <v>446</v>
      </c>
      <c r="N251" s="347">
        <v>101</v>
      </c>
      <c r="O251" s="348"/>
      <c r="P251" s="349">
        <v>2</v>
      </c>
      <c r="Q251" s="353">
        <v>1</v>
      </c>
      <c r="R251" s="353"/>
      <c r="S251" s="351"/>
      <c r="T251" s="351"/>
      <c r="U251" s="351"/>
      <c r="V251" s="351"/>
      <c r="W251" s="351"/>
      <c r="X251" s="351"/>
      <c r="Y251" s="351"/>
    </row>
    <row r="252" spans="1:25">
      <c r="A252" s="228" t="s">
        <v>710</v>
      </c>
      <c r="B252" s="96" t="s">
        <v>711</v>
      </c>
      <c r="C252" s="98">
        <v>2</v>
      </c>
      <c r="D252" s="98" t="s">
        <v>777</v>
      </c>
      <c r="E252" s="98" t="s">
        <v>778</v>
      </c>
      <c r="F252" s="93">
        <f t="shared" si="3"/>
        <v>1</v>
      </c>
      <c r="G252" s="205"/>
      <c r="H252" s="353"/>
      <c r="I252" s="353"/>
      <c r="L252" s="345" t="s">
        <v>2048</v>
      </c>
      <c r="M252" s="346" t="s">
        <v>711</v>
      </c>
      <c r="N252" s="347">
        <v>101</v>
      </c>
      <c r="O252" s="348"/>
      <c r="P252" s="349">
        <v>2</v>
      </c>
      <c r="Q252" s="353">
        <v>1</v>
      </c>
      <c r="R252" s="353"/>
      <c r="S252" s="351"/>
      <c r="T252" s="351"/>
      <c r="U252" s="351"/>
      <c r="V252" s="351"/>
      <c r="W252" s="351"/>
      <c r="X252" s="351"/>
      <c r="Y252" s="351"/>
    </row>
    <row r="253" spans="1:25">
      <c r="A253" s="228" t="s">
        <v>593</v>
      </c>
      <c r="B253" s="96" t="s">
        <v>594</v>
      </c>
      <c r="C253" s="98">
        <v>1</v>
      </c>
      <c r="D253" s="98" t="s">
        <v>780</v>
      </c>
      <c r="E253" s="98" t="s">
        <v>778</v>
      </c>
      <c r="F253" s="93">
        <f t="shared" si="3"/>
        <v>0</v>
      </c>
      <c r="G253" s="205"/>
      <c r="H253" s="353"/>
      <c r="I253" s="353"/>
      <c r="L253" s="345" t="s">
        <v>1987</v>
      </c>
      <c r="M253" s="346" t="s">
        <v>594</v>
      </c>
      <c r="N253" s="347">
        <v>189</v>
      </c>
      <c r="O253" s="348">
        <v>1</v>
      </c>
      <c r="P253" s="349"/>
      <c r="Q253" s="353"/>
      <c r="R253" s="353">
        <v>2</v>
      </c>
      <c r="S253" s="351"/>
      <c r="T253" s="351"/>
      <c r="U253" s="351"/>
      <c r="V253" s="351"/>
      <c r="W253" s="351"/>
      <c r="X253" s="351"/>
      <c r="Y253" s="351"/>
    </row>
    <row r="254" spans="1:25">
      <c r="A254" s="228" t="s">
        <v>273</v>
      </c>
      <c r="B254" s="96" t="s">
        <v>274</v>
      </c>
      <c r="C254" s="98">
        <v>2</v>
      </c>
      <c r="D254" s="98" t="s">
        <v>777</v>
      </c>
      <c r="E254" s="98" t="s">
        <v>779</v>
      </c>
      <c r="F254" s="93">
        <f t="shared" si="3"/>
        <v>1</v>
      </c>
      <c r="G254" s="205"/>
      <c r="H254" s="353"/>
      <c r="I254" s="353"/>
      <c r="L254" s="345" t="s">
        <v>1823</v>
      </c>
      <c r="M254" s="346" t="s">
        <v>274</v>
      </c>
      <c r="N254" s="347">
        <v>123</v>
      </c>
      <c r="O254" s="348"/>
      <c r="P254" s="349">
        <v>2</v>
      </c>
      <c r="Q254" s="353">
        <v>1</v>
      </c>
      <c r="R254" s="353"/>
      <c r="S254" s="351"/>
      <c r="T254" s="351"/>
      <c r="U254" s="351"/>
      <c r="V254" s="351"/>
      <c r="W254" s="351"/>
      <c r="X254" s="351"/>
      <c r="Y254" s="351"/>
    </row>
    <row r="255" spans="1:25">
      <c r="A255" s="228" t="s">
        <v>233</v>
      </c>
      <c r="B255" s="96" t="s">
        <v>234</v>
      </c>
      <c r="C255" s="98">
        <v>2</v>
      </c>
      <c r="D255" s="98" t="s">
        <v>777</v>
      </c>
      <c r="E255" s="98" t="s">
        <v>779</v>
      </c>
      <c r="F255" s="93">
        <f t="shared" si="3"/>
        <v>1</v>
      </c>
      <c r="G255" s="205"/>
      <c r="H255" s="353"/>
      <c r="I255" s="353"/>
      <c r="L255" s="345" t="s">
        <v>1803</v>
      </c>
      <c r="M255" s="346" t="s">
        <v>234</v>
      </c>
      <c r="N255" s="347">
        <v>123</v>
      </c>
      <c r="O255" s="348"/>
      <c r="P255" s="349">
        <v>2</v>
      </c>
      <c r="Q255" s="353">
        <v>1</v>
      </c>
      <c r="R255" s="353"/>
      <c r="S255" s="351"/>
      <c r="T255" s="351"/>
      <c r="U255" s="351"/>
      <c r="V255" s="351"/>
      <c r="W255" s="351"/>
      <c r="X255" s="351"/>
      <c r="Y255" s="351"/>
    </row>
    <row r="256" spans="1:25">
      <c r="A256" s="228" t="s">
        <v>193</v>
      </c>
      <c r="B256" s="96" t="s">
        <v>194</v>
      </c>
      <c r="C256" s="98">
        <v>2</v>
      </c>
      <c r="D256" s="98" t="s">
        <v>780</v>
      </c>
      <c r="E256" s="98" t="s">
        <v>779</v>
      </c>
      <c r="F256" s="93">
        <f t="shared" si="3"/>
        <v>0</v>
      </c>
      <c r="G256" s="205"/>
      <c r="H256" s="353"/>
      <c r="I256" s="353"/>
      <c r="L256" s="345" t="s">
        <v>1781</v>
      </c>
      <c r="M256" s="346" t="s">
        <v>194</v>
      </c>
      <c r="N256" s="347">
        <v>171</v>
      </c>
      <c r="O256" s="348"/>
      <c r="P256" s="349">
        <v>2</v>
      </c>
      <c r="Q256" s="353"/>
      <c r="R256" s="353">
        <v>2</v>
      </c>
      <c r="S256" s="351"/>
      <c r="T256" s="351"/>
      <c r="U256" s="351"/>
      <c r="V256" s="351"/>
      <c r="W256" s="351"/>
      <c r="X256" s="351"/>
      <c r="Y256" s="351"/>
    </row>
    <row r="257" spans="1:25">
      <c r="A257" s="228" t="s">
        <v>508</v>
      </c>
      <c r="B257" s="96" t="s">
        <v>509</v>
      </c>
      <c r="C257" s="98">
        <v>1</v>
      </c>
      <c r="D257" s="98" t="s">
        <v>780</v>
      </c>
      <c r="E257" s="98" t="s">
        <v>778</v>
      </c>
      <c r="F257" s="93">
        <f t="shared" si="3"/>
        <v>0</v>
      </c>
      <c r="G257" s="205"/>
      <c r="H257" s="353"/>
      <c r="I257" s="353"/>
      <c r="L257" s="345" t="s">
        <v>1944</v>
      </c>
      <c r="M257" s="346" t="s">
        <v>509</v>
      </c>
      <c r="N257" s="347">
        <v>121</v>
      </c>
      <c r="O257" s="348">
        <v>1</v>
      </c>
      <c r="P257" s="349"/>
      <c r="Q257" s="353"/>
      <c r="R257" s="353">
        <v>2</v>
      </c>
      <c r="S257" s="351"/>
      <c r="T257" s="351"/>
      <c r="U257" s="351"/>
      <c r="V257" s="351"/>
      <c r="W257" s="351"/>
      <c r="X257" s="351"/>
      <c r="Y257" s="351"/>
    </row>
    <row r="258" spans="1:25">
      <c r="A258" s="228" t="s">
        <v>702</v>
      </c>
      <c r="B258" s="96" t="s">
        <v>703</v>
      </c>
      <c r="C258" s="98">
        <v>2</v>
      </c>
      <c r="D258" s="98" t="s">
        <v>777</v>
      </c>
      <c r="E258" s="98" t="s">
        <v>779</v>
      </c>
      <c r="F258" s="93">
        <f t="shared" si="3"/>
        <v>1</v>
      </c>
      <c r="G258" s="205"/>
      <c r="H258" s="353"/>
      <c r="I258" s="353"/>
      <c r="L258" s="345" t="s">
        <v>2044</v>
      </c>
      <c r="M258" s="346" t="s">
        <v>703</v>
      </c>
      <c r="N258" s="347">
        <v>101</v>
      </c>
      <c r="O258" s="348"/>
      <c r="P258" s="349">
        <v>2</v>
      </c>
      <c r="Q258" s="353">
        <v>1</v>
      </c>
      <c r="R258" s="353"/>
      <c r="S258" s="351"/>
      <c r="T258" s="351"/>
      <c r="U258" s="351"/>
      <c r="V258" s="351"/>
      <c r="W258" s="351"/>
      <c r="X258" s="351"/>
      <c r="Y258" s="351"/>
    </row>
    <row r="259" spans="1:25">
      <c r="A259" s="228" t="s">
        <v>565</v>
      </c>
      <c r="B259" s="96" t="s">
        <v>566</v>
      </c>
      <c r="C259" s="98">
        <v>2</v>
      </c>
      <c r="D259" s="98" t="s">
        <v>780</v>
      </c>
      <c r="E259" s="98" t="s">
        <v>778</v>
      </c>
      <c r="F259" s="93">
        <f t="shared" ref="F259:F315" si="4">IF(+D259="cash",1,0)</f>
        <v>0</v>
      </c>
      <c r="G259" s="205"/>
      <c r="H259" s="353"/>
      <c r="I259" s="353"/>
      <c r="L259" s="345" t="s">
        <v>1973</v>
      </c>
      <c r="M259" s="346" t="s">
        <v>566</v>
      </c>
      <c r="N259" s="347">
        <v>112</v>
      </c>
      <c r="O259" s="348"/>
      <c r="P259" s="349">
        <v>2</v>
      </c>
      <c r="Q259" s="353"/>
      <c r="R259" s="353">
        <v>2</v>
      </c>
      <c r="S259" s="351"/>
      <c r="T259" s="351"/>
      <c r="U259" s="351"/>
      <c r="V259" s="351"/>
      <c r="W259" s="351"/>
      <c r="X259" s="351"/>
      <c r="Y259" s="351"/>
    </row>
    <row r="260" spans="1:25">
      <c r="A260" s="228" t="s">
        <v>587</v>
      </c>
      <c r="B260" s="96" t="s">
        <v>588</v>
      </c>
      <c r="C260" s="98">
        <v>1</v>
      </c>
      <c r="D260" s="98" t="s">
        <v>780</v>
      </c>
      <c r="E260" s="98" t="s">
        <v>778</v>
      </c>
      <c r="F260" s="93">
        <f t="shared" si="4"/>
        <v>0</v>
      </c>
      <c r="G260" s="205"/>
      <c r="H260" s="353"/>
      <c r="I260" s="353"/>
      <c r="L260" s="345" t="s">
        <v>1984</v>
      </c>
      <c r="M260" s="346" t="s">
        <v>588</v>
      </c>
      <c r="N260" s="347">
        <v>189</v>
      </c>
      <c r="O260" s="348">
        <v>1</v>
      </c>
      <c r="P260" s="349"/>
      <c r="Q260" s="353"/>
      <c r="R260" s="353">
        <v>2</v>
      </c>
      <c r="S260" s="351"/>
      <c r="T260" s="351"/>
      <c r="U260" s="351"/>
      <c r="V260" s="351"/>
      <c r="W260" s="351"/>
      <c r="X260" s="351"/>
      <c r="Y260" s="351"/>
    </row>
    <row r="261" spans="1:25">
      <c r="A261" s="228" t="s">
        <v>633</v>
      </c>
      <c r="B261" s="96" t="s">
        <v>634</v>
      </c>
      <c r="C261" s="98">
        <v>2</v>
      </c>
      <c r="D261" s="98" t="s">
        <v>777</v>
      </c>
      <c r="E261" s="98" t="s">
        <v>779</v>
      </c>
      <c r="F261" s="93">
        <f t="shared" si="4"/>
        <v>1</v>
      </c>
      <c r="G261" s="205"/>
      <c r="H261" s="353"/>
      <c r="I261" s="353"/>
      <c r="L261" s="345" t="s">
        <v>2008</v>
      </c>
      <c r="M261" s="346" t="s">
        <v>634</v>
      </c>
      <c r="N261" s="347">
        <v>101</v>
      </c>
      <c r="O261" s="348"/>
      <c r="P261" s="349">
        <v>2</v>
      </c>
      <c r="Q261" s="353">
        <v>1</v>
      </c>
      <c r="R261" s="353"/>
      <c r="S261" s="351"/>
      <c r="T261" s="351"/>
      <c r="U261" s="351"/>
      <c r="V261" s="351"/>
      <c r="W261" s="351"/>
      <c r="X261" s="351"/>
      <c r="Y261" s="351"/>
    </row>
    <row r="262" spans="1:25" s="80" customFormat="1">
      <c r="A262" s="234" t="s">
        <v>1619</v>
      </c>
      <c r="B262" s="119" t="s">
        <v>1737</v>
      </c>
      <c r="C262" s="98">
        <v>1</v>
      </c>
      <c r="D262" s="98" t="s">
        <v>780</v>
      </c>
      <c r="E262" s="98" t="s">
        <v>778</v>
      </c>
      <c r="F262" s="93">
        <f t="shared" si="4"/>
        <v>0</v>
      </c>
      <c r="G262" s="205"/>
      <c r="H262" s="353"/>
      <c r="I262" s="353"/>
      <c r="L262" s="234" t="s">
        <v>1619</v>
      </c>
      <c r="M262" s="119" t="s">
        <v>1737</v>
      </c>
      <c r="N262" s="347"/>
      <c r="O262" s="348"/>
      <c r="P262" s="349"/>
      <c r="Q262" s="353"/>
      <c r="R262" s="353"/>
      <c r="S262" s="351"/>
      <c r="T262" s="351"/>
      <c r="U262" s="351"/>
      <c r="V262" s="351"/>
      <c r="W262" s="351"/>
      <c r="X262" s="351"/>
      <c r="Y262" s="351"/>
    </row>
    <row r="263" spans="1:25">
      <c r="A263" s="231" t="s">
        <v>1544</v>
      </c>
      <c r="B263" s="119" t="s">
        <v>1745</v>
      </c>
      <c r="C263" s="98">
        <v>1</v>
      </c>
      <c r="D263" s="98" t="s">
        <v>780</v>
      </c>
      <c r="E263" s="98" t="s">
        <v>778</v>
      </c>
      <c r="F263" s="93">
        <f t="shared" si="4"/>
        <v>0</v>
      </c>
      <c r="G263" s="205"/>
      <c r="H263" s="353"/>
      <c r="I263" s="353"/>
      <c r="L263" s="231" t="s">
        <v>1544</v>
      </c>
      <c r="M263" s="119" t="s">
        <v>1745</v>
      </c>
      <c r="N263" s="347"/>
      <c r="O263" s="348"/>
      <c r="P263" s="349"/>
      <c r="Q263" s="353"/>
      <c r="R263" s="353"/>
      <c r="S263" s="351"/>
      <c r="T263" s="351"/>
      <c r="U263" s="351"/>
      <c r="V263" s="351"/>
      <c r="W263" s="351"/>
      <c r="X263" s="351"/>
      <c r="Y263" s="351"/>
    </row>
    <row r="264" spans="1:25">
      <c r="A264" s="231" t="s">
        <v>1547</v>
      </c>
      <c r="B264" s="119" t="s">
        <v>1746</v>
      </c>
      <c r="C264" s="98">
        <v>1</v>
      </c>
      <c r="D264" s="98" t="s">
        <v>780</v>
      </c>
      <c r="E264" s="98" t="s">
        <v>778</v>
      </c>
      <c r="F264" s="93">
        <f t="shared" si="4"/>
        <v>0</v>
      </c>
      <c r="G264" s="205"/>
      <c r="H264" s="353"/>
      <c r="I264" s="353"/>
      <c r="L264" s="231" t="s">
        <v>1547</v>
      </c>
      <c r="M264" s="119" t="s">
        <v>1746</v>
      </c>
      <c r="N264" s="347"/>
      <c r="O264" s="348"/>
      <c r="P264" s="349"/>
      <c r="Q264" s="353"/>
      <c r="R264" s="353"/>
      <c r="S264" s="351"/>
      <c r="T264" s="351"/>
      <c r="U264" s="351"/>
      <c r="V264" s="351"/>
      <c r="W264" s="351"/>
      <c r="X264" s="351"/>
      <c r="Y264" s="351"/>
    </row>
    <row r="265" spans="1:25">
      <c r="A265" s="228" t="s">
        <v>518</v>
      </c>
      <c r="B265" s="96" t="s">
        <v>1690</v>
      </c>
      <c r="C265" s="98">
        <v>1</v>
      </c>
      <c r="D265" s="98" t="s">
        <v>780</v>
      </c>
      <c r="E265" s="98" t="s">
        <v>778</v>
      </c>
      <c r="F265" s="93">
        <f t="shared" si="4"/>
        <v>0</v>
      </c>
      <c r="G265" s="205"/>
      <c r="H265" s="353"/>
      <c r="I265" s="353"/>
      <c r="L265" s="345" t="s">
        <v>1949</v>
      </c>
      <c r="M265" s="346" t="s">
        <v>519</v>
      </c>
      <c r="N265" s="347">
        <v>121</v>
      </c>
      <c r="O265" s="348">
        <v>1</v>
      </c>
      <c r="P265" s="349"/>
      <c r="Q265" s="353"/>
      <c r="R265" s="353">
        <v>2</v>
      </c>
      <c r="S265" s="351"/>
      <c r="T265" s="351"/>
      <c r="U265" s="351"/>
      <c r="V265" s="351"/>
      <c r="W265" s="351"/>
      <c r="X265" s="351"/>
      <c r="Y265" s="351"/>
    </row>
    <row r="266" spans="1:25">
      <c r="A266" s="228" t="s">
        <v>727</v>
      </c>
      <c r="B266" s="96" t="s">
        <v>728</v>
      </c>
      <c r="C266" s="98">
        <v>1</v>
      </c>
      <c r="D266" s="98" t="s">
        <v>780</v>
      </c>
      <c r="E266" s="98" t="s">
        <v>778</v>
      </c>
      <c r="F266" s="93">
        <f t="shared" si="4"/>
        <v>0</v>
      </c>
      <c r="G266" s="205"/>
      <c r="H266" s="353"/>
      <c r="I266" s="353"/>
      <c r="L266" s="345" t="s">
        <v>2057</v>
      </c>
      <c r="M266" s="346" t="s">
        <v>728</v>
      </c>
      <c r="N266" s="347">
        <v>105</v>
      </c>
      <c r="O266" s="348">
        <v>1</v>
      </c>
      <c r="P266" s="349"/>
      <c r="Q266" s="353"/>
      <c r="R266" s="353">
        <v>2</v>
      </c>
      <c r="S266" s="351"/>
      <c r="T266" s="351"/>
      <c r="U266" s="351"/>
      <c r="V266" s="351"/>
      <c r="W266" s="351"/>
      <c r="X266" s="351"/>
      <c r="Y266" s="351"/>
    </row>
    <row r="267" spans="1:25">
      <c r="A267" s="234" t="s">
        <v>1239</v>
      </c>
      <c r="B267" s="120" t="s">
        <v>1252</v>
      </c>
      <c r="C267" s="98">
        <v>1</v>
      </c>
      <c r="D267" s="98" t="s">
        <v>780</v>
      </c>
      <c r="E267" s="98" t="s">
        <v>778</v>
      </c>
      <c r="F267" s="93">
        <f t="shared" si="4"/>
        <v>0</v>
      </c>
      <c r="G267" s="205"/>
      <c r="H267" s="353"/>
      <c r="I267" s="353"/>
      <c r="L267" s="234" t="s">
        <v>1239</v>
      </c>
      <c r="M267" s="120" t="s">
        <v>1252</v>
      </c>
      <c r="N267" s="347"/>
      <c r="O267" s="348"/>
      <c r="P267" s="349"/>
      <c r="Q267" s="353"/>
      <c r="R267" s="353"/>
      <c r="S267" s="351"/>
      <c r="T267" s="351"/>
      <c r="U267" s="351"/>
      <c r="V267" s="351"/>
      <c r="W267" s="351"/>
      <c r="X267" s="351"/>
      <c r="Y267" s="351"/>
    </row>
    <row r="268" spans="1:25">
      <c r="A268" s="228" t="s">
        <v>512</v>
      </c>
      <c r="B268" s="96" t="s">
        <v>513</v>
      </c>
      <c r="C268" s="98">
        <v>1</v>
      </c>
      <c r="D268" s="98" t="s">
        <v>780</v>
      </c>
      <c r="E268" s="98" t="s">
        <v>778</v>
      </c>
      <c r="F268" s="93">
        <f t="shared" si="4"/>
        <v>0</v>
      </c>
      <c r="G268" s="205"/>
      <c r="H268" s="353"/>
      <c r="I268" s="353"/>
      <c r="L268" s="345" t="s">
        <v>1946</v>
      </c>
      <c r="M268" s="346" t="s">
        <v>513</v>
      </c>
      <c r="N268" s="347">
        <v>121</v>
      </c>
      <c r="O268" s="348">
        <v>1</v>
      </c>
      <c r="P268" s="349"/>
      <c r="Q268" s="353"/>
      <c r="R268" s="353">
        <v>2</v>
      </c>
      <c r="S268" s="351"/>
      <c r="T268" s="351"/>
      <c r="U268" s="351"/>
      <c r="V268" s="351"/>
      <c r="W268" s="351"/>
      <c r="X268" s="351"/>
      <c r="Y268" s="351"/>
    </row>
    <row r="269" spans="1:25">
      <c r="A269" s="228" t="s">
        <v>311</v>
      </c>
      <c r="B269" s="96" t="s">
        <v>312</v>
      </c>
      <c r="C269" s="98">
        <v>2</v>
      </c>
      <c r="D269" s="98" t="s">
        <v>777</v>
      </c>
      <c r="E269" s="98" t="s">
        <v>778</v>
      </c>
      <c r="F269" s="93">
        <f t="shared" si="4"/>
        <v>1</v>
      </c>
      <c r="G269" s="205"/>
      <c r="H269" s="353"/>
      <c r="I269" s="353"/>
      <c r="L269" s="345" t="s">
        <v>1842</v>
      </c>
      <c r="M269" s="346" t="s">
        <v>312</v>
      </c>
      <c r="N269" s="347">
        <v>113</v>
      </c>
      <c r="O269" s="348"/>
      <c r="P269" s="349">
        <v>2</v>
      </c>
      <c r="Q269" s="353">
        <v>1</v>
      </c>
      <c r="R269" s="353"/>
      <c r="S269" s="351"/>
      <c r="T269" s="351"/>
      <c r="U269" s="351"/>
      <c r="V269" s="351"/>
      <c r="W269" s="351"/>
      <c r="X269" s="351"/>
      <c r="Y269" s="351"/>
    </row>
    <row r="270" spans="1:25">
      <c r="A270" s="228" t="s">
        <v>364</v>
      </c>
      <c r="B270" s="96" t="s">
        <v>365</v>
      </c>
      <c r="C270" s="98">
        <v>1</v>
      </c>
      <c r="D270" s="98" t="s">
        <v>780</v>
      </c>
      <c r="E270" s="98" t="s">
        <v>778</v>
      </c>
      <c r="F270" s="93">
        <f t="shared" si="4"/>
        <v>0</v>
      </c>
      <c r="G270" s="205"/>
      <c r="H270" s="353"/>
      <c r="I270" s="353"/>
      <c r="L270" s="345" t="s">
        <v>1869</v>
      </c>
      <c r="M270" s="346" t="s">
        <v>365</v>
      </c>
      <c r="N270" s="347">
        <v>121</v>
      </c>
      <c r="O270" s="348">
        <v>1</v>
      </c>
      <c r="P270" s="349"/>
      <c r="Q270" s="353"/>
      <c r="R270" s="353">
        <v>2</v>
      </c>
      <c r="S270" s="351"/>
      <c r="T270" s="351"/>
      <c r="U270" s="351"/>
      <c r="V270" s="351"/>
      <c r="W270" s="351"/>
      <c r="X270" s="351"/>
      <c r="Y270" s="351"/>
    </row>
    <row r="271" spans="1:25">
      <c r="A271" s="228" t="s">
        <v>692</v>
      </c>
      <c r="B271" s="96" t="s">
        <v>693</v>
      </c>
      <c r="C271" s="98">
        <v>2</v>
      </c>
      <c r="D271" s="98" t="s">
        <v>777</v>
      </c>
      <c r="E271" s="98" t="s">
        <v>778</v>
      </c>
      <c r="F271" s="93">
        <f t="shared" si="4"/>
        <v>1</v>
      </c>
      <c r="G271" s="205"/>
      <c r="H271" s="353"/>
      <c r="I271" s="353"/>
      <c r="L271" s="345" t="s">
        <v>2039</v>
      </c>
      <c r="M271" s="346" t="s">
        <v>693</v>
      </c>
      <c r="N271" s="347">
        <v>101</v>
      </c>
      <c r="O271" s="348"/>
      <c r="P271" s="349">
        <v>2</v>
      </c>
      <c r="Q271" s="353">
        <v>1</v>
      </c>
      <c r="R271" s="353"/>
      <c r="S271" s="351"/>
      <c r="T271" s="351"/>
      <c r="U271" s="351"/>
      <c r="V271" s="351"/>
      <c r="W271" s="351"/>
      <c r="X271" s="351"/>
      <c r="Y271" s="351"/>
    </row>
    <row r="272" spans="1:25">
      <c r="A272" s="228" t="s">
        <v>657</v>
      </c>
      <c r="B272" s="96" t="s">
        <v>658</v>
      </c>
      <c r="C272" s="98">
        <v>2</v>
      </c>
      <c r="D272" s="98" t="s">
        <v>780</v>
      </c>
      <c r="E272" s="98" t="s">
        <v>778</v>
      </c>
      <c r="F272" s="93">
        <f t="shared" si="4"/>
        <v>0</v>
      </c>
      <c r="G272" s="205"/>
      <c r="H272" s="353"/>
      <c r="I272" s="353"/>
      <c r="L272" s="345" t="s">
        <v>2021</v>
      </c>
      <c r="M272" s="346" t="s">
        <v>658</v>
      </c>
      <c r="N272" s="347">
        <v>113</v>
      </c>
      <c r="O272" s="348"/>
      <c r="P272" s="349">
        <v>2</v>
      </c>
      <c r="Q272" s="353"/>
      <c r="R272" s="353">
        <v>2</v>
      </c>
      <c r="S272" s="351"/>
      <c r="T272" s="351"/>
      <c r="U272" s="351"/>
      <c r="V272" s="351"/>
      <c r="W272" s="351"/>
      <c r="X272" s="351"/>
      <c r="Y272" s="351"/>
    </row>
    <row r="273" spans="1:25">
      <c r="A273" s="228" t="s">
        <v>391</v>
      </c>
      <c r="B273" s="96" t="s">
        <v>392</v>
      </c>
      <c r="C273" s="98">
        <v>2</v>
      </c>
      <c r="D273" s="98" t="s">
        <v>777</v>
      </c>
      <c r="E273" s="98" t="s">
        <v>778</v>
      </c>
      <c r="F273" s="93">
        <f t="shared" si="4"/>
        <v>1</v>
      </c>
      <c r="G273" s="205"/>
      <c r="H273" s="353"/>
      <c r="I273" s="353"/>
      <c r="L273" s="345" t="s">
        <v>1884</v>
      </c>
      <c r="M273" s="346" t="s">
        <v>392</v>
      </c>
      <c r="N273" s="347">
        <v>105</v>
      </c>
      <c r="O273" s="348"/>
      <c r="P273" s="349">
        <v>2</v>
      </c>
      <c r="Q273" s="353">
        <v>1</v>
      </c>
      <c r="R273" s="353"/>
      <c r="S273" s="351"/>
      <c r="T273" s="351"/>
      <c r="U273" s="351"/>
      <c r="V273" s="351"/>
      <c r="W273" s="351"/>
      <c r="X273" s="351"/>
      <c r="Y273" s="351"/>
    </row>
    <row r="274" spans="1:25">
      <c r="A274" s="228" t="s">
        <v>433</v>
      </c>
      <c r="B274" s="96" t="s">
        <v>434</v>
      </c>
      <c r="C274" s="98">
        <v>2</v>
      </c>
      <c r="D274" s="98" t="s">
        <v>780</v>
      </c>
      <c r="E274" s="98" t="s">
        <v>778</v>
      </c>
      <c r="F274" s="93">
        <f t="shared" si="4"/>
        <v>0</v>
      </c>
      <c r="G274" s="205"/>
      <c r="H274" s="353"/>
      <c r="I274" s="353"/>
      <c r="L274" s="345" t="s">
        <v>1905</v>
      </c>
      <c r="M274" s="346" t="s">
        <v>434</v>
      </c>
      <c r="N274" s="347">
        <v>113</v>
      </c>
      <c r="O274" s="348"/>
      <c r="P274" s="349">
        <v>2</v>
      </c>
      <c r="Q274" s="353"/>
      <c r="R274" s="353">
        <v>2</v>
      </c>
      <c r="S274" s="351"/>
      <c r="T274" s="351"/>
      <c r="U274" s="351"/>
      <c r="V274" s="351"/>
      <c r="W274" s="351"/>
      <c r="X274" s="351"/>
      <c r="Y274" s="351"/>
    </row>
    <row r="275" spans="1:25">
      <c r="A275" s="228" t="s">
        <v>487</v>
      </c>
      <c r="B275" s="96" t="s">
        <v>488</v>
      </c>
      <c r="C275" s="98">
        <v>2</v>
      </c>
      <c r="D275" s="98" t="s">
        <v>780</v>
      </c>
      <c r="E275" s="98" t="s">
        <v>778</v>
      </c>
      <c r="F275" s="93">
        <f t="shared" si="4"/>
        <v>0</v>
      </c>
      <c r="G275" s="205"/>
      <c r="H275" s="353"/>
      <c r="I275" s="353"/>
      <c r="L275" s="345" t="s">
        <v>1932</v>
      </c>
      <c r="M275" s="346" t="s">
        <v>488</v>
      </c>
      <c r="N275" s="347">
        <v>171</v>
      </c>
      <c r="O275" s="348"/>
      <c r="P275" s="349">
        <v>2</v>
      </c>
      <c r="Q275" s="353"/>
      <c r="R275" s="353">
        <v>2</v>
      </c>
      <c r="S275" s="351"/>
      <c r="T275" s="351"/>
      <c r="U275" s="351"/>
      <c r="V275" s="351"/>
      <c r="W275" s="351"/>
      <c r="X275" s="351"/>
      <c r="Y275" s="351"/>
    </row>
    <row r="276" spans="1:25">
      <c r="A276" s="228" t="s">
        <v>729</v>
      </c>
      <c r="B276" s="96" t="s">
        <v>730</v>
      </c>
      <c r="C276" s="98">
        <v>1</v>
      </c>
      <c r="D276" s="98" t="s">
        <v>780</v>
      </c>
      <c r="E276" s="98" t="s">
        <v>778</v>
      </c>
      <c r="F276" s="93">
        <f t="shared" si="4"/>
        <v>0</v>
      </c>
      <c r="G276" s="205"/>
      <c r="H276" s="353"/>
      <c r="I276" s="353"/>
      <c r="L276" s="345" t="s">
        <v>2058</v>
      </c>
      <c r="M276" s="346" t="s">
        <v>730</v>
      </c>
      <c r="N276" s="347">
        <v>105</v>
      </c>
      <c r="O276" s="348">
        <v>1</v>
      </c>
      <c r="P276" s="349"/>
      <c r="Q276" s="353"/>
      <c r="R276" s="353">
        <v>2</v>
      </c>
      <c r="S276" s="351"/>
      <c r="T276" s="351"/>
      <c r="U276" s="351"/>
      <c r="V276" s="351"/>
      <c r="W276" s="351"/>
      <c r="X276" s="351"/>
      <c r="Y276" s="351"/>
    </row>
    <row r="277" spans="1:25">
      <c r="A277" s="228" t="s">
        <v>667</v>
      </c>
      <c r="B277" s="96" t="s">
        <v>668</v>
      </c>
      <c r="C277" s="98">
        <v>2</v>
      </c>
      <c r="D277" s="98" t="s">
        <v>777</v>
      </c>
      <c r="E277" s="98" t="s">
        <v>778</v>
      </c>
      <c r="F277" s="93">
        <f t="shared" si="4"/>
        <v>1</v>
      </c>
      <c r="G277" s="205"/>
      <c r="H277" s="353"/>
      <c r="I277" s="353"/>
      <c r="L277" s="345" t="s">
        <v>2026</v>
      </c>
      <c r="M277" s="346" t="s">
        <v>668</v>
      </c>
      <c r="N277" s="347">
        <v>123</v>
      </c>
      <c r="O277" s="348"/>
      <c r="P277" s="349">
        <v>2</v>
      </c>
      <c r="Q277" s="353">
        <v>1</v>
      </c>
      <c r="R277" s="353"/>
      <c r="S277" s="351"/>
      <c r="T277" s="351"/>
      <c r="U277" s="351"/>
      <c r="V277" s="351"/>
      <c r="W277" s="351"/>
      <c r="X277" s="351"/>
      <c r="Y277" s="351"/>
    </row>
    <row r="278" spans="1:25">
      <c r="A278" s="228" t="s">
        <v>237</v>
      </c>
      <c r="B278" s="233" t="s">
        <v>238</v>
      </c>
      <c r="C278" s="98">
        <v>2</v>
      </c>
      <c r="D278" s="98" t="s">
        <v>777</v>
      </c>
      <c r="E278" s="98" t="s">
        <v>778</v>
      </c>
      <c r="F278" s="93">
        <f t="shared" si="4"/>
        <v>1</v>
      </c>
      <c r="G278" s="205"/>
      <c r="H278" s="353"/>
      <c r="I278" s="353"/>
      <c r="L278" s="345" t="s">
        <v>1805</v>
      </c>
      <c r="M278" s="346" t="s">
        <v>238</v>
      </c>
      <c r="N278" s="347">
        <v>112</v>
      </c>
      <c r="O278" s="348"/>
      <c r="P278" s="349">
        <v>2</v>
      </c>
      <c r="Q278" s="353">
        <v>1</v>
      </c>
      <c r="R278" s="353"/>
      <c r="S278" s="351"/>
      <c r="T278" s="351"/>
      <c r="U278" s="351"/>
      <c r="V278" s="351"/>
      <c r="W278" s="351"/>
      <c r="X278" s="351"/>
      <c r="Y278" s="351"/>
    </row>
    <row r="279" spans="1:25">
      <c r="A279" s="228" t="s">
        <v>405</v>
      </c>
      <c r="B279" s="96" t="s">
        <v>406</v>
      </c>
      <c r="C279" s="98">
        <v>2</v>
      </c>
      <c r="D279" s="98" t="s">
        <v>777</v>
      </c>
      <c r="E279" s="98" t="s">
        <v>778</v>
      </c>
      <c r="F279" s="93">
        <f t="shared" si="4"/>
        <v>1</v>
      </c>
      <c r="G279" s="205"/>
      <c r="H279" s="353"/>
      <c r="I279" s="353"/>
      <c r="L279" s="345" t="s">
        <v>1891</v>
      </c>
      <c r="M279" s="346" t="s">
        <v>406</v>
      </c>
      <c r="N279" s="347">
        <v>112</v>
      </c>
      <c r="O279" s="348"/>
      <c r="P279" s="349">
        <v>2</v>
      </c>
      <c r="Q279" s="353">
        <v>1</v>
      </c>
      <c r="R279" s="353"/>
      <c r="S279" s="351"/>
      <c r="T279" s="351"/>
      <c r="U279" s="351"/>
      <c r="V279" s="351"/>
      <c r="W279" s="351"/>
      <c r="X279" s="351"/>
      <c r="Y279" s="351"/>
    </row>
    <row r="280" spans="1:25">
      <c r="A280" s="228" t="s">
        <v>359</v>
      </c>
      <c r="B280" s="96" t="s">
        <v>360</v>
      </c>
      <c r="C280" s="98">
        <v>1</v>
      </c>
      <c r="D280" s="98" t="s">
        <v>780</v>
      </c>
      <c r="E280" s="98" t="s">
        <v>778</v>
      </c>
      <c r="F280" s="93">
        <f t="shared" si="4"/>
        <v>0</v>
      </c>
      <c r="G280" s="205"/>
      <c r="H280" s="353"/>
      <c r="I280" s="353"/>
      <c r="L280" s="345" t="s">
        <v>1866</v>
      </c>
      <c r="M280" s="346" t="s">
        <v>360</v>
      </c>
      <c r="N280" s="347">
        <v>121</v>
      </c>
      <c r="O280" s="348">
        <v>1</v>
      </c>
      <c r="P280" s="349"/>
      <c r="Q280" s="353"/>
      <c r="R280" s="353">
        <v>2</v>
      </c>
      <c r="S280" s="351"/>
      <c r="T280" s="351"/>
      <c r="U280" s="351"/>
      <c r="V280" s="351"/>
      <c r="W280" s="351"/>
      <c r="X280" s="351"/>
      <c r="Y280" s="351"/>
    </row>
    <row r="281" spans="1:25">
      <c r="A281" s="228" t="s">
        <v>647</v>
      </c>
      <c r="B281" s="96" t="s">
        <v>648</v>
      </c>
      <c r="C281" s="98">
        <v>1</v>
      </c>
      <c r="D281" s="98" t="s">
        <v>780</v>
      </c>
      <c r="E281" s="98" t="s">
        <v>778</v>
      </c>
      <c r="F281" s="93">
        <f t="shared" si="4"/>
        <v>0</v>
      </c>
      <c r="G281" s="205"/>
      <c r="H281" s="353"/>
      <c r="I281" s="353"/>
      <c r="L281" s="345" t="s">
        <v>2016</v>
      </c>
      <c r="M281" s="346" t="s">
        <v>648</v>
      </c>
      <c r="N281" s="347">
        <v>113</v>
      </c>
      <c r="O281" s="348">
        <v>1</v>
      </c>
      <c r="P281" s="349"/>
      <c r="Q281" s="353"/>
      <c r="R281" s="353">
        <v>2</v>
      </c>
      <c r="S281" s="351"/>
      <c r="T281" s="351"/>
      <c r="U281" s="351"/>
      <c r="V281" s="351"/>
      <c r="W281" s="351"/>
      <c r="X281" s="351"/>
      <c r="Y281" s="351"/>
    </row>
    <row r="282" spans="1:25">
      <c r="A282" s="228" t="s">
        <v>714</v>
      </c>
      <c r="B282" s="96" t="s">
        <v>715</v>
      </c>
      <c r="C282" s="98">
        <v>2</v>
      </c>
      <c r="D282" s="98" t="s">
        <v>777</v>
      </c>
      <c r="E282" s="98" t="s">
        <v>779</v>
      </c>
      <c r="F282" s="93">
        <f t="shared" si="4"/>
        <v>1</v>
      </c>
      <c r="G282" s="205"/>
      <c r="H282" s="353"/>
      <c r="I282" s="353"/>
      <c r="L282" s="345" t="s">
        <v>2050</v>
      </c>
      <c r="M282" s="346" t="s">
        <v>715</v>
      </c>
      <c r="N282" s="347">
        <v>105</v>
      </c>
      <c r="O282" s="348"/>
      <c r="P282" s="349">
        <v>2</v>
      </c>
      <c r="Q282" s="353">
        <v>1</v>
      </c>
      <c r="R282" s="353"/>
      <c r="S282" s="351"/>
      <c r="T282" s="351"/>
      <c r="U282" s="351"/>
      <c r="V282" s="351"/>
      <c r="W282" s="351"/>
      <c r="X282" s="351"/>
      <c r="Y282" s="351"/>
    </row>
    <row r="283" spans="1:25">
      <c r="A283" s="228" t="s">
        <v>516</v>
      </c>
      <c r="B283" s="96" t="s">
        <v>517</v>
      </c>
      <c r="C283" s="98">
        <v>1</v>
      </c>
      <c r="D283" s="98" t="s">
        <v>780</v>
      </c>
      <c r="E283" s="98" t="s">
        <v>778</v>
      </c>
      <c r="F283" s="93">
        <f t="shared" si="4"/>
        <v>0</v>
      </c>
      <c r="G283" s="205"/>
      <c r="H283" s="353"/>
      <c r="I283" s="353"/>
      <c r="L283" s="345" t="s">
        <v>1948</v>
      </c>
      <c r="M283" s="346" t="s">
        <v>517</v>
      </c>
      <c r="N283" s="347">
        <v>121</v>
      </c>
      <c r="O283" s="348">
        <v>1</v>
      </c>
      <c r="P283" s="349"/>
      <c r="Q283" s="353"/>
      <c r="R283" s="353">
        <v>2</v>
      </c>
      <c r="S283" s="351"/>
      <c r="T283" s="351"/>
      <c r="U283" s="351"/>
      <c r="V283" s="351"/>
      <c r="W283" s="351"/>
      <c r="X283" s="351"/>
      <c r="Y283" s="351"/>
    </row>
    <row r="284" spans="1:25">
      <c r="A284" s="228" t="s">
        <v>627</v>
      </c>
      <c r="B284" s="96" t="s">
        <v>628</v>
      </c>
      <c r="C284" s="98">
        <v>2</v>
      </c>
      <c r="D284" s="98" t="s">
        <v>780</v>
      </c>
      <c r="E284" s="98" t="s">
        <v>779</v>
      </c>
      <c r="F284" s="93">
        <f t="shared" si="4"/>
        <v>0</v>
      </c>
      <c r="G284" s="205"/>
      <c r="H284" s="353"/>
      <c r="I284" s="353"/>
      <c r="L284" s="345" t="s">
        <v>2005</v>
      </c>
      <c r="M284" s="346" t="s">
        <v>628</v>
      </c>
      <c r="N284" s="347">
        <v>101</v>
      </c>
      <c r="O284" s="348"/>
      <c r="P284" s="349">
        <v>2</v>
      </c>
      <c r="Q284" s="353"/>
      <c r="R284" s="353">
        <v>2</v>
      </c>
      <c r="S284" s="351"/>
      <c r="T284" s="351"/>
      <c r="U284" s="351"/>
      <c r="V284" s="351"/>
      <c r="W284" s="351"/>
      <c r="X284" s="351"/>
      <c r="Y284" s="351"/>
    </row>
    <row r="285" spans="1:25">
      <c r="A285" s="228" t="s">
        <v>215</v>
      </c>
      <c r="B285" s="96" t="s">
        <v>216</v>
      </c>
      <c r="C285" s="98">
        <v>1</v>
      </c>
      <c r="D285" s="98" t="s">
        <v>780</v>
      </c>
      <c r="E285" s="98" t="s">
        <v>778</v>
      </c>
      <c r="F285" s="93">
        <f t="shared" si="4"/>
        <v>0</v>
      </c>
      <c r="G285" s="205"/>
      <c r="H285" s="353"/>
      <c r="I285" s="353"/>
      <c r="L285" s="345" t="s">
        <v>1792</v>
      </c>
      <c r="M285" s="346" t="s">
        <v>216</v>
      </c>
      <c r="N285" s="347">
        <v>112</v>
      </c>
      <c r="O285" s="348">
        <v>1</v>
      </c>
      <c r="P285" s="349"/>
      <c r="Q285" s="353"/>
      <c r="R285" s="353">
        <v>2</v>
      </c>
      <c r="S285" s="351"/>
      <c r="T285" s="351"/>
      <c r="U285" s="351"/>
      <c r="V285" s="351"/>
      <c r="W285" s="351"/>
      <c r="X285" s="351"/>
      <c r="Y285" s="351"/>
    </row>
    <row r="286" spans="1:25">
      <c r="A286" s="228" t="s">
        <v>351</v>
      </c>
      <c r="B286" s="96" t="s">
        <v>352</v>
      </c>
      <c r="C286" s="98">
        <v>2</v>
      </c>
      <c r="D286" s="98" t="s">
        <v>780</v>
      </c>
      <c r="E286" s="98" t="s">
        <v>778</v>
      </c>
      <c r="F286" s="93">
        <f t="shared" si="4"/>
        <v>0</v>
      </c>
      <c r="G286" s="205"/>
      <c r="H286" s="353"/>
      <c r="I286" s="353"/>
      <c r="L286" s="345" t="s">
        <v>1862</v>
      </c>
      <c r="M286" s="346" t="s">
        <v>352</v>
      </c>
      <c r="N286" s="347">
        <v>121</v>
      </c>
      <c r="O286" s="348"/>
      <c r="P286" s="349">
        <v>2</v>
      </c>
      <c r="Q286" s="353"/>
      <c r="R286" s="353">
        <v>2</v>
      </c>
      <c r="S286" s="351"/>
      <c r="T286" s="351"/>
      <c r="U286" s="351"/>
      <c r="V286" s="351"/>
      <c r="W286" s="351"/>
      <c r="X286" s="351"/>
      <c r="Y286" s="351"/>
    </row>
    <row r="287" spans="1:25">
      <c r="A287" s="235" t="s">
        <v>1678</v>
      </c>
      <c r="B287" s="206" t="s">
        <v>1677</v>
      </c>
      <c r="C287" s="98">
        <v>1</v>
      </c>
      <c r="D287" s="98" t="s">
        <v>780</v>
      </c>
      <c r="E287" s="98" t="s">
        <v>778</v>
      </c>
      <c r="F287" s="93">
        <f t="shared" si="4"/>
        <v>0</v>
      </c>
      <c r="G287" s="205"/>
      <c r="H287" s="353"/>
      <c r="I287" s="353"/>
      <c r="L287" s="235" t="s">
        <v>1678</v>
      </c>
      <c r="M287" s="206" t="s">
        <v>1677</v>
      </c>
      <c r="N287" s="347"/>
      <c r="O287" s="348"/>
      <c r="P287" s="349"/>
      <c r="Q287" s="353"/>
      <c r="R287" s="353"/>
      <c r="S287" s="351"/>
      <c r="T287" s="351"/>
      <c r="U287" s="351"/>
      <c r="V287" s="351"/>
      <c r="W287" s="351"/>
      <c r="X287" s="351"/>
      <c r="Y287" s="351"/>
    </row>
    <row r="288" spans="1:25">
      <c r="A288" s="228" t="s">
        <v>659</v>
      </c>
      <c r="B288" s="96" t="s">
        <v>660</v>
      </c>
      <c r="C288" s="98">
        <v>2</v>
      </c>
      <c r="D288" s="98" t="s">
        <v>777</v>
      </c>
      <c r="E288" s="98" t="s">
        <v>778</v>
      </c>
      <c r="F288" s="93">
        <f t="shared" si="4"/>
        <v>1</v>
      </c>
      <c r="G288" s="205"/>
      <c r="H288" s="353"/>
      <c r="I288" s="353"/>
      <c r="L288" s="345" t="s">
        <v>2022</v>
      </c>
      <c r="M288" s="346" t="s">
        <v>660</v>
      </c>
      <c r="N288" s="347">
        <v>112</v>
      </c>
      <c r="O288" s="348"/>
      <c r="P288" s="349">
        <v>2</v>
      </c>
      <c r="Q288" s="353">
        <v>1</v>
      </c>
      <c r="R288" s="353"/>
      <c r="S288" s="351"/>
      <c r="T288" s="351"/>
      <c r="U288" s="351"/>
      <c r="V288" s="351"/>
      <c r="W288" s="351"/>
      <c r="X288" s="351"/>
      <c r="Y288" s="351"/>
    </row>
    <row r="289" spans="1:25">
      <c r="A289" s="228" t="s">
        <v>279</v>
      </c>
      <c r="B289" s="96" t="s">
        <v>280</v>
      </c>
      <c r="C289" s="98">
        <v>2</v>
      </c>
      <c r="D289" s="98" t="s">
        <v>780</v>
      </c>
      <c r="E289" s="98" t="s">
        <v>778</v>
      </c>
      <c r="F289" s="93">
        <f t="shared" si="4"/>
        <v>0</v>
      </c>
      <c r="G289" s="205"/>
      <c r="H289" s="353"/>
      <c r="I289" s="353"/>
      <c r="L289" s="345" t="s">
        <v>1826</v>
      </c>
      <c r="M289" s="346" t="s">
        <v>280</v>
      </c>
      <c r="N289" s="347">
        <v>105</v>
      </c>
      <c r="O289" s="348"/>
      <c r="P289" s="349">
        <v>2</v>
      </c>
      <c r="Q289" s="353"/>
      <c r="R289" s="353">
        <v>2</v>
      </c>
      <c r="S289" s="351"/>
      <c r="T289" s="351"/>
      <c r="U289" s="351"/>
      <c r="V289" s="351"/>
      <c r="W289" s="351"/>
      <c r="X289" s="351"/>
      <c r="Y289" s="351"/>
    </row>
    <row r="290" spans="1:25">
      <c r="A290" s="228" t="s">
        <v>670</v>
      </c>
      <c r="B290" s="96" t="s">
        <v>671</v>
      </c>
      <c r="C290" s="98">
        <v>2</v>
      </c>
      <c r="D290" s="98" t="s">
        <v>777</v>
      </c>
      <c r="E290" s="98" t="s">
        <v>778</v>
      </c>
      <c r="F290" s="93">
        <f t="shared" si="4"/>
        <v>1</v>
      </c>
      <c r="G290" s="205"/>
      <c r="H290" s="353"/>
      <c r="I290" s="353"/>
      <c r="L290" s="345" t="s">
        <v>2028</v>
      </c>
      <c r="M290" s="346" t="s">
        <v>671</v>
      </c>
      <c r="N290" s="347">
        <v>123</v>
      </c>
      <c r="O290" s="348"/>
      <c r="P290" s="349">
        <v>2</v>
      </c>
      <c r="Q290" s="353">
        <v>1</v>
      </c>
      <c r="R290" s="353"/>
      <c r="S290" s="351"/>
      <c r="T290" s="351"/>
      <c r="U290" s="351"/>
      <c r="V290" s="351"/>
      <c r="W290" s="351"/>
      <c r="X290" s="351"/>
      <c r="Y290" s="351"/>
    </row>
    <row r="291" spans="1:25">
      <c r="A291" s="228" t="s">
        <v>663</v>
      </c>
      <c r="B291" s="96" t="s">
        <v>664</v>
      </c>
      <c r="C291" s="98">
        <v>1</v>
      </c>
      <c r="D291" s="98" t="s">
        <v>780</v>
      </c>
      <c r="E291" s="98" t="s">
        <v>778</v>
      </c>
      <c r="F291" s="93">
        <f t="shared" si="4"/>
        <v>0</v>
      </c>
      <c r="G291" s="205"/>
      <c r="H291" s="353"/>
      <c r="I291" s="353"/>
      <c r="L291" s="345" t="s">
        <v>2024</v>
      </c>
      <c r="M291" s="346" t="s">
        <v>664</v>
      </c>
      <c r="N291" s="347">
        <v>123</v>
      </c>
      <c r="O291" s="348">
        <v>1</v>
      </c>
      <c r="P291" s="349"/>
      <c r="Q291" s="353"/>
      <c r="R291" s="353">
        <v>2</v>
      </c>
      <c r="S291" s="351"/>
      <c r="T291" s="351"/>
      <c r="U291" s="351"/>
      <c r="V291" s="351"/>
      <c r="W291" s="351"/>
      <c r="X291" s="351"/>
      <c r="Y291" s="351"/>
    </row>
    <row r="292" spans="1:25">
      <c r="A292" s="228" t="s">
        <v>737</v>
      </c>
      <c r="B292" s="96" t="s">
        <v>738</v>
      </c>
      <c r="C292" s="98">
        <v>1</v>
      </c>
      <c r="D292" s="98" t="s">
        <v>780</v>
      </c>
      <c r="E292" s="98" t="s">
        <v>778</v>
      </c>
      <c r="F292" s="93">
        <f t="shared" si="4"/>
        <v>0</v>
      </c>
      <c r="G292" s="205"/>
      <c r="H292" s="353"/>
      <c r="I292" s="353"/>
      <c r="L292" s="345" t="s">
        <v>2062</v>
      </c>
      <c r="M292" s="346" t="s">
        <v>738</v>
      </c>
      <c r="N292" s="347">
        <v>105</v>
      </c>
      <c r="O292" s="348">
        <v>1</v>
      </c>
      <c r="P292" s="349"/>
      <c r="Q292" s="353"/>
      <c r="R292" s="353">
        <v>2</v>
      </c>
      <c r="S292" s="351"/>
      <c r="T292" s="351"/>
      <c r="U292" s="351"/>
      <c r="V292" s="351"/>
      <c r="W292" s="351"/>
      <c r="X292" s="351"/>
      <c r="Y292" s="351"/>
    </row>
    <row r="293" spans="1:25">
      <c r="A293" s="228" t="s">
        <v>283</v>
      </c>
      <c r="B293" s="96" t="s">
        <v>284</v>
      </c>
      <c r="C293" s="98">
        <v>2</v>
      </c>
      <c r="D293" s="98" t="s">
        <v>780</v>
      </c>
      <c r="E293" s="98" t="s">
        <v>778</v>
      </c>
      <c r="F293" s="93">
        <f t="shared" si="4"/>
        <v>0</v>
      </c>
      <c r="G293" s="205"/>
      <c r="H293" s="353"/>
      <c r="I293" s="353"/>
      <c r="L293" s="345" t="s">
        <v>1828</v>
      </c>
      <c r="M293" s="346" t="s">
        <v>284</v>
      </c>
      <c r="N293" s="347">
        <v>171</v>
      </c>
      <c r="O293" s="348"/>
      <c r="P293" s="349">
        <v>2</v>
      </c>
      <c r="Q293" s="353"/>
      <c r="R293" s="353">
        <v>2</v>
      </c>
      <c r="S293" s="351"/>
      <c r="T293" s="351"/>
      <c r="U293" s="351"/>
      <c r="V293" s="351"/>
      <c r="W293" s="351"/>
      <c r="X293" s="351"/>
      <c r="Y293" s="351"/>
    </row>
    <row r="294" spans="1:25">
      <c r="A294" s="228" t="s">
        <v>222</v>
      </c>
      <c r="B294" s="96" t="s">
        <v>223</v>
      </c>
      <c r="C294" s="98">
        <v>1</v>
      </c>
      <c r="D294" s="98" t="s">
        <v>780</v>
      </c>
      <c r="E294" s="98" t="s">
        <v>778</v>
      </c>
      <c r="F294" s="93">
        <f t="shared" si="4"/>
        <v>0</v>
      </c>
      <c r="G294" s="205"/>
      <c r="H294" s="353"/>
      <c r="I294" s="353"/>
      <c r="L294" s="345" t="s">
        <v>1797</v>
      </c>
      <c r="M294" s="346" t="s">
        <v>223</v>
      </c>
      <c r="N294" s="347">
        <v>112</v>
      </c>
      <c r="O294" s="348">
        <v>1</v>
      </c>
      <c r="P294" s="349"/>
      <c r="Q294" s="353"/>
      <c r="R294" s="353">
        <v>2</v>
      </c>
      <c r="S294" s="351"/>
      <c r="T294" s="351"/>
      <c r="U294" s="351"/>
      <c r="V294" s="351"/>
      <c r="W294" s="351"/>
      <c r="X294" s="351"/>
      <c r="Y294" s="351"/>
    </row>
    <row r="295" spans="1:25">
      <c r="A295" s="228" t="s">
        <v>165</v>
      </c>
      <c r="B295" s="96" t="s">
        <v>166</v>
      </c>
      <c r="C295" s="98">
        <v>2</v>
      </c>
      <c r="D295" s="98" t="s">
        <v>777</v>
      </c>
      <c r="E295" s="98" t="s">
        <v>778</v>
      </c>
      <c r="F295" s="93">
        <f t="shared" si="4"/>
        <v>1</v>
      </c>
      <c r="G295" s="205"/>
      <c r="H295" s="353"/>
      <c r="I295" s="353"/>
      <c r="L295" s="345" t="s">
        <v>1767</v>
      </c>
      <c r="M295" s="346" t="s">
        <v>166</v>
      </c>
      <c r="N295" s="347">
        <v>101</v>
      </c>
      <c r="O295" s="348"/>
      <c r="P295" s="349">
        <v>2</v>
      </c>
      <c r="Q295" s="353">
        <v>1</v>
      </c>
      <c r="R295" s="353"/>
      <c r="S295" s="351"/>
      <c r="T295" s="351"/>
      <c r="U295" s="351"/>
      <c r="V295" s="351"/>
      <c r="W295" s="351"/>
      <c r="X295" s="351"/>
      <c r="Y295" s="351"/>
    </row>
    <row r="296" spans="1:25">
      <c r="A296" s="228" t="s">
        <v>257</v>
      </c>
      <c r="B296" s="96" t="s">
        <v>258</v>
      </c>
      <c r="C296" s="98">
        <v>2</v>
      </c>
      <c r="D296" s="98" t="s">
        <v>780</v>
      </c>
      <c r="E296" s="98" t="s">
        <v>778</v>
      </c>
      <c r="F296" s="93">
        <f t="shared" si="4"/>
        <v>0</v>
      </c>
      <c r="G296" s="205"/>
      <c r="H296" s="353"/>
      <c r="I296" s="353"/>
      <c r="L296" s="345" t="s">
        <v>1815</v>
      </c>
      <c r="M296" s="346" t="s">
        <v>258</v>
      </c>
      <c r="N296" s="347">
        <v>171</v>
      </c>
      <c r="O296" s="348"/>
      <c r="P296" s="349">
        <v>2</v>
      </c>
      <c r="Q296" s="353"/>
      <c r="R296" s="353">
        <v>2</v>
      </c>
      <c r="S296" s="351"/>
      <c r="T296" s="351"/>
      <c r="U296" s="351"/>
      <c r="V296" s="351"/>
      <c r="W296" s="351"/>
      <c r="X296" s="351"/>
      <c r="Y296" s="351"/>
    </row>
    <row r="297" spans="1:25">
      <c r="A297" s="228" t="s">
        <v>625</v>
      </c>
      <c r="B297" s="96" t="s">
        <v>626</v>
      </c>
      <c r="C297" s="98">
        <v>2</v>
      </c>
      <c r="D297" s="98" t="s">
        <v>777</v>
      </c>
      <c r="E297" s="98" t="s">
        <v>778</v>
      </c>
      <c r="F297" s="93">
        <f t="shared" si="4"/>
        <v>1</v>
      </c>
      <c r="G297" s="205"/>
      <c r="H297" s="353"/>
      <c r="I297" s="353"/>
      <c r="L297" s="345" t="s">
        <v>2004</v>
      </c>
      <c r="M297" s="346" t="s">
        <v>626</v>
      </c>
      <c r="N297" s="347">
        <v>101</v>
      </c>
      <c r="O297" s="348"/>
      <c r="P297" s="349">
        <v>2</v>
      </c>
      <c r="Q297" s="353">
        <v>1</v>
      </c>
      <c r="R297" s="353"/>
      <c r="S297" s="351"/>
      <c r="T297" s="351"/>
      <c r="U297" s="351"/>
      <c r="V297" s="351"/>
      <c r="W297" s="351"/>
      <c r="X297" s="351"/>
      <c r="Y297" s="351"/>
    </row>
    <row r="298" spans="1:25">
      <c r="A298" s="228" t="s">
        <v>203</v>
      </c>
      <c r="B298" s="96" t="s">
        <v>204</v>
      </c>
      <c r="C298" s="98">
        <v>1</v>
      </c>
      <c r="D298" s="98" t="s">
        <v>780</v>
      </c>
      <c r="E298" s="98" t="s">
        <v>778</v>
      </c>
      <c r="F298" s="93">
        <f t="shared" si="4"/>
        <v>0</v>
      </c>
      <c r="G298" s="205"/>
      <c r="H298" s="353"/>
      <c r="I298" s="353"/>
      <c r="L298" s="345" t="s">
        <v>1786</v>
      </c>
      <c r="M298" s="346" t="s">
        <v>204</v>
      </c>
      <c r="N298" s="347">
        <v>171</v>
      </c>
      <c r="O298" s="348">
        <v>1</v>
      </c>
      <c r="P298" s="349"/>
      <c r="Q298" s="353"/>
      <c r="R298" s="353">
        <v>2</v>
      </c>
    </row>
    <row r="299" spans="1:25">
      <c r="A299" s="228" t="s">
        <v>616</v>
      </c>
      <c r="B299" s="96" t="s">
        <v>812</v>
      </c>
      <c r="C299" s="98">
        <v>1</v>
      </c>
      <c r="D299" s="98" t="s">
        <v>780</v>
      </c>
      <c r="E299" s="98" t="s">
        <v>778</v>
      </c>
      <c r="F299" s="93">
        <f t="shared" si="4"/>
        <v>0</v>
      </c>
      <c r="G299" s="205"/>
      <c r="H299" s="353"/>
      <c r="I299" s="353"/>
      <c r="L299" s="345" t="s">
        <v>1999</v>
      </c>
      <c r="M299" s="346" t="s">
        <v>1265</v>
      </c>
      <c r="N299" s="347">
        <v>101</v>
      </c>
      <c r="O299" s="348">
        <v>1</v>
      </c>
      <c r="P299" s="349"/>
      <c r="Q299" s="353"/>
      <c r="R299" s="353">
        <v>2</v>
      </c>
    </row>
    <row r="300" spans="1:25">
      <c r="A300" s="228" t="s">
        <v>739</v>
      </c>
      <c r="B300" s="96" t="s">
        <v>817</v>
      </c>
      <c r="C300" s="98">
        <v>1</v>
      </c>
      <c r="D300" s="98" t="s">
        <v>780</v>
      </c>
      <c r="E300" s="98" t="s">
        <v>778</v>
      </c>
      <c r="F300" s="93">
        <f t="shared" si="4"/>
        <v>0</v>
      </c>
      <c r="G300" s="205"/>
      <c r="H300" s="353"/>
      <c r="I300" s="353"/>
      <c r="L300" s="345" t="s">
        <v>2063</v>
      </c>
      <c r="M300" s="346" t="s">
        <v>1265</v>
      </c>
      <c r="N300" s="347">
        <v>105</v>
      </c>
      <c r="O300" s="348">
        <v>1</v>
      </c>
      <c r="P300" s="349"/>
      <c r="Q300" s="353"/>
      <c r="R300" s="353">
        <v>2</v>
      </c>
    </row>
    <row r="301" spans="1:25">
      <c r="A301" s="228" t="s">
        <v>441</v>
      </c>
      <c r="B301" s="96" t="s">
        <v>442</v>
      </c>
      <c r="C301" s="98">
        <v>2</v>
      </c>
      <c r="D301" s="98" t="s">
        <v>777</v>
      </c>
      <c r="E301" s="98" t="s">
        <v>778</v>
      </c>
      <c r="F301" s="93">
        <f t="shared" si="4"/>
        <v>1</v>
      </c>
      <c r="G301" s="205"/>
      <c r="H301" s="355"/>
      <c r="I301" s="353"/>
      <c r="L301" s="345" t="s">
        <v>1909</v>
      </c>
      <c r="M301" s="346" t="s">
        <v>442</v>
      </c>
      <c r="N301" s="347">
        <v>113</v>
      </c>
      <c r="O301" s="348"/>
      <c r="P301" s="349">
        <v>2</v>
      </c>
      <c r="Q301" s="353">
        <v>1</v>
      </c>
      <c r="R301" s="353"/>
    </row>
    <row r="302" spans="1:25">
      <c r="A302" s="228" t="s">
        <v>534</v>
      </c>
      <c r="B302" s="96" t="s">
        <v>535</v>
      </c>
      <c r="C302" s="98">
        <v>1</v>
      </c>
      <c r="D302" s="98" t="s">
        <v>780</v>
      </c>
      <c r="E302" s="98" t="s">
        <v>778</v>
      </c>
      <c r="F302" s="93">
        <f t="shared" si="4"/>
        <v>0</v>
      </c>
      <c r="G302" s="205"/>
      <c r="H302" s="353"/>
      <c r="I302" s="353"/>
      <c r="L302" s="345" t="s">
        <v>1957</v>
      </c>
      <c r="M302" s="346" t="s">
        <v>535</v>
      </c>
      <c r="N302" s="347">
        <v>121</v>
      </c>
      <c r="O302" s="348">
        <v>1</v>
      </c>
      <c r="P302" s="349"/>
      <c r="Q302" s="353"/>
      <c r="R302" s="353">
        <v>2</v>
      </c>
    </row>
    <row r="303" spans="1:25">
      <c r="A303" s="228" t="s">
        <v>415</v>
      </c>
      <c r="B303" s="96" t="s">
        <v>416</v>
      </c>
      <c r="C303" s="98">
        <v>2</v>
      </c>
      <c r="D303" s="98" t="s">
        <v>780</v>
      </c>
      <c r="E303" s="98" t="s">
        <v>778</v>
      </c>
      <c r="F303" s="93">
        <f t="shared" si="4"/>
        <v>0</v>
      </c>
      <c r="G303" s="205"/>
      <c r="H303" s="353"/>
      <c r="I303" s="353"/>
      <c r="L303" s="345" t="s">
        <v>1896</v>
      </c>
      <c r="M303" s="346" t="s">
        <v>416</v>
      </c>
      <c r="N303" s="347">
        <v>112</v>
      </c>
      <c r="O303" s="348"/>
      <c r="P303" s="349">
        <v>2</v>
      </c>
      <c r="Q303" s="353"/>
      <c r="R303" s="353">
        <v>2</v>
      </c>
    </row>
    <row r="304" spans="1:25">
      <c r="A304" s="228" t="s">
        <v>455</v>
      </c>
      <c r="B304" s="96" t="s">
        <v>456</v>
      </c>
      <c r="C304" s="98">
        <v>2</v>
      </c>
      <c r="D304" s="98" t="s">
        <v>777</v>
      </c>
      <c r="E304" s="98" t="s">
        <v>778</v>
      </c>
      <c r="F304" s="93">
        <f t="shared" si="4"/>
        <v>1</v>
      </c>
      <c r="G304" s="205"/>
      <c r="H304" s="353"/>
      <c r="I304" s="353"/>
      <c r="L304" s="345" t="s">
        <v>1916</v>
      </c>
      <c r="M304" s="346" t="s">
        <v>456</v>
      </c>
      <c r="N304" s="347">
        <v>101</v>
      </c>
      <c r="O304" s="348"/>
      <c r="P304" s="349">
        <v>2</v>
      </c>
      <c r="Q304" s="353">
        <v>1</v>
      </c>
      <c r="R304" s="353"/>
    </row>
    <row r="305" spans="1:18">
      <c r="A305" s="228" t="s">
        <v>498</v>
      </c>
      <c r="B305" s="96" t="s">
        <v>499</v>
      </c>
      <c r="C305" s="98">
        <v>2</v>
      </c>
      <c r="D305" s="98" t="s">
        <v>777</v>
      </c>
      <c r="E305" s="98" t="s">
        <v>778</v>
      </c>
      <c r="F305" s="93">
        <f t="shared" si="4"/>
        <v>1</v>
      </c>
      <c r="G305" s="205"/>
      <c r="H305" s="353"/>
      <c r="I305" s="353"/>
      <c r="L305" s="345" t="s">
        <v>1939</v>
      </c>
      <c r="M305" s="346" t="s">
        <v>499</v>
      </c>
      <c r="N305" s="347">
        <v>113</v>
      </c>
      <c r="O305" s="348"/>
      <c r="P305" s="349">
        <v>2</v>
      </c>
      <c r="Q305" s="353">
        <v>1</v>
      </c>
      <c r="R305" s="353"/>
    </row>
    <row r="306" spans="1:18">
      <c r="A306" s="236" t="s">
        <v>1687</v>
      </c>
      <c r="B306" s="230" t="s">
        <v>1742</v>
      </c>
      <c r="C306" s="98">
        <v>1</v>
      </c>
      <c r="D306" s="98" t="s">
        <v>780</v>
      </c>
      <c r="E306" s="98" t="s">
        <v>778</v>
      </c>
      <c r="F306" s="93">
        <f t="shared" si="4"/>
        <v>0</v>
      </c>
      <c r="G306" s="205"/>
      <c r="H306" s="353"/>
      <c r="I306" s="353"/>
      <c r="L306" s="236" t="s">
        <v>1687</v>
      </c>
      <c r="M306" s="230" t="s">
        <v>1742</v>
      </c>
      <c r="N306" s="347"/>
      <c r="O306" s="348"/>
      <c r="P306" s="349"/>
      <c r="Q306" s="353"/>
      <c r="R306" s="353"/>
    </row>
    <row r="307" spans="1:18">
      <c r="A307" s="228" t="s">
        <v>295</v>
      </c>
      <c r="B307" s="96" t="s">
        <v>296</v>
      </c>
      <c r="C307" s="98">
        <v>2</v>
      </c>
      <c r="D307" s="98" t="s">
        <v>777</v>
      </c>
      <c r="E307" s="98" t="s">
        <v>778</v>
      </c>
      <c r="F307" s="93">
        <f t="shared" si="4"/>
        <v>1</v>
      </c>
      <c r="G307" s="205"/>
      <c r="H307" s="353"/>
      <c r="I307" s="353"/>
      <c r="L307" s="345" t="s">
        <v>1834</v>
      </c>
      <c r="M307" s="346" t="s">
        <v>296</v>
      </c>
      <c r="N307" s="347">
        <v>171</v>
      </c>
      <c r="O307" s="348"/>
      <c r="P307" s="349">
        <v>2</v>
      </c>
      <c r="Q307" s="353">
        <v>1</v>
      </c>
      <c r="R307" s="353"/>
    </row>
    <row r="308" spans="1:18">
      <c r="A308" s="228" t="s">
        <v>429</v>
      </c>
      <c r="B308" s="96" t="s">
        <v>430</v>
      </c>
      <c r="C308" s="98">
        <v>2</v>
      </c>
      <c r="D308" s="98" t="s">
        <v>777</v>
      </c>
      <c r="E308" s="98" t="s">
        <v>778</v>
      </c>
      <c r="F308" s="93">
        <f t="shared" si="4"/>
        <v>1</v>
      </c>
      <c r="G308" s="205"/>
      <c r="H308" s="353"/>
      <c r="I308" s="353"/>
      <c r="L308" s="345" t="s">
        <v>1903</v>
      </c>
      <c r="M308" s="346" t="s">
        <v>430</v>
      </c>
      <c r="N308" s="347">
        <v>113</v>
      </c>
      <c r="O308" s="348"/>
      <c r="P308" s="349">
        <v>2</v>
      </c>
      <c r="Q308" s="353">
        <v>1</v>
      </c>
      <c r="R308" s="353"/>
    </row>
    <row r="309" spans="1:18">
      <c r="A309" s="228" t="s">
        <v>319</v>
      </c>
      <c r="B309" s="96" t="s">
        <v>320</v>
      </c>
      <c r="C309" s="98">
        <v>2</v>
      </c>
      <c r="D309" s="98" t="s">
        <v>777</v>
      </c>
      <c r="E309" s="98" t="s">
        <v>778</v>
      </c>
      <c r="F309" s="93">
        <f t="shared" si="4"/>
        <v>1</v>
      </c>
      <c r="G309" s="205"/>
      <c r="H309" s="353"/>
      <c r="I309" s="353"/>
      <c r="L309" s="345" t="s">
        <v>1846</v>
      </c>
      <c r="M309" s="346" t="s">
        <v>320</v>
      </c>
      <c r="N309" s="347">
        <v>113</v>
      </c>
      <c r="O309" s="348"/>
      <c r="P309" s="349">
        <v>2</v>
      </c>
      <c r="Q309" s="353">
        <v>1</v>
      </c>
      <c r="R309" s="353"/>
    </row>
    <row r="310" spans="1:18">
      <c r="A310" s="228" t="s">
        <v>399</v>
      </c>
      <c r="B310" s="96" t="s">
        <v>400</v>
      </c>
      <c r="C310" s="98">
        <v>2</v>
      </c>
      <c r="D310" s="98" t="s">
        <v>777</v>
      </c>
      <c r="E310" s="98" t="s">
        <v>778</v>
      </c>
      <c r="F310" s="93">
        <f t="shared" si="4"/>
        <v>1</v>
      </c>
      <c r="G310" s="205"/>
      <c r="H310" s="353"/>
      <c r="I310" s="353"/>
      <c r="L310" s="345" t="s">
        <v>1888</v>
      </c>
      <c r="M310" s="346" t="s">
        <v>400</v>
      </c>
      <c r="N310" s="347">
        <v>112</v>
      </c>
      <c r="O310" s="348"/>
      <c r="P310" s="349">
        <v>2</v>
      </c>
      <c r="Q310" s="353">
        <v>1</v>
      </c>
      <c r="R310" s="353"/>
    </row>
    <row r="311" spans="1:18">
      <c r="A311" s="228" t="s">
        <v>243</v>
      </c>
      <c r="B311" s="96" t="s">
        <v>244</v>
      </c>
      <c r="C311" s="98">
        <v>1</v>
      </c>
      <c r="D311" s="98" t="s">
        <v>780</v>
      </c>
      <c r="E311" s="98" t="s">
        <v>778</v>
      </c>
      <c r="F311" s="93">
        <f t="shared" si="4"/>
        <v>0</v>
      </c>
      <c r="G311" s="205"/>
      <c r="H311" s="353"/>
      <c r="I311" s="353"/>
      <c r="L311" s="345" t="s">
        <v>1808</v>
      </c>
      <c r="M311" s="346" t="s">
        <v>244</v>
      </c>
      <c r="N311" s="347">
        <v>112</v>
      </c>
      <c r="O311" s="348">
        <v>1</v>
      </c>
      <c r="P311" s="349"/>
      <c r="Q311" s="353"/>
      <c r="R311" s="353">
        <v>2</v>
      </c>
    </row>
    <row r="312" spans="1:18">
      <c r="A312" s="229" t="s">
        <v>1688</v>
      </c>
      <c r="B312" s="230" t="s">
        <v>1741</v>
      </c>
      <c r="C312" s="98">
        <v>1</v>
      </c>
      <c r="D312" s="98" t="s">
        <v>780</v>
      </c>
      <c r="E312" s="98" t="s">
        <v>778</v>
      </c>
      <c r="F312" s="93">
        <f t="shared" si="4"/>
        <v>0</v>
      </c>
      <c r="G312" s="205"/>
      <c r="H312" s="353"/>
      <c r="I312" s="353"/>
      <c r="L312" s="229" t="s">
        <v>1688</v>
      </c>
      <c r="M312" s="230" t="s">
        <v>1741</v>
      </c>
      <c r="N312" s="347"/>
      <c r="O312" s="348"/>
      <c r="P312" s="349"/>
      <c r="Q312" s="353"/>
      <c r="R312" s="353"/>
    </row>
    <row r="313" spans="1:18">
      <c r="A313" s="228" t="s">
        <v>718</v>
      </c>
      <c r="B313" s="96" t="s">
        <v>719</v>
      </c>
      <c r="C313" s="98">
        <v>1</v>
      </c>
      <c r="D313" s="98" t="s">
        <v>780</v>
      </c>
      <c r="E313" s="98" t="s">
        <v>778</v>
      </c>
      <c r="F313" s="93">
        <f t="shared" si="4"/>
        <v>0</v>
      </c>
      <c r="H313" s="353"/>
      <c r="I313" s="353"/>
      <c r="L313" s="345" t="s">
        <v>2052</v>
      </c>
      <c r="M313" s="346" t="s">
        <v>719</v>
      </c>
      <c r="N313" s="347">
        <v>105</v>
      </c>
      <c r="O313" s="348">
        <v>1</v>
      </c>
      <c r="P313" s="349"/>
      <c r="Q313" s="353"/>
      <c r="R313" s="353">
        <v>2</v>
      </c>
    </row>
    <row r="314" spans="1:18">
      <c r="A314" s="228" t="s">
        <v>643</v>
      </c>
      <c r="B314" s="96" t="s">
        <v>644</v>
      </c>
      <c r="C314" s="98">
        <v>1</v>
      </c>
      <c r="D314" s="98" t="s">
        <v>780</v>
      </c>
      <c r="E314" s="98" t="s">
        <v>778</v>
      </c>
      <c r="F314" s="93">
        <f t="shared" si="4"/>
        <v>0</v>
      </c>
      <c r="H314" s="353"/>
      <c r="I314" s="353"/>
      <c r="L314" s="345" t="s">
        <v>2014</v>
      </c>
      <c r="M314" s="346" t="s">
        <v>644</v>
      </c>
      <c r="N314" s="347">
        <v>113</v>
      </c>
      <c r="O314" s="348">
        <v>1</v>
      </c>
      <c r="P314" s="349"/>
      <c r="Q314" s="353"/>
      <c r="R314" s="353">
        <v>2</v>
      </c>
    </row>
    <row r="315" spans="1:18">
      <c r="A315" s="228" t="s">
        <v>735</v>
      </c>
      <c r="B315" s="233" t="s">
        <v>736</v>
      </c>
      <c r="C315" s="98">
        <v>2</v>
      </c>
      <c r="D315" s="98" t="s">
        <v>780</v>
      </c>
      <c r="E315" s="98" t="s">
        <v>778</v>
      </c>
      <c r="F315" s="93">
        <f t="shared" si="4"/>
        <v>0</v>
      </c>
      <c r="H315" s="353"/>
      <c r="I315" s="353"/>
      <c r="L315" s="345" t="s">
        <v>2061</v>
      </c>
      <c r="M315" s="346" t="s">
        <v>736</v>
      </c>
      <c r="N315" s="347">
        <v>105</v>
      </c>
      <c r="O315" s="348"/>
      <c r="P315" s="349">
        <v>2</v>
      </c>
      <c r="Q315" s="353"/>
      <c r="R315" s="353">
        <v>2</v>
      </c>
    </row>
    <row r="316" spans="1:18">
      <c r="A316" s="95"/>
      <c r="L316" s="351"/>
      <c r="M316" s="351"/>
      <c r="N316" s="351"/>
      <c r="O316" s="351"/>
      <c r="P316" s="351"/>
      <c r="Q316" s="356"/>
      <c r="R316" s="356"/>
    </row>
    <row r="317" spans="1:18">
      <c r="F317" s="119"/>
    </row>
    <row r="347" spans="7:8">
      <c r="G347" s="205"/>
      <c r="H347" s="77"/>
    </row>
    <row r="348" spans="7:8">
      <c r="G348" s="205"/>
      <c r="H348" s="77"/>
    </row>
    <row r="349" spans="7:8">
      <c r="G349" s="205"/>
      <c r="H349" s="77"/>
    </row>
    <row r="350" spans="7:8">
      <c r="G350" s="205"/>
      <c r="H350" s="77"/>
    </row>
    <row r="351" spans="7:8">
      <c r="G351" s="205"/>
      <c r="H351" s="77"/>
    </row>
    <row r="352" spans="7:8">
      <c r="G352" s="205"/>
      <c r="H352" s="77"/>
    </row>
    <row r="353" spans="7:8">
      <c r="G353" s="205"/>
      <c r="H353" s="77"/>
    </row>
    <row r="354" spans="7:8">
      <c r="G354" s="205"/>
      <c r="H354" s="77"/>
    </row>
    <row r="355" spans="7:8">
      <c r="G355" s="205"/>
      <c r="H355" s="77"/>
    </row>
    <row r="356" spans="7:8">
      <c r="G356" s="205"/>
      <c r="H356" s="77"/>
    </row>
  </sheetData>
  <sortState ref="L2:R296">
    <sortCondition ref="M2:M29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57"/>
  <sheetViews>
    <sheetView tabSelected="1" zoomScale="84" zoomScaleNormal="84" workbookViewId="0">
      <pane ySplit="4" topLeftCell="A5" activePane="bottomLeft" state="frozen"/>
      <selection pane="bottomLeft" activeCell="A2" sqref="A2:B2"/>
    </sheetView>
  </sheetViews>
  <sheetFormatPr defaultRowHeight="15"/>
  <cols>
    <col min="1" max="1" width="47.5703125" bestFit="1" customWidth="1"/>
    <col min="2" max="2" width="18.140625" bestFit="1" customWidth="1"/>
    <col min="3" max="3" width="15.85546875" customWidth="1"/>
    <col min="4" max="4" width="15.42578125" bestFit="1" customWidth="1"/>
    <col min="5" max="5" width="16.42578125" bestFit="1" customWidth="1"/>
    <col min="6" max="6" width="15.42578125" bestFit="1" customWidth="1"/>
    <col min="7" max="7" width="11.7109375" bestFit="1" customWidth="1"/>
    <col min="8" max="11" width="2.28515625" customWidth="1"/>
    <col min="12" max="15" width="15.28515625" customWidth="1"/>
    <col min="16" max="16" width="2" customWidth="1"/>
    <col min="17" max="17" width="0.42578125" customWidth="1"/>
    <col min="18" max="18" width="24.42578125" customWidth="1"/>
    <col min="19" max="19" width="46.85546875" customWidth="1"/>
    <col min="20" max="20" width="5.42578125" customWidth="1"/>
    <col min="21" max="21" width="7" customWidth="1"/>
    <col min="22" max="22" width="4.5703125" customWidth="1"/>
    <col min="23" max="25" width="3.85546875" customWidth="1"/>
  </cols>
  <sheetData>
    <row r="1" spans="1:19" ht="18.75">
      <c r="A1" s="335" t="s">
        <v>80</v>
      </c>
      <c r="B1" s="334" t="str">
        <f>INDEX(CCDDD!$A$2:$B$318,MATCH(A2,CCDDD!$B$2:$B$318,0),1)</f>
        <v>14005</v>
      </c>
      <c r="C1" s="154"/>
      <c r="D1" s="154"/>
      <c r="E1" s="154"/>
      <c r="F1" s="154"/>
      <c r="G1" s="154"/>
      <c r="L1" s="407" t="s">
        <v>1696</v>
      </c>
      <c r="M1" s="408"/>
      <c r="N1" s="408"/>
      <c r="O1" s="409"/>
    </row>
    <row r="2" spans="1:19" ht="26.25" customHeight="1" thickBot="1">
      <c r="A2" s="404" t="s">
        <v>300</v>
      </c>
      <c r="B2" s="404"/>
      <c r="L2" s="410" t="s">
        <v>1748</v>
      </c>
      <c r="M2" s="411"/>
      <c r="N2" s="411"/>
      <c r="O2" s="412"/>
    </row>
    <row r="3" spans="1:19" ht="19.5" thickBot="1">
      <c r="A3" s="154"/>
      <c r="B3" s="154"/>
      <c r="C3" s="154"/>
      <c r="D3" s="154"/>
      <c r="E3" s="154"/>
      <c r="F3" s="154"/>
      <c r="G3" s="154"/>
      <c r="L3" s="405" t="s">
        <v>1692</v>
      </c>
      <c r="M3" s="406"/>
      <c r="N3" s="241" t="s">
        <v>73</v>
      </c>
      <c r="O3" s="413" t="s">
        <v>1730</v>
      </c>
    </row>
    <row r="4" spans="1:19" ht="30.75" customHeight="1" thickBot="1">
      <c r="A4" s="343" t="s">
        <v>1748</v>
      </c>
      <c r="B4" s="342" t="s">
        <v>3</v>
      </c>
      <c r="C4" s="342" t="s">
        <v>6</v>
      </c>
      <c r="D4" s="342" t="s">
        <v>5</v>
      </c>
      <c r="E4" s="342" t="s">
        <v>4</v>
      </c>
      <c r="F4" s="342" t="s">
        <v>7</v>
      </c>
      <c r="G4" s="342" t="s">
        <v>8</v>
      </c>
      <c r="L4" s="340">
        <v>10</v>
      </c>
      <c r="M4" s="341">
        <v>11</v>
      </c>
      <c r="N4" s="242" t="s">
        <v>3</v>
      </c>
      <c r="O4" s="414"/>
    </row>
    <row r="5" spans="1:19" ht="15.75">
      <c r="A5" s="154" t="s">
        <v>1693</v>
      </c>
      <c r="B5" s="155">
        <v>0</v>
      </c>
      <c r="C5" s="155">
        <v>0</v>
      </c>
      <c r="D5" s="155">
        <v>0</v>
      </c>
      <c r="E5" s="155">
        <v>0</v>
      </c>
      <c r="F5" s="155">
        <v>0</v>
      </c>
      <c r="G5" s="155">
        <v>0</v>
      </c>
      <c r="L5" s="243"/>
      <c r="M5" s="244"/>
      <c r="N5" s="244"/>
      <c r="O5" s="245"/>
    </row>
    <row r="6" spans="1:19" ht="15.75" customHeight="1">
      <c r="A6" s="154" t="s">
        <v>1248</v>
      </c>
      <c r="B6" s="155">
        <v>0</v>
      </c>
      <c r="C6" s="155">
        <v>0</v>
      </c>
      <c r="D6" s="155">
        <v>0</v>
      </c>
      <c r="E6" s="155">
        <v>0</v>
      </c>
      <c r="F6" s="155">
        <v>0</v>
      </c>
      <c r="G6" s="155">
        <v>0</v>
      </c>
      <c r="L6" s="246"/>
      <c r="M6" s="247"/>
      <c r="N6" s="247"/>
      <c r="O6" s="248"/>
      <c r="R6" s="398" t="s">
        <v>1758</v>
      </c>
      <c r="S6" s="399"/>
    </row>
    <row r="7" spans="1:19" ht="15.75" customHeight="1">
      <c r="A7" s="154" t="s">
        <v>1</v>
      </c>
      <c r="B7" s="156">
        <f>B5-B6</f>
        <v>0</v>
      </c>
      <c r="C7" s="156">
        <f>C5-C6</f>
        <v>0</v>
      </c>
      <c r="D7" s="156">
        <f>D5-D6</f>
        <v>0</v>
      </c>
      <c r="E7" s="156">
        <f t="shared" ref="E7:G7" si="0">E5-E6</f>
        <v>0</v>
      </c>
      <c r="F7" s="156">
        <f t="shared" si="0"/>
        <v>0</v>
      </c>
      <c r="G7" s="156">
        <f t="shared" si="0"/>
        <v>0</v>
      </c>
      <c r="L7" s="249"/>
      <c r="M7" s="250"/>
      <c r="N7" s="247"/>
      <c r="O7" s="248"/>
      <c r="R7" s="400"/>
      <c r="S7" s="401"/>
    </row>
    <row r="8" spans="1:19" ht="15.75" customHeight="1">
      <c r="A8" s="154"/>
      <c r="B8" s="157"/>
      <c r="C8" s="154"/>
      <c r="D8" s="154"/>
      <c r="E8" s="154"/>
      <c r="F8" s="154"/>
      <c r="G8" s="154"/>
      <c r="L8" s="246"/>
      <c r="M8" s="247"/>
      <c r="N8" s="247"/>
      <c r="O8" s="248"/>
      <c r="R8" s="400"/>
      <c r="S8" s="401"/>
    </row>
    <row r="9" spans="1:19" ht="15.75" customHeight="1">
      <c r="A9" s="154" t="s">
        <v>2</v>
      </c>
      <c r="B9" s="158">
        <f>B10+B11</f>
        <v>0</v>
      </c>
      <c r="C9" s="158">
        <f>C10+C11</f>
        <v>0</v>
      </c>
      <c r="D9" s="158">
        <f>D10+D11</f>
        <v>0</v>
      </c>
      <c r="E9" s="158">
        <f t="shared" ref="E9:G9" si="1">E10+E11</f>
        <v>0</v>
      </c>
      <c r="F9" s="158">
        <f t="shared" si="1"/>
        <v>0</v>
      </c>
      <c r="G9" s="158">
        <f t="shared" si="1"/>
        <v>0</v>
      </c>
      <c r="L9" s="251">
        <f t="shared" ref="L9:N9" si="2">L10+L11</f>
        <v>0</v>
      </c>
      <c r="M9" s="252">
        <f t="shared" si="2"/>
        <v>0</v>
      </c>
      <c r="N9" s="253">
        <f t="shared" si="2"/>
        <v>0</v>
      </c>
      <c r="O9" s="284">
        <f>+B9-N9</f>
        <v>0</v>
      </c>
      <c r="R9" s="400"/>
      <c r="S9" s="401"/>
    </row>
    <row r="10" spans="1:19" ht="15.75" customHeight="1">
      <c r="A10" s="159" t="s">
        <v>9</v>
      </c>
      <c r="B10" s="158">
        <f>'GL 840 Nonspendable'!B9</f>
        <v>0</v>
      </c>
      <c r="C10" s="158">
        <f>'GL 840 Nonspendable'!B16</f>
        <v>0</v>
      </c>
      <c r="D10" s="157"/>
      <c r="E10" s="157"/>
      <c r="F10" s="157"/>
      <c r="G10" s="157"/>
      <c r="L10" s="254">
        <v>0</v>
      </c>
      <c r="M10" s="255">
        <v>0</v>
      </c>
      <c r="N10" s="253">
        <f>+L10+M10</f>
        <v>0</v>
      </c>
      <c r="O10" s="284">
        <f>+B10-N10</f>
        <v>0</v>
      </c>
      <c r="R10" s="400"/>
      <c r="S10" s="401"/>
    </row>
    <row r="11" spans="1:19" ht="15.75" customHeight="1">
      <c r="A11" s="159" t="s">
        <v>10</v>
      </c>
      <c r="B11" s="160"/>
      <c r="C11" s="160"/>
      <c r="D11" s="160"/>
      <c r="E11" s="160"/>
      <c r="F11" s="160"/>
      <c r="G11" s="161">
        <f>'GL 855 Nonspendable'!B7</f>
        <v>0</v>
      </c>
      <c r="L11" s="246"/>
      <c r="M11" s="247"/>
      <c r="N11" s="247"/>
      <c r="O11" s="248"/>
      <c r="R11" s="400"/>
      <c r="S11" s="401"/>
    </row>
    <row r="12" spans="1:19" ht="15.75" customHeight="1">
      <c r="A12" s="154"/>
      <c r="B12" s="157"/>
      <c r="C12" s="157"/>
      <c r="D12" s="157"/>
      <c r="E12" s="157"/>
      <c r="F12" s="157"/>
      <c r="G12" s="157"/>
      <c r="L12" s="246"/>
      <c r="M12" s="247"/>
      <c r="N12" s="247"/>
      <c r="O12" s="248"/>
      <c r="R12" s="400"/>
      <c r="S12" s="401"/>
    </row>
    <row r="13" spans="1:19" ht="15.75" customHeight="1">
      <c r="A13" s="154" t="s">
        <v>11</v>
      </c>
      <c r="B13" s="158">
        <f>SUM(B14:B30)</f>
        <v>1201671.453</v>
      </c>
      <c r="C13" s="158">
        <f>SUM(C14:C30)</f>
        <v>0</v>
      </c>
      <c r="D13" s="158">
        <f>SUM(D15:D30)</f>
        <v>0</v>
      </c>
      <c r="E13" s="158">
        <f>SUM(E14:E30)</f>
        <v>0</v>
      </c>
      <c r="F13" s="158">
        <f>SUM(F16,F20:F21,F23)</f>
        <v>0</v>
      </c>
      <c r="G13" s="158">
        <f>SUM(G14:G30)</f>
        <v>0</v>
      </c>
      <c r="L13" s="251">
        <f t="shared" ref="L13:N13" si="3">SUM(L14:L30)</f>
        <v>0</v>
      </c>
      <c r="M13" s="252">
        <f t="shared" si="3"/>
        <v>0</v>
      </c>
      <c r="N13" s="253">
        <f t="shared" si="3"/>
        <v>0</v>
      </c>
      <c r="O13" s="284">
        <f>+B13-N13</f>
        <v>1201671.453</v>
      </c>
      <c r="R13" s="400"/>
      <c r="S13" s="401"/>
    </row>
    <row r="14" spans="1:19" ht="15.75" customHeight="1">
      <c r="A14" s="159" t="s">
        <v>12</v>
      </c>
      <c r="B14" s="158">
        <f>'GL 810 Restricted'!B5</f>
        <v>0</v>
      </c>
      <c r="C14" s="158">
        <f>'GL 810 Restricted'!E5</f>
        <v>0</v>
      </c>
      <c r="D14" s="154"/>
      <c r="E14" s="158">
        <f>'GL 810 Restricted'!C5</f>
        <v>0</v>
      </c>
      <c r="F14" s="154"/>
      <c r="G14" s="158">
        <f>'GL 810 Restricted'!G5</f>
        <v>0</v>
      </c>
      <c r="L14" s="254">
        <v>0</v>
      </c>
      <c r="M14" s="255">
        <v>0</v>
      </c>
      <c r="N14" s="253">
        <f t="shared" ref="N14:N15" si="4">+L14+M14</f>
        <v>0</v>
      </c>
      <c r="O14" s="284">
        <f t="shared" ref="O14:O15" si="5">+B14-N14</f>
        <v>0</v>
      </c>
      <c r="R14" s="400"/>
      <c r="S14" s="401"/>
    </row>
    <row r="15" spans="1:19" ht="15.75" customHeight="1">
      <c r="A15" s="159" t="s">
        <v>13</v>
      </c>
      <c r="B15" s="158">
        <f>IF(VLOOKUP(B1,CCDDD!$A$2:$D$318,4,FALSE)="Cash",'GL 815 Restricted'!$C$14,0)</f>
        <v>0</v>
      </c>
      <c r="C15" s="157"/>
      <c r="D15" s="157"/>
      <c r="E15" s="157"/>
      <c r="F15" s="157"/>
      <c r="G15" s="157"/>
      <c r="L15" s="254">
        <v>0</v>
      </c>
      <c r="M15" s="255">
        <v>0</v>
      </c>
      <c r="N15" s="253">
        <f t="shared" si="4"/>
        <v>0</v>
      </c>
      <c r="O15" s="284">
        <f t="shared" si="5"/>
        <v>0</v>
      </c>
      <c r="R15" s="400"/>
      <c r="S15" s="401"/>
    </row>
    <row r="16" spans="1:19" ht="15.75" customHeight="1">
      <c r="A16" s="162" t="s">
        <v>1186</v>
      </c>
      <c r="B16" s="163"/>
      <c r="C16" s="164">
        <f>C7-C9-C14-C23</f>
        <v>0</v>
      </c>
      <c r="D16" s="157"/>
      <c r="E16" s="157"/>
      <c r="F16" s="165">
        <f>IF(F7-F9-F32-SUM(F20:F23)&gt;=0,F7-F9-F32-SUM(F20:F23),0)</f>
        <v>0</v>
      </c>
      <c r="G16" s="157"/>
      <c r="L16" s="246"/>
      <c r="M16" s="247"/>
      <c r="N16" s="247"/>
      <c r="O16" s="248"/>
      <c r="R16" s="400"/>
      <c r="S16" s="401"/>
    </row>
    <row r="17" spans="1:19" ht="15.75">
      <c r="A17" s="159" t="s">
        <v>14</v>
      </c>
      <c r="B17" s="158">
        <f>'GL 821 Restricted'!C184</f>
        <v>1201671.453</v>
      </c>
      <c r="C17" s="157"/>
      <c r="D17" s="157"/>
      <c r="E17" s="157"/>
      <c r="F17" s="157"/>
      <c r="G17" s="157"/>
      <c r="L17" s="254">
        <v>0</v>
      </c>
      <c r="M17" s="255">
        <v>0</v>
      </c>
      <c r="N17" s="253">
        <f t="shared" ref="N17:N23" si="6">+L17+M17</f>
        <v>0</v>
      </c>
      <c r="O17" s="284">
        <f t="shared" ref="O17:O23" si="7">+B17-N17</f>
        <v>1201671.453</v>
      </c>
      <c r="R17" s="400"/>
      <c r="S17" s="401"/>
    </row>
    <row r="18" spans="1:19" ht="15.75">
      <c r="A18" s="159" t="s">
        <v>1130</v>
      </c>
      <c r="B18" s="158">
        <f>'GL 825 Restricted'!C39</f>
        <v>0</v>
      </c>
      <c r="C18" s="157"/>
      <c r="D18" s="157"/>
      <c r="E18" s="158">
        <f>'GL 825 Restricted'!C45</f>
        <v>0</v>
      </c>
      <c r="F18" s="157"/>
      <c r="G18" s="157"/>
      <c r="L18" s="254">
        <v>0</v>
      </c>
      <c r="M18" s="255">
        <v>0</v>
      </c>
      <c r="N18" s="253">
        <f t="shared" si="6"/>
        <v>0</v>
      </c>
      <c r="O18" s="284">
        <f t="shared" si="7"/>
        <v>0</v>
      </c>
      <c r="R18" s="400"/>
      <c r="S18" s="401"/>
    </row>
    <row r="19" spans="1:19" ht="15.75">
      <c r="A19" s="159" t="s">
        <v>1179</v>
      </c>
      <c r="B19" s="158">
        <f>IF('GL 828 Restricted'!B37&gt;0,'GL 828 Restricted'!B37,0)</f>
        <v>0</v>
      </c>
      <c r="C19" s="157"/>
      <c r="D19" s="157"/>
      <c r="E19" s="157"/>
      <c r="F19" s="157"/>
      <c r="G19" s="157"/>
      <c r="L19" s="254">
        <v>0</v>
      </c>
      <c r="M19" s="255">
        <v>0</v>
      </c>
      <c r="N19" s="253">
        <f t="shared" si="6"/>
        <v>0</v>
      </c>
      <c r="O19" s="284">
        <f t="shared" si="7"/>
        <v>0</v>
      </c>
      <c r="R19" s="400"/>
      <c r="S19" s="401"/>
    </row>
    <row r="20" spans="1:19" ht="15.75">
      <c r="A20" s="159" t="s">
        <v>15</v>
      </c>
      <c r="B20" s="158">
        <f>'GL 830 Restricted'!B6</f>
        <v>0</v>
      </c>
      <c r="C20" s="157"/>
      <c r="D20" s="164">
        <f>D7-D21-D42</f>
        <v>0</v>
      </c>
      <c r="E20" s="158">
        <f>'GL 830 Restricted'!C6</f>
        <v>0</v>
      </c>
      <c r="F20" s="158">
        <f>'GL 830 Restricted'!D6</f>
        <v>0</v>
      </c>
      <c r="G20" s="157"/>
      <c r="L20" s="254">
        <v>0</v>
      </c>
      <c r="M20" s="255">
        <v>0</v>
      </c>
      <c r="N20" s="253">
        <f t="shared" si="6"/>
        <v>0</v>
      </c>
      <c r="O20" s="284">
        <f t="shared" si="7"/>
        <v>0</v>
      </c>
      <c r="R20" s="400"/>
      <c r="S20" s="401"/>
    </row>
    <row r="21" spans="1:19" ht="15.75">
      <c r="A21" s="159" t="s">
        <v>108</v>
      </c>
      <c r="B21" s="158">
        <f>'GL 835 Restricted'!B6</f>
        <v>0</v>
      </c>
      <c r="C21" s="157"/>
      <c r="D21" s="158">
        <f>'GL 835 Restricted'!C6</f>
        <v>0</v>
      </c>
      <c r="E21" s="158">
        <f>'GL 835 Restricted'!D6</f>
        <v>0</v>
      </c>
      <c r="F21" s="158">
        <f>'GL 835 Restricted'!E6</f>
        <v>0</v>
      </c>
      <c r="G21" s="157"/>
      <c r="L21" s="254">
        <v>0</v>
      </c>
      <c r="M21" s="255">
        <v>0</v>
      </c>
      <c r="N21" s="253">
        <f t="shared" si="6"/>
        <v>0</v>
      </c>
      <c r="O21" s="284">
        <f t="shared" si="7"/>
        <v>0</v>
      </c>
      <c r="R21" s="400"/>
      <c r="S21" s="401"/>
    </row>
    <row r="22" spans="1:19" ht="15.75">
      <c r="A22" s="166" t="s">
        <v>16</v>
      </c>
      <c r="B22" s="158">
        <f>'GL 845 Restricted'!B7</f>
        <v>0</v>
      </c>
      <c r="C22" s="157"/>
      <c r="D22" s="157"/>
      <c r="E22" s="157"/>
      <c r="F22" s="157"/>
      <c r="G22" s="157"/>
      <c r="L22" s="254">
        <v>0</v>
      </c>
      <c r="M22" s="255">
        <v>0</v>
      </c>
      <c r="N22" s="253">
        <f t="shared" si="6"/>
        <v>0</v>
      </c>
      <c r="O22" s="284">
        <f t="shared" si="7"/>
        <v>0</v>
      </c>
      <c r="R22" s="402"/>
      <c r="S22" s="403"/>
    </row>
    <row r="23" spans="1:19" ht="15.75">
      <c r="A23" s="159" t="s">
        <v>17</v>
      </c>
      <c r="B23" s="158">
        <f>'GL 850 Restricted'!B8</f>
        <v>0</v>
      </c>
      <c r="C23" s="158">
        <f>'GL 850 Restricted'!C8</f>
        <v>0</v>
      </c>
      <c r="D23" s="157"/>
      <c r="E23" s="158">
        <f>'GL 850 Restricted'!D8</f>
        <v>0</v>
      </c>
      <c r="F23" s="158">
        <f>'GL 850 Restricted'!E8</f>
        <v>0</v>
      </c>
      <c r="G23" s="157"/>
      <c r="L23" s="254">
        <v>0</v>
      </c>
      <c r="M23" s="255">
        <v>0</v>
      </c>
      <c r="N23" s="253">
        <f t="shared" si="6"/>
        <v>0</v>
      </c>
      <c r="O23" s="284">
        <f t="shared" si="7"/>
        <v>0</v>
      </c>
    </row>
    <row r="24" spans="1:19" ht="15.75">
      <c r="A24" s="166" t="s">
        <v>18</v>
      </c>
      <c r="B24" s="160"/>
      <c r="C24" s="160"/>
      <c r="D24" s="160"/>
      <c r="E24" s="161">
        <f>'GL 861 CPF Restricted'!C11</f>
        <v>0</v>
      </c>
      <c r="F24" s="160"/>
      <c r="G24" s="160"/>
      <c r="L24" s="246"/>
      <c r="M24" s="247"/>
      <c r="N24" s="247"/>
      <c r="O24" s="248"/>
    </row>
    <row r="25" spans="1:19" ht="15.75">
      <c r="A25" s="159" t="s">
        <v>20</v>
      </c>
      <c r="B25" s="160"/>
      <c r="C25" s="160"/>
      <c r="D25" s="160"/>
      <c r="E25" s="161">
        <f>'GL 863 CPF Restricted'!C11</f>
        <v>0</v>
      </c>
      <c r="F25" s="160"/>
      <c r="G25" s="160"/>
      <c r="L25" s="246"/>
      <c r="M25" s="247"/>
      <c r="N25" s="247"/>
      <c r="O25" s="248"/>
    </row>
    <row r="26" spans="1:19" ht="15.75">
      <c r="A26" s="159" t="s">
        <v>21</v>
      </c>
      <c r="B26" s="160"/>
      <c r="C26" s="160"/>
      <c r="D26" s="160"/>
      <c r="E26" s="161">
        <f>'GL 864 CPF Restricted'!C11</f>
        <v>0</v>
      </c>
      <c r="F26" s="160"/>
      <c r="G26" s="160"/>
      <c r="L26" s="246"/>
      <c r="M26" s="247"/>
      <c r="N26" s="247"/>
      <c r="O26" s="248"/>
    </row>
    <row r="27" spans="1:19" ht="15.75">
      <c r="A27" s="166" t="s">
        <v>22</v>
      </c>
      <c r="B27" s="160"/>
      <c r="C27" s="160"/>
      <c r="D27" s="160"/>
      <c r="E27" s="161">
        <f>'GL 865 CPF Restricted'!C11</f>
        <v>0</v>
      </c>
      <c r="F27" s="160"/>
      <c r="G27" s="160"/>
      <c r="L27" s="246"/>
      <c r="M27" s="247"/>
      <c r="N27" s="247"/>
      <c r="O27" s="248"/>
    </row>
    <row r="28" spans="1:19" ht="15.75">
      <c r="A28" s="166" t="s">
        <v>23</v>
      </c>
      <c r="B28" s="160"/>
      <c r="C28" s="160"/>
      <c r="D28" s="160"/>
      <c r="E28" s="161">
        <f>'GL 866 CPF Restricted'!C11</f>
        <v>0</v>
      </c>
      <c r="F28" s="160"/>
      <c r="G28" s="160"/>
      <c r="L28" s="246"/>
      <c r="M28" s="247"/>
      <c r="N28" s="247"/>
      <c r="O28" s="248"/>
    </row>
    <row r="29" spans="1:19" ht="15.75">
      <c r="A29" s="159" t="s">
        <v>24</v>
      </c>
      <c r="B29" s="160"/>
      <c r="C29" s="160"/>
      <c r="D29" s="160"/>
      <c r="E29" s="161">
        <f>'GL 867 CPF Restricted'!C11</f>
        <v>0</v>
      </c>
      <c r="F29" s="160"/>
      <c r="G29" s="160"/>
      <c r="L29" s="246"/>
      <c r="M29" s="247"/>
      <c r="N29" s="247"/>
      <c r="O29" s="248"/>
    </row>
    <row r="30" spans="1:19" ht="15.75">
      <c r="A30" s="159" t="s">
        <v>25</v>
      </c>
      <c r="B30" s="160"/>
      <c r="C30" s="160"/>
      <c r="D30" s="160"/>
      <c r="E30" s="161">
        <f>'GL 869 CPF Restricted'!C11</f>
        <v>0</v>
      </c>
      <c r="F30" s="160"/>
      <c r="G30" s="160"/>
      <c r="L30" s="246"/>
      <c r="M30" s="247"/>
      <c r="N30" s="247"/>
      <c r="O30" s="248"/>
    </row>
    <row r="31" spans="1:19" ht="15.75">
      <c r="A31" s="154"/>
      <c r="B31" s="157"/>
      <c r="C31" s="157"/>
      <c r="D31" s="157"/>
      <c r="E31" s="157"/>
      <c r="F31" s="157"/>
      <c r="G31" s="157"/>
      <c r="L31" s="246"/>
      <c r="M31" s="247"/>
      <c r="N31" s="247"/>
      <c r="O31" s="248"/>
    </row>
    <row r="32" spans="1:19" ht="15.75">
      <c r="A32" s="167" t="s">
        <v>26</v>
      </c>
      <c r="B32" s="158">
        <f>SUM(B33:B35)</f>
        <v>0</v>
      </c>
      <c r="C32" s="163"/>
      <c r="D32" s="163"/>
      <c r="E32" s="158">
        <f>SUM(E33:E35)</f>
        <v>0</v>
      </c>
      <c r="F32" s="158">
        <f>SUM(F33:F35)</f>
        <v>0</v>
      </c>
      <c r="G32" s="158">
        <f>SUM(G33:G35)</f>
        <v>0</v>
      </c>
      <c r="L32" s="251">
        <f t="shared" ref="L32:N32" si="8">SUM(L33:L35)</f>
        <v>0</v>
      </c>
      <c r="M32" s="252">
        <f t="shared" si="8"/>
        <v>0</v>
      </c>
      <c r="N32" s="253">
        <f t="shared" si="8"/>
        <v>0</v>
      </c>
      <c r="O32" s="284">
        <f>+B32-N32</f>
        <v>0</v>
      </c>
    </row>
    <row r="33" spans="1:19" ht="15.75">
      <c r="A33" s="159" t="s">
        <v>19</v>
      </c>
      <c r="B33" s="160"/>
      <c r="C33" s="160"/>
      <c r="D33" s="160"/>
      <c r="E33" s="161">
        <f>'GL 862 CPF Restricted'!C11</f>
        <v>0</v>
      </c>
      <c r="F33" s="160"/>
      <c r="G33" s="160"/>
      <c r="L33" s="246"/>
      <c r="M33" s="247"/>
      <c r="N33" s="247"/>
      <c r="O33" s="248"/>
      <c r="R33" s="80"/>
      <c r="S33" s="80"/>
    </row>
    <row r="34" spans="1:19" ht="15.75">
      <c r="A34" s="166" t="s">
        <v>27</v>
      </c>
      <c r="B34" s="158">
        <f>'GL 870 Committed'!B6</f>
        <v>0</v>
      </c>
      <c r="C34" s="163"/>
      <c r="D34" s="163"/>
      <c r="E34" s="158">
        <f>'GL 870 Committed'!C6</f>
        <v>0</v>
      </c>
      <c r="F34" s="158">
        <f>'GL 870 Committed'!G6</f>
        <v>0</v>
      </c>
      <c r="G34" s="158">
        <f>'GL 870 Committed'!F6</f>
        <v>0</v>
      </c>
      <c r="L34" s="254">
        <v>0</v>
      </c>
      <c r="M34" s="255">
        <v>0</v>
      </c>
      <c r="N34" s="253">
        <f>+L34+M34</f>
        <v>0</v>
      </c>
      <c r="O34" s="284">
        <f>+B34-N34</f>
        <v>0</v>
      </c>
    </row>
    <row r="35" spans="1:19" ht="15.75">
      <c r="A35" s="168" t="s">
        <v>1242</v>
      </c>
      <c r="B35" s="158">
        <f>'GL 872 Committed'!B5</f>
        <v>0</v>
      </c>
      <c r="C35" s="157"/>
      <c r="D35" s="163"/>
      <c r="E35" s="157"/>
      <c r="F35" s="157"/>
      <c r="G35" s="157"/>
      <c r="L35" s="254">
        <v>0</v>
      </c>
      <c r="M35" s="255">
        <v>0</v>
      </c>
      <c r="N35" s="253">
        <f>+L35+M35</f>
        <v>0</v>
      </c>
      <c r="O35" s="284">
        <f>+B35-N35</f>
        <v>0</v>
      </c>
    </row>
    <row r="36" spans="1:19" ht="15.75">
      <c r="A36" s="169"/>
      <c r="B36" s="160"/>
      <c r="C36" s="160"/>
      <c r="D36" s="160"/>
      <c r="E36" s="154"/>
      <c r="F36" s="160"/>
      <c r="G36" s="160"/>
      <c r="L36" s="246"/>
      <c r="M36" s="247"/>
      <c r="N36" s="247"/>
      <c r="O36" s="248"/>
    </row>
    <row r="37" spans="1:19" ht="15.75">
      <c r="A37" s="154"/>
      <c r="B37" s="157"/>
      <c r="C37" s="157"/>
      <c r="D37" s="163"/>
      <c r="E37" s="157"/>
      <c r="F37" s="157"/>
      <c r="G37" s="157"/>
      <c r="L37" s="246"/>
      <c r="M37" s="247"/>
      <c r="N37" s="247"/>
      <c r="O37" s="248"/>
    </row>
    <row r="38" spans="1:19" ht="15.75">
      <c r="A38" s="154" t="s">
        <v>28</v>
      </c>
      <c r="B38" s="158">
        <f>MAX(MIN(SUM(B39:B42),B7-B9-B13-B32),0)</f>
        <v>0</v>
      </c>
      <c r="C38" s="163"/>
      <c r="D38" s="163"/>
      <c r="E38" s="158">
        <f>E42</f>
        <v>0</v>
      </c>
      <c r="F38" s="163"/>
      <c r="G38" s="158">
        <f>G42</f>
        <v>0</v>
      </c>
      <c r="L38" s="251">
        <f>SUM(L39:L42)</f>
        <v>0</v>
      </c>
      <c r="M38" s="252">
        <f>SUM(M39:M42)</f>
        <v>0</v>
      </c>
      <c r="N38" s="253">
        <f>SUM(N39:N42)</f>
        <v>0</v>
      </c>
      <c r="O38" s="284">
        <f t="shared" ref="O38:O42" si="9">+B38-N38</f>
        <v>0</v>
      </c>
    </row>
    <row r="39" spans="1:19" ht="15.75">
      <c r="A39" s="166" t="s">
        <v>29</v>
      </c>
      <c r="B39" s="158">
        <f>'GL 875 Assigned'!B6</f>
        <v>0</v>
      </c>
      <c r="C39" s="157"/>
      <c r="D39" s="163"/>
      <c r="E39" s="157"/>
      <c r="F39" s="157"/>
      <c r="G39" s="157"/>
      <c r="L39" s="254">
        <v>0</v>
      </c>
      <c r="M39" s="255">
        <v>0</v>
      </c>
      <c r="N39" s="253">
        <f t="shared" ref="N39:N42" si="10">+L39+M39</f>
        <v>0</v>
      </c>
      <c r="O39" s="284">
        <f t="shared" si="9"/>
        <v>0</v>
      </c>
    </row>
    <row r="40" spans="1:19" ht="15.75">
      <c r="A40" s="159" t="s">
        <v>30</v>
      </c>
      <c r="B40" s="158">
        <f>'GL 884 Assigned'!B5</f>
        <v>0</v>
      </c>
      <c r="C40" s="157"/>
      <c r="D40" s="163"/>
      <c r="E40" s="157"/>
      <c r="F40" s="157"/>
      <c r="G40" s="157"/>
      <c r="L40" s="254">
        <v>0</v>
      </c>
      <c r="M40" s="255">
        <v>0</v>
      </c>
      <c r="N40" s="253">
        <f t="shared" si="10"/>
        <v>0</v>
      </c>
      <c r="O40" s="284">
        <f t="shared" si="9"/>
        <v>0</v>
      </c>
    </row>
    <row r="41" spans="1:19" ht="15.75">
      <c r="A41" s="159" t="s">
        <v>31</v>
      </c>
      <c r="B41" s="158">
        <f>'GL 888 Assigned'!B5</f>
        <v>0</v>
      </c>
      <c r="C41" s="157"/>
      <c r="D41" s="163"/>
      <c r="E41" s="157"/>
      <c r="F41" s="157"/>
      <c r="G41" s="157"/>
      <c r="L41" s="254">
        <v>0</v>
      </c>
      <c r="M41" s="255">
        <v>0</v>
      </c>
      <c r="N41" s="253">
        <f t="shared" si="10"/>
        <v>0</v>
      </c>
      <c r="O41" s="284">
        <f t="shared" si="9"/>
        <v>0</v>
      </c>
    </row>
    <row r="42" spans="1:19" ht="15.75">
      <c r="A42" s="170" t="s">
        <v>32</v>
      </c>
      <c r="B42" s="160"/>
      <c r="C42" s="171"/>
      <c r="D42" s="172">
        <v>0</v>
      </c>
      <c r="E42" s="165">
        <f>IF(E7-E9-E13-E32&gt;=0,E7-E9-E13-E32,0)</f>
        <v>0</v>
      </c>
      <c r="F42" s="154"/>
      <c r="G42" s="161">
        <f>IF(G7-G9-G13-G32&gt;=0,G7-G9-G13-G32,0)</f>
        <v>0</v>
      </c>
      <c r="L42" s="254">
        <v>0</v>
      </c>
      <c r="M42" s="255">
        <v>0</v>
      </c>
      <c r="N42" s="253">
        <f t="shared" si="10"/>
        <v>0</v>
      </c>
      <c r="O42" s="284">
        <f t="shared" si="9"/>
        <v>0</v>
      </c>
    </row>
    <row r="43" spans="1:19" ht="15.75">
      <c r="A43" s="154"/>
      <c r="B43" s="157"/>
      <c r="C43" s="157"/>
      <c r="D43" s="157"/>
      <c r="E43" s="157"/>
      <c r="F43" s="157"/>
      <c r="G43" s="157"/>
      <c r="L43" s="246"/>
      <c r="M43" s="247"/>
      <c r="N43" s="247"/>
      <c r="O43" s="248"/>
    </row>
    <row r="44" spans="1:19" ht="15.75">
      <c r="A44" s="154" t="s">
        <v>33</v>
      </c>
      <c r="B44" s="173">
        <f>+B45+B46</f>
        <v>-1201671.453</v>
      </c>
      <c r="L44" s="251">
        <f t="shared" ref="L44:N44" si="11">+L45+L46</f>
        <v>0</v>
      </c>
      <c r="M44" s="252">
        <f t="shared" si="11"/>
        <v>0</v>
      </c>
      <c r="N44" s="253">
        <f t="shared" si="11"/>
        <v>0</v>
      </c>
      <c r="O44" s="284">
        <f t="shared" ref="O44:O46" si="12">+B44-N44</f>
        <v>-1201671.453</v>
      </c>
    </row>
    <row r="45" spans="1:19" ht="15.75">
      <c r="A45" s="162" t="s">
        <v>34</v>
      </c>
      <c r="B45" s="174">
        <f>B7-B9-B13-B32-B38-B46</f>
        <v>-1201671.453</v>
      </c>
      <c r="C45" s="173">
        <f>IF(C7-C9-C13-C32&gt;=0,0,C7-C9-C13-C32)</f>
        <v>0</v>
      </c>
      <c r="D45" s="173">
        <f>IF(D7-D9-D13-D32&gt;=0,0,D7-D9-D13-D32)</f>
        <v>0</v>
      </c>
      <c r="E45" s="173">
        <f>IF(E7-E9-E13-E32&gt;=0,0,E7-E9-E13-E32)</f>
        <v>0</v>
      </c>
      <c r="F45" s="173">
        <f>IF(F7-F9-F13-F32&gt;=0,0,F7-F9-F13-F32)</f>
        <v>0</v>
      </c>
      <c r="G45" s="173">
        <f>IF(G7-G9-G13-G32&gt;=0,0,G7-G9-G13-G32)</f>
        <v>0</v>
      </c>
      <c r="L45" s="254">
        <v>0</v>
      </c>
      <c r="M45" s="255">
        <v>0</v>
      </c>
      <c r="N45" s="253">
        <f t="shared" ref="N45:N46" si="13">+L45+M45</f>
        <v>0</v>
      </c>
      <c r="O45" s="284">
        <f t="shared" si="12"/>
        <v>-1201671.453</v>
      </c>
    </row>
    <row r="46" spans="1:19" ht="15.75">
      <c r="A46" s="166" t="s">
        <v>1243</v>
      </c>
      <c r="B46" s="175">
        <f>'GL 891 Unassigned MFBP'!B28</f>
        <v>0</v>
      </c>
      <c r="C46" s="154"/>
      <c r="D46" s="154"/>
      <c r="E46" s="154"/>
      <c r="F46" s="154"/>
      <c r="G46" s="154"/>
      <c r="L46" s="254">
        <v>0</v>
      </c>
      <c r="M46" s="255">
        <v>0</v>
      </c>
      <c r="N46" s="253">
        <f t="shared" si="13"/>
        <v>0</v>
      </c>
      <c r="O46" s="284">
        <f t="shared" si="12"/>
        <v>0</v>
      </c>
    </row>
    <row r="47" spans="1:19" s="80" customFormat="1" ht="15.75">
      <c r="A47" s="154"/>
      <c r="B47" s="154"/>
      <c r="C47" s="154"/>
      <c r="D47" s="154"/>
      <c r="E47" s="154"/>
      <c r="F47" s="154"/>
      <c r="G47" s="154"/>
      <c r="L47" s="246"/>
      <c r="M47" s="247"/>
      <c r="N47" s="247"/>
      <c r="O47" s="248"/>
      <c r="R47"/>
      <c r="S47"/>
    </row>
    <row r="48" spans="1:19" ht="15.75">
      <c r="A48" s="154" t="s">
        <v>35</v>
      </c>
      <c r="B48" s="154"/>
      <c r="C48" s="154"/>
      <c r="D48" s="154"/>
      <c r="E48" s="154"/>
      <c r="F48" s="154"/>
      <c r="G48" s="154"/>
      <c r="L48" s="246"/>
      <c r="M48" s="247"/>
      <c r="N48" s="247"/>
      <c r="O48" s="248"/>
    </row>
    <row r="49" spans="1:15" ht="15.75">
      <c r="A49" s="154" t="s">
        <v>2</v>
      </c>
      <c r="B49" s="176">
        <f t="shared" ref="B49:G49" si="14">B9</f>
        <v>0</v>
      </c>
      <c r="C49" s="176">
        <f t="shared" si="14"/>
        <v>0</v>
      </c>
      <c r="D49" s="176">
        <f t="shared" si="14"/>
        <v>0</v>
      </c>
      <c r="E49" s="176">
        <f t="shared" si="14"/>
        <v>0</v>
      </c>
      <c r="F49" s="176">
        <f t="shared" si="14"/>
        <v>0</v>
      </c>
      <c r="G49" s="176">
        <f t="shared" si="14"/>
        <v>0</v>
      </c>
      <c r="L49" s="251">
        <f t="shared" ref="L49:N49" si="15">L9</f>
        <v>0</v>
      </c>
      <c r="M49" s="252">
        <f t="shared" si="15"/>
        <v>0</v>
      </c>
      <c r="N49" s="253">
        <f t="shared" si="15"/>
        <v>0</v>
      </c>
      <c r="O49" s="284">
        <f t="shared" ref="O49:O54" si="16">+B49-N49</f>
        <v>0</v>
      </c>
    </row>
    <row r="50" spans="1:15" ht="15.75">
      <c r="A50" s="154" t="s">
        <v>11</v>
      </c>
      <c r="B50" s="176">
        <f t="shared" ref="B50:G50" si="17">B13</f>
        <v>1201671.453</v>
      </c>
      <c r="C50" s="176">
        <f t="shared" si="17"/>
        <v>0</v>
      </c>
      <c r="D50" s="176">
        <f t="shared" si="17"/>
        <v>0</v>
      </c>
      <c r="E50" s="176">
        <f t="shared" si="17"/>
        <v>0</v>
      </c>
      <c r="F50" s="176">
        <f t="shared" si="17"/>
        <v>0</v>
      </c>
      <c r="G50" s="176">
        <f t="shared" si="17"/>
        <v>0</v>
      </c>
      <c r="L50" s="251">
        <f t="shared" ref="L50:N50" si="18">L13</f>
        <v>0</v>
      </c>
      <c r="M50" s="252">
        <f t="shared" si="18"/>
        <v>0</v>
      </c>
      <c r="N50" s="253">
        <f t="shared" si="18"/>
        <v>0</v>
      </c>
      <c r="O50" s="284">
        <f t="shared" si="16"/>
        <v>1201671.453</v>
      </c>
    </row>
    <row r="51" spans="1:15" ht="15.75">
      <c r="A51" s="154" t="s">
        <v>26</v>
      </c>
      <c r="B51" s="176">
        <f>B32</f>
        <v>0</v>
      </c>
      <c r="C51" s="176">
        <f>C32</f>
        <v>0</v>
      </c>
      <c r="D51" s="176">
        <f>D32</f>
        <v>0</v>
      </c>
      <c r="E51" s="176">
        <f t="shared" ref="E51:G51" si="19">E32</f>
        <v>0</v>
      </c>
      <c r="F51" s="176">
        <f t="shared" si="19"/>
        <v>0</v>
      </c>
      <c r="G51" s="176">
        <f t="shared" si="19"/>
        <v>0</v>
      </c>
      <c r="L51" s="251">
        <f t="shared" ref="L51:N51" si="20">L32</f>
        <v>0</v>
      </c>
      <c r="M51" s="252">
        <f t="shared" si="20"/>
        <v>0</v>
      </c>
      <c r="N51" s="253">
        <f t="shared" si="20"/>
        <v>0</v>
      </c>
      <c r="O51" s="284">
        <f t="shared" si="16"/>
        <v>0</v>
      </c>
    </row>
    <row r="52" spans="1:15" ht="15.75">
      <c r="A52" s="154" t="s">
        <v>28</v>
      </c>
      <c r="B52" s="173">
        <f>IF(SUM(B49:B51)&gt;B7,0,MIN(B7-SUM(B49:B51),B38))</f>
        <v>0</v>
      </c>
      <c r="C52" s="173">
        <f>IF(SUM(C49:C51)&gt;C7,0,C7-SUM(C49:C51))</f>
        <v>0</v>
      </c>
      <c r="D52" s="173">
        <f>IF(SUM(D49:D51)&gt;D7,0,D7-SUM(D49:D51))</f>
        <v>0</v>
      </c>
      <c r="E52" s="173">
        <f>IF(SUM(E49:E51)&gt;E7,0,E7-SUM(E49:E51))</f>
        <v>0</v>
      </c>
      <c r="F52" s="173">
        <f>IF(SUM(F49:F51)&gt;F7,0,F7-SUM(F49:F51))</f>
        <v>0</v>
      </c>
      <c r="G52" s="173">
        <f>IF(SUM(G49:G51)&gt;G7,0,G7-SUM(G49:G51))</f>
        <v>0</v>
      </c>
      <c r="L52" s="251">
        <f>L38</f>
        <v>0</v>
      </c>
      <c r="M52" s="252">
        <f>M38</f>
        <v>0</v>
      </c>
      <c r="N52" s="253">
        <f>N38</f>
        <v>0</v>
      </c>
      <c r="O52" s="284">
        <f t="shared" si="16"/>
        <v>0</v>
      </c>
    </row>
    <row r="53" spans="1:15" ht="15.75">
      <c r="A53" s="154" t="s">
        <v>33</v>
      </c>
      <c r="B53" s="173">
        <f>B7-SUM(B49:B52)</f>
        <v>-1201671.453</v>
      </c>
      <c r="C53" s="173">
        <f>IF(SUM(C49:C51)&gt;C7,C7-SUM(C49:C51),0)</f>
        <v>0</v>
      </c>
      <c r="D53" s="173">
        <f>IF(SUM(D49:D51)&gt;D7,D7-SUM(D49:D51),0)</f>
        <v>0</v>
      </c>
      <c r="E53" s="173">
        <f>IF(SUM(E49:E51)&gt;E7,E7-SUM(E49:E51),0)</f>
        <v>0</v>
      </c>
      <c r="F53" s="173">
        <f>IF(SUM(F49:F51)&gt;F7,F7-SUM(F49:F51),0)</f>
        <v>0</v>
      </c>
      <c r="G53" s="173">
        <f>IF(SUM(G49:G51)&gt;G7,G7-SUM(G49:G51),0)</f>
        <v>0</v>
      </c>
      <c r="L53" s="251">
        <f>L44</f>
        <v>0</v>
      </c>
      <c r="M53" s="252">
        <f>M44</f>
        <v>0</v>
      </c>
      <c r="N53" s="253">
        <f>N44</f>
        <v>0</v>
      </c>
      <c r="O53" s="284">
        <f t="shared" si="16"/>
        <v>-1201671.453</v>
      </c>
    </row>
    <row r="54" spans="1:15" ht="16.5" thickBot="1">
      <c r="A54" s="154" t="s">
        <v>1</v>
      </c>
      <c r="B54" s="175">
        <f>SUM(B49:B53)</f>
        <v>0</v>
      </c>
      <c r="C54" s="175">
        <f>SUM(C49:C53)</f>
        <v>0</v>
      </c>
      <c r="D54" s="175">
        <f>SUM(D49:D53)</f>
        <v>0</v>
      </c>
      <c r="E54" s="175">
        <f t="shared" ref="E54:G54" si="21">SUM(E49:E53)</f>
        <v>0</v>
      </c>
      <c r="F54" s="175">
        <f t="shared" si="21"/>
        <v>0</v>
      </c>
      <c r="G54" s="175">
        <f t="shared" si="21"/>
        <v>0</v>
      </c>
      <c r="L54" s="256">
        <f t="shared" ref="L54:N54" si="22">SUM(L49:L53)</f>
        <v>0</v>
      </c>
      <c r="M54" s="257">
        <f t="shared" si="22"/>
        <v>0</v>
      </c>
      <c r="N54" s="258">
        <f t="shared" si="22"/>
        <v>0</v>
      </c>
      <c r="O54" s="285">
        <f t="shared" si="16"/>
        <v>0</v>
      </c>
    </row>
    <row r="55" spans="1:15" ht="15.75">
      <c r="A55" s="154"/>
      <c r="B55" s="154"/>
      <c r="C55" s="154"/>
      <c r="D55" s="154"/>
      <c r="E55" s="154"/>
      <c r="F55" s="154"/>
      <c r="G55" s="154"/>
    </row>
    <row r="56" spans="1:15" ht="15.75">
      <c r="A56" s="154"/>
      <c r="B56" s="154"/>
      <c r="C56" s="154"/>
      <c r="D56" s="154"/>
      <c r="E56" s="154"/>
      <c r="F56" s="154"/>
      <c r="G56" s="154"/>
    </row>
    <row r="57" spans="1:15">
      <c r="A57" s="226" t="s">
        <v>1684</v>
      </c>
    </row>
  </sheetData>
  <mergeCells count="6">
    <mergeCell ref="R6:S22"/>
    <mergeCell ref="A2:B2"/>
    <mergeCell ref="L3:M3"/>
    <mergeCell ref="L1:O1"/>
    <mergeCell ref="L2:O2"/>
    <mergeCell ref="O3:O4"/>
  </mergeCells>
  <hyperlinks>
    <hyperlink ref="A14" location="'GL 810 Restricted'!A1" display="GL 810 Other Items"/>
    <hyperlink ref="A15" location="'GL 815 Restricted'!A1" display="GL 815 Unequalized Deductible Revenues"/>
    <hyperlink ref="A17" location="'GL 821 Restricted'!A1" display="GL 821 Carryover of Restricted Revenues"/>
    <hyperlink ref="A35" location="'GL 872 Committed'!A1" display="GL 872 Minimum Fund Balance Policy"/>
    <hyperlink ref="A10" location="'GL 840 Nonspendable'!A1" display="GL 840 Inventory &amp; Prepaid Items"/>
    <hyperlink ref="A20" location="'GL 830 Restricted'!A1" display="GL 830 Debt Service"/>
    <hyperlink ref="A21" location="'GL 835 Restricted'!A1" display="GL 835 Arbitrage Rebate"/>
    <hyperlink ref="A24" location="'GL 861 CPF Restricted'!A1" display="GL 861 Bond Proceeds"/>
    <hyperlink ref="A33" location="'GL 862 CPF Restricted'!A1" display="GL 862 Levy Proceeds"/>
    <hyperlink ref="A25" location="'GL 863 CPF Restricted'!A1" display="GL 863 State Proceeds"/>
    <hyperlink ref="A26" location="'GL 864 CPF Restricted'!A1" display="GL 864 Federal Proceeds"/>
    <hyperlink ref="A27" location="'GL 865 CPF Restricted'!A1" display="GL 865 Other Proceeds"/>
    <hyperlink ref="A28" location="'GL 866 CPF Restricted'!A1" display="GL 866 Impact Fee Proceeds"/>
    <hyperlink ref="A29" location="'GL 867 CPF Restricted'!A1" display="GL 867 Mitigation Fee Proceeds"/>
    <hyperlink ref="A30" location="'GL 869 CPF Restricted'!A1" display="GL 869 Undistributed Proceeds"/>
    <hyperlink ref="A34" location="'GL 870 Committed'!A1" display="GL 870 Other Purposes"/>
    <hyperlink ref="A11" location="'GL 855 Nonspendable'!A1" display="GL 855 Trust Principal"/>
    <hyperlink ref="A39" location="'GL 875 Assigned'!A1" display="GL 875 Contingencies"/>
    <hyperlink ref="A40" location="'GL 884 Assigned'!A1" display="GL 884 Other Capital Projects"/>
    <hyperlink ref="A41" location="'GL 888 Assigned'!A1" display="GL 888 Other Purposes"/>
    <hyperlink ref="A22" location="'GL 845 Restricted'!A1" display="GL 845 Self-Insurance"/>
    <hyperlink ref="A23" location="'GL 850 Restricted'!A1" display="GL 850 Uninsured Risks"/>
    <hyperlink ref="A19" location="'GL 828 Restricted'!A1" display="GL 828 Food Service Program Revenue Carryover"/>
    <hyperlink ref="A18" location="'GL 825 Restricted'!A1" display="GL 825 Restricted for Skills Centers"/>
    <hyperlink ref="A46" location="'GL 891 Unassigned MFBP'!A1" display="GL 891 Unassigned MFBP"/>
  </hyperlinks>
  <pageMargins left="0.45" right="0.2" top="0.75" bottom="0.75" header="0.3" footer="0.3"/>
  <pageSetup scale="6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CCDDD!$B$2:$B$318</xm:f>
          </x14:formula1>
          <xm:sqref>A2:B2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AF346"/>
  <sheetViews>
    <sheetView workbookViewId="0">
      <pane ySplit="6" topLeftCell="A267" activePane="bottomLeft" state="frozen"/>
      <selection pane="bottomLeft" activeCell="I271" sqref="I271"/>
    </sheetView>
  </sheetViews>
  <sheetFormatPr defaultColWidth="9.140625" defaultRowHeight="15"/>
  <cols>
    <col min="1" max="1" width="8.42578125" customWidth="1"/>
    <col min="2" max="2" width="13.42578125" customWidth="1"/>
    <col min="3" max="3" width="25.5703125" style="120" bestFit="1" customWidth="1"/>
    <col min="5" max="5" width="10" bestFit="1" customWidth="1"/>
    <col min="6" max="6" width="12" bestFit="1" customWidth="1"/>
    <col min="8" max="10" width="9.140625" customWidth="1"/>
    <col min="11" max="11" width="22.7109375" customWidth="1"/>
    <col min="12" max="12" width="12" customWidth="1"/>
    <col min="13" max="13" width="10" bestFit="1" customWidth="1"/>
    <col min="14" max="14" width="12.140625" bestFit="1" customWidth="1"/>
    <col min="15" max="22" width="9.140625" customWidth="1"/>
  </cols>
  <sheetData>
    <row r="1" spans="1:6" ht="15.75" thickBot="1">
      <c r="A1" s="336" t="s">
        <v>1638</v>
      </c>
      <c r="B1" s="148" t="s">
        <v>1749</v>
      </c>
      <c r="C1" s="149"/>
      <c r="D1" s="150"/>
      <c r="E1" s="150"/>
      <c r="F1" s="151"/>
    </row>
    <row r="2" spans="1:6">
      <c r="A2" s="312" t="s">
        <v>1750</v>
      </c>
      <c r="B2" s="139" t="s">
        <v>748</v>
      </c>
      <c r="C2" s="140" t="s">
        <v>1211</v>
      </c>
      <c r="D2" s="141" t="s">
        <v>745</v>
      </c>
      <c r="E2" s="141" t="s">
        <v>746</v>
      </c>
      <c r="F2" s="142" t="s">
        <v>747</v>
      </c>
    </row>
    <row r="3" spans="1:6">
      <c r="A3" s="119"/>
      <c r="B3" s="193"/>
      <c r="C3" s="194"/>
      <c r="D3" s="144" t="s">
        <v>1255</v>
      </c>
      <c r="E3" s="144" t="s">
        <v>1254</v>
      </c>
      <c r="F3" s="144" t="s">
        <v>1618</v>
      </c>
    </row>
    <row r="4" spans="1:6">
      <c r="B4" s="152" t="s">
        <v>1658</v>
      </c>
      <c r="C4" s="153"/>
      <c r="D4" s="144" t="s">
        <v>782</v>
      </c>
      <c r="E4" s="144" t="s">
        <v>11</v>
      </c>
      <c r="F4" s="144" t="s">
        <v>1256</v>
      </c>
    </row>
    <row r="5" spans="1:6">
      <c r="B5" s="145" t="s">
        <v>80</v>
      </c>
      <c r="C5" s="143" t="s">
        <v>1181</v>
      </c>
      <c r="D5" s="144" t="s">
        <v>1257</v>
      </c>
      <c r="E5" s="144" t="s">
        <v>1257</v>
      </c>
      <c r="F5" s="144" t="s">
        <v>1257</v>
      </c>
    </row>
    <row r="6" spans="1:6">
      <c r="B6" s="146" t="s">
        <v>1267</v>
      </c>
      <c r="C6" s="147" t="s">
        <v>1258</v>
      </c>
      <c r="D6" s="209"/>
      <c r="E6" s="209"/>
      <c r="F6" s="209"/>
    </row>
    <row r="7" spans="1:6">
      <c r="B7" s="199" t="s">
        <v>299</v>
      </c>
      <c r="C7" s="197" t="s">
        <v>300</v>
      </c>
      <c r="D7" s="306">
        <v>0.1492</v>
      </c>
      <c r="E7" s="306">
        <v>2.52E-2</v>
      </c>
      <c r="F7" s="306">
        <v>0.13650000000000001</v>
      </c>
    </row>
    <row r="8" spans="1:6">
      <c r="B8" s="199" t="s">
        <v>427</v>
      </c>
      <c r="C8" s="197" t="s">
        <v>428</v>
      </c>
      <c r="D8" s="306">
        <v>0.20530000000000001</v>
      </c>
      <c r="E8" s="306">
        <v>4.3999999999999997E-2</v>
      </c>
      <c r="F8" s="306">
        <v>0.2167</v>
      </c>
    </row>
    <row r="9" spans="1:6">
      <c r="B9" s="199" t="s">
        <v>449</v>
      </c>
      <c r="C9" s="197" t="s">
        <v>450</v>
      </c>
      <c r="D9" s="306">
        <v>0.3</v>
      </c>
      <c r="E9" s="306">
        <v>3.3599999999999998E-2</v>
      </c>
      <c r="F9" s="306">
        <v>0.2306</v>
      </c>
    </row>
    <row r="10" spans="1:6">
      <c r="B10" s="199" t="s">
        <v>551</v>
      </c>
      <c r="C10" s="197" t="s">
        <v>552</v>
      </c>
      <c r="D10" s="306">
        <v>0.16619999999999999</v>
      </c>
      <c r="E10" s="306">
        <v>4.7800000000000002E-2</v>
      </c>
      <c r="F10" s="306">
        <v>0.17050000000000001</v>
      </c>
    </row>
    <row r="11" spans="1:6">
      <c r="B11" s="199" t="s">
        <v>575</v>
      </c>
      <c r="C11" s="197" t="s">
        <v>576</v>
      </c>
      <c r="D11" s="306">
        <v>0.12089999999999999</v>
      </c>
      <c r="E11" s="306">
        <v>2.9499999999999998E-2</v>
      </c>
      <c r="F11" s="306">
        <v>0.1111</v>
      </c>
    </row>
    <row r="12" spans="1:6">
      <c r="B12" s="199" t="s">
        <v>177</v>
      </c>
      <c r="C12" s="197" t="s">
        <v>178</v>
      </c>
      <c r="D12" s="306">
        <v>0.2291</v>
      </c>
      <c r="E12" s="306">
        <v>3.2800000000000003E-2</v>
      </c>
      <c r="F12" s="306">
        <v>0.19040000000000001</v>
      </c>
    </row>
    <row r="13" spans="1:6">
      <c r="B13" s="199" t="s">
        <v>98</v>
      </c>
      <c r="C13" s="197" t="s">
        <v>363</v>
      </c>
      <c r="D13" s="306">
        <v>0.121</v>
      </c>
      <c r="E13" s="306">
        <v>3.5700000000000003E-2</v>
      </c>
      <c r="F13" s="306">
        <v>0.12740000000000001</v>
      </c>
    </row>
    <row r="14" spans="1:6">
      <c r="B14" s="199" t="s">
        <v>379</v>
      </c>
      <c r="C14" s="197" t="s">
        <v>380</v>
      </c>
      <c r="D14" s="306">
        <v>0.1875</v>
      </c>
      <c r="E14" s="306">
        <v>4.5699999999999998E-2</v>
      </c>
      <c r="F14" s="306">
        <v>0.2009</v>
      </c>
    </row>
    <row r="15" spans="1:6">
      <c r="B15" s="199" t="s">
        <v>227</v>
      </c>
      <c r="C15" s="197" t="s">
        <v>228</v>
      </c>
      <c r="D15" s="306">
        <v>0.152</v>
      </c>
      <c r="E15" s="306">
        <v>2.41E-2</v>
      </c>
      <c r="F15" s="306">
        <v>0.13830000000000001</v>
      </c>
    </row>
    <row r="16" spans="1:6">
      <c r="B16" s="199" t="s">
        <v>357</v>
      </c>
      <c r="C16" s="197" t="s">
        <v>358</v>
      </c>
      <c r="D16" s="306">
        <v>0.14410000000000001</v>
      </c>
      <c r="E16" s="306">
        <v>3.9800000000000002E-2</v>
      </c>
      <c r="F16" s="306">
        <v>0.1414</v>
      </c>
    </row>
    <row r="17" spans="2:6">
      <c r="B17" s="199" t="s">
        <v>674</v>
      </c>
      <c r="C17" s="197" t="s">
        <v>675</v>
      </c>
      <c r="D17" s="306">
        <v>0.14050000000000001</v>
      </c>
      <c r="E17" s="306">
        <v>1.95E-2</v>
      </c>
      <c r="F17" s="306">
        <v>0.1237</v>
      </c>
    </row>
    <row r="18" spans="2:6">
      <c r="B18" s="199" t="s">
        <v>167</v>
      </c>
      <c r="C18" s="197" t="s">
        <v>168</v>
      </c>
      <c r="D18" s="306">
        <v>0.34620000000000001</v>
      </c>
      <c r="E18" s="306">
        <v>3.8699999999999998E-2</v>
      </c>
      <c r="F18" s="306">
        <v>0.29010000000000002</v>
      </c>
    </row>
    <row r="19" spans="2:6">
      <c r="B19" s="199" t="s">
        <v>530</v>
      </c>
      <c r="C19" s="197" t="s">
        <v>531</v>
      </c>
      <c r="D19" s="306">
        <v>0.15609999999999999</v>
      </c>
      <c r="E19" s="306">
        <v>4.19E-2</v>
      </c>
      <c r="F19" s="306">
        <v>0.14910000000000001</v>
      </c>
    </row>
    <row r="20" spans="2:6">
      <c r="B20" s="199" t="s">
        <v>401</v>
      </c>
      <c r="C20" s="197" t="s">
        <v>402</v>
      </c>
      <c r="D20" s="306">
        <v>0.30590000000000001</v>
      </c>
      <c r="E20" s="306">
        <v>0.11799999999999999</v>
      </c>
      <c r="F20" s="306">
        <v>0.38129999999999997</v>
      </c>
    </row>
    <row r="21" spans="2:6">
      <c r="B21" s="199" t="s">
        <v>678</v>
      </c>
      <c r="C21" s="197" t="s">
        <v>679</v>
      </c>
      <c r="D21" s="306">
        <v>0.17180000000000001</v>
      </c>
      <c r="E21" s="306">
        <v>2.98E-2</v>
      </c>
      <c r="F21" s="306">
        <v>0.18329999999999999</v>
      </c>
    </row>
    <row r="22" spans="2:6">
      <c r="B22" s="199" t="s">
        <v>431</v>
      </c>
      <c r="C22" s="197" t="s">
        <v>432</v>
      </c>
      <c r="D22" s="306">
        <v>0.29480000000000001</v>
      </c>
      <c r="E22" s="306">
        <v>0.09</v>
      </c>
      <c r="F22" s="306">
        <v>0.31630000000000003</v>
      </c>
    </row>
    <row r="23" spans="2:6">
      <c r="B23" s="199" t="s">
        <v>377</v>
      </c>
      <c r="C23" s="197" t="s">
        <v>378</v>
      </c>
      <c r="D23" s="306">
        <v>0.18690000000000001</v>
      </c>
      <c r="E23" s="306">
        <v>6.6100000000000006E-2</v>
      </c>
      <c r="F23" s="306">
        <v>0.17810000000000001</v>
      </c>
    </row>
    <row r="24" spans="2:6">
      <c r="B24" s="199" t="s">
        <v>481</v>
      </c>
      <c r="C24" s="197" t="s">
        <v>482</v>
      </c>
      <c r="D24" s="306">
        <v>0.1981</v>
      </c>
      <c r="E24" s="306">
        <v>5.5199999999999999E-2</v>
      </c>
      <c r="F24" s="306">
        <v>0.1956</v>
      </c>
    </row>
    <row r="25" spans="2:6">
      <c r="B25" s="199" t="s">
        <v>249</v>
      </c>
      <c r="C25" s="197" t="s">
        <v>250</v>
      </c>
      <c r="D25" s="306">
        <v>0.22489999999999999</v>
      </c>
      <c r="E25" s="306">
        <v>3.7999999999999999E-2</v>
      </c>
      <c r="F25" s="306">
        <v>0.21479999999999999</v>
      </c>
    </row>
    <row r="26" spans="2:6">
      <c r="B26" s="199" t="s">
        <v>333</v>
      </c>
      <c r="C26" s="197" t="s">
        <v>334</v>
      </c>
      <c r="D26" s="306">
        <v>0.5444</v>
      </c>
      <c r="E26" s="306">
        <v>0.10299999999999999</v>
      </c>
      <c r="F26" s="306">
        <v>0.63770000000000004</v>
      </c>
    </row>
    <row r="27" spans="2:6">
      <c r="B27" s="199" t="s">
        <v>548</v>
      </c>
      <c r="C27" s="197" t="s">
        <v>1263</v>
      </c>
      <c r="D27" s="306">
        <v>0.16089999999999999</v>
      </c>
      <c r="E27" s="306">
        <v>3.5799999999999998E-2</v>
      </c>
      <c r="F27" s="306">
        <v>0.15409999999999999</v>
      </c>
    </row>
    <row r="28" spans="2:6">
      <c r="B28" s="199" t="s">
        <v>225</v>
      </c>
      <c r="C28" s="197" t="s">
        <v>226</v>
      </c>
      <c r="D28" s="306">
        <v>0.14019999999999999</v>
      </c>
      <c r="E28" s="306">
        <v>4.2500000000000003E-2</v>
      </c>
      <c r="F28" s="306">
        <v>0.1305</v>
      </c>
    </row>
    <row r="29" spans="2:6">
      <c r="B29" s="199" t="s">
        <v>211</v>
      </c>
      <c r="C29" s="197" t="s">
        <v>212</v>
      </c>
      <c r="D29" s="306">
        <v>0.26729999999999998</v>
      </c>
      <c r="E29" s="306">
        <v>0.1137</v>
      </c>
      <c r="F29" s="306">
        <v>0.24060000000000001</v>
      </c>
    </row>
    <row r="30" spans="2:6">
      <c r="B30" s="199" t="s">
        <v>514</v>
      </c>
      <c r="C30" s="197" t="s">
        <v>515</v>
      </c>
      <c r="D30" s="306">
        <v>0.31340000000000001</v>
      </c>
      <c r="E30" s="306">
        <v>6.1400000000000003E-2</v>
      </c>
      <c r="F30" s="306">
        <v>0.32500000000000001</v>
      </c>
    </row>
    <row r="31" spans="2:6">
      <c r="B31" s="199" t="s">
        <v>201</v>
      </c>
      <c r="C31" s="197" t="s">
        <v>202</v>
      </c>
      <c r="D31" s="306">
        <v>0.16489999999999999</v>
      </c>
      <c r="E31" s="306">
        <v>3.1600000000000003E-2</v>
      </c>
      <c r="F31" s="306">
        <v>0.14749999999999999</v>
      </c>
    </row>
    <row r="32" spans="2:6">
      <c r="B32" s="199" t="s">
        <v>199</v>
      </c>
      <c r="C32" s="197" t="s">
        <v>200</v>
      </c>
      <c r="D32" s="306">
        <v>0.15709999999999999</v>
      </c>
      <c r="E32" s="306">
        <v>3.4000000000000002E-2</v>
      </c>
      <c r="F32" s="306">
        <v>0.16309999999999999</v>
      </c>
    </row>
    <row r="33" spans="2:32">
      <c r="B33" s="199" t="s">
        <v>239</v>
      </c>
      <c r="C33" s="197" t="s">
        <v>240</v>
      </c>
      <c r="D33" s="306">
        <v>0.1981</v>
      </c>
      <c r="E33" s="306">
        <v>3.3700000000000001E-2</v>
      </c>
      <c r="F33" s="306">
        <v>0.12909999999999999</v>
      </c>
    </row>
    <row r="34" spans="2:32">
      <c r="B34" s="199" t="s">
        <v>403</v>
      </c>
      <c r="C34" s="197" t="s">
        <v>404</v>
      </c>
      <c r="D34" s="306">
        <v>0.3155</v>
      </c>
      <c r="E34" s="306">
        <v>0.16750000000000001</v>
      </c>
      <c r="F34" s="306">
        <v>0.33689999999999998</v>
      </c>
    </row>
    <row r="35" spans="2:32">
      <c r="B35" s="199" t="s">
        <v>383</v>
      </c>
      <c r="C35" s="197" t="s">
        <v>384</v>
      </c>
      <c r="D35" s="306">
        <v>0.1487</v>
      </c>
      <c r="E35" s="306">
        <v>4.1599999999999998E-2</v>
      </c>
      <c r="F35" s="306">
        <v>0.1414</v>
      </c>
    </row>
    <row r="36" spans="2:32">
      <c r="B36" s="199" t="s">
        <v>607</v>
      </c>
      <c r="C36" s="197" t="s">
        <v>608</v>
      </c>
      <c r="D36" s="306">
        <v>0.1368</v>
      </c>
      <c r="E36" s="306">
        <v>4.1300000000000003E-2</v>
      </c>
      <c r="F36" s="306">
        <v>0.11940000000000001</v>
      </c>
    </row>
    <row r="37" spans="2:32">
      <c r="B37" s="199" t="s">
        <v>443</v>
      </c>
      <c r="C37" s="197" t="s">
        <v>444</v>
      </c>
      <c r="D37" s="306">
        <v>0.15759999999999999</v>
      </c>
      <c r="E37" s="306">
        <v>2.3900000000000001E-2</v>
      </c>
      <c r="F37" s="306">
        <v>0.1212</v>
      </c>
    </row>
    <row r="38" spans="2:32">
      <c r="B38" s="199" t="s">
        <v>439</v>
      </c>
      <c r="C38" s="197" t="s">
        <v>440</v>
      </c>
      <c r="D38" s="306">
        <v>0.1605</v>
      </c>
      <c r="E38" s="306">
        <v>2.2499999999999999E-2</v>
      </c>
      <c r="F38" s="306">
        <v>0.15570000000000001</v>
      </c>
    </row>
    <row r="39" spans="2:32">
      <c r="B39" s="199" t="s">
        <v>611</v>
      </c>
      <c r="C39" s="197" t="s">
        <v>612</v>
      </c>
      <c r="D39" s="306">
        <v>0.1658</v>
      </c>
      <c r="E39" s="306">
        <v>3.04E-2</v>
      </c>
      <c r="F39" s="306">
        <v>0.16300000000000001</v>
      </c>
    </row>
    <row r="40" spans="2:32">
      <c r="B40" s="199" t="s">
        <v>623</v>
      </c>
      <c r="C40" s="197" t="s">
        <v>624</v>
      </c>
      <c r="D40" s="306">
        <v>0.18459999999999999</v>
      </c>
      <c r="E40" s="306">
        <v>3.5700000000000003E-2</v>
      </c>
      <c r="F40" s="306">
        <v>0.18759999999999999</v>
      </c>
    </row>
    <row r="41" spans="2:32" s="119" customFormat="1">
      <c r="B41" s="301" t="s">
        <v>1685</v>
      </c>
      <c r="C41" s="302" t="s">
        <v>1747</v>
      </c>
      <c r="D41" s="300">
        <v>7.0000000000000007E-2</v>
      </c>
      <c r="E41" s="300">
        <v>0.08</v>
      </c>
      <c r="F41" s="300">
        <v>0.1</v>
      </c>
      <c r="H41"/>
      <c r="I41"/>
      <c r="J41"/>
      <c r="K41"/>
      <c r="L41"/>
      <c r="M41"/>
      <c r="N41"/>
      <c r="P41"/>
      <c r="Q41"/>
      <c r="R41"/>
      <c r="S41"/>
      <c r="T41"/>
      <c r="U41"/>
      <c r="V41"/>
      <c r="W41"/>
      <c r="X41"/>
      <c r="Y41"/>
      <c r="Z41"/>
      <c r="AA41"/>
      <c r="AB41"/>
      <c r="AC41"/>
      <c r="AD41"/>
      <c r="AE41"/>
      <c r="AF41"/>
    </row>
    <row r="42" spans="2:32">
      <c r="B42" s="199" t="s">
        <v>337</v>
      </c>
      <c r="C42" s="197" t="s">
        <v>338</v>
      </c>
      <c r="D42" s="306">
        <v>0.24310000000000001</v>
      </c>
      <c r="E42" s="306">
        <v>5.5599999999999997E-2</v>
      </c>
      <c r="F42" s="306">
        <v>0.24690000000000001</v>
      </c>
    </row>
    <row r="43" spans="2:32">
      <c r="B43" s="199" t="s">
        <v>175</v>
      </c>
      <c r="C43" s="197" t="s">
        <v>176</v>
      </c>
      <c r="D43" s="306">
        <v>0.2001</v>
      </c>
      <c r="E43" s="306">
        <v>6.3E-2</v>
      </c>
      <c r="F43" s="306">
        <v>0.2016</v>
      </c>
    </row>
    <row r="44" spans="2:32">
      <c r="B44" s="199" t="s">
        <v>397</v>
      </c>
      <c r="C44" s="197" t="s">
        <v>398</v>
      </c>
      <c r="D44" s="306">
        <v>0.23180000000000001</v>
      </c>
      <c r="E44" s="306">
        <v>0.1041</v>
      </c>
      <c r="F44" s="306">
        <v>0.23</v>
      </c>
    </row>
    <row r="45" spans="2:32">
      <c r="B45" s="199" t="s">
        <v>524</v>
      </c>
      <c r="C45" s="197" t="s">
        <v>525</v>
      </c>
      <c r="D45" s="306">
        <v>0.1658</v>
      </c>
      <c r="E45" s="306">
        <v>4.9799999999999997E-2</v>
      </c>
      <c r="F45" s="306">
        <v>0.16259999999999999</v>
      </c>
    </row>
    <row r="46" spans="2:32">
      <c r="B46" s="199" t="s">
        <v>696</v>
      </c>
      <c r="C46" s="197" t="s">
        <v>697</v>
      </c>
      <c r="D46" s="306">
        <v>0.26300000000000001</v>
      </c>
      <c r="E46" s="306">
        <v>4.02E-2</v>
      </c>
      <c r="F46" s="306">
        <v>0.25729999999999997</v>
      </c>
    </row>
    <row r="47" spans="2:32">
      <c r="B47" s="199" t="s">
        <v>665</v>
      </c>
      <c r="C47" s="197" t="s">
        <v>666</v>
      </c>
      <c r="D47" s="306">
        <v>0.188</v>
      </c>
      <c r="E47" s="306">
        <v>3.2800000000000003E-2</v>
      </c>
      <c r="F47" s="306">
        <v>0.1145</v>
      </c>
    </row>
    <row r="48" spans="2:32">
      <c r="B48" s="199" t="s">
        <v>704</v>
      </c>
      <c r="C48" s="197" t="s">
        <v>705</v>
      </c>
      <c r="D48" s="306">
        <v>0.23319999999999999</v>
      </c>
      <c r="E48" s="306">
        <v>3.1099999999999999E-2</v>
      </c>
      <c r="F48" s="306">
        <v>0.17330000000000001</v>
      </c>
    </row>
    <row r="49" spans="2:6">
      <c r="B49" s="199" t="s">
        <v>636</v>
      </c>
      <c r="C49" s="197" t="s">
        <v>1266</v>
      </c>
      <c r="D49" s="306">
        <v>0.23250000000000001</v>
      </c>
      <c r="E49" s="306">
        <v>3.39E-2</v>
      </c>
      <c r="F49" s="306">
        <v>0.2185</v>
      </c>
    </row>
    <row r="50" spans="2:6">
      <c r="B50" s="199" t="s">
        <v>669</v>
      </c>
      <c r="C50" s="197" t="s">
        <v>1266</v>
      </c>
      <c r="D50" s="306">
        <v>0.2253</v>
      </c>
      <c r="E50" s="306">
        <v>2.24E-2</v>
      </c>
      <c r="F50" s="306">
        <v>0.23849999999999999</v>
      </c>
    </row>
    <row r="51" spans="2:6">
      <c r="B51" s="199" t="s">
        <v>629</v>
      </c>
      <c r="C51" s="197" t="s">
        <v>630</v>
      </c>
      <c r="D51" s="306">
        <v>0.18410000000000001</v>
      </c>
      <c r="E51" s="306">
        <v>2.2700000000000001E-2</v>
      </c>
      <c r="F51" s="306">
        <v>0.1918</v>
      </c>
    </row>
    <row r="52" spans="2:6">
      <c r="B52" s="199" t="s">
        <v>546</v>
      </c>
      <c r="C52" s="197" t="s">
        <v>547</v>
      </c>
      <c r="D52" s="306">
        <v>0.2344</v>
      </c>
      <c r="E52" s="306">
        <v>4.6699999999999998E-2</v>
      </c>
      <c r="F52" s="306">
        <v>0.22159999999999999</v>
      </c>
    </row>
    <row r="53" spans="2:6">
      <c r="B53" s="199" t="s">
        <v>555</v>
      </c>
      <c r="C53" s="197" t="s">
        <v>556</v>
      </c>
      <c r="D53" s="306">
        <v>0.1991</v>
      </c>
      <c r="E53" s="306">
        <v>5.4800000000000001E-2</v>
      </c>
      <c r="F53" s="306">
        <v>0.191</v>
      </c>
    </row>
    <row r="54" spans="2:6">
      <c r="B54" s="199" t="s">
        <v>315</v>
      </c>
      <c r="C54" s="197" t="s">
        <v>316</v>
      </c>
      <c r="D54" s="306">
        <v>0.24579999999999999</v>
      </c>
      <c r="E54" s="306">
        <v>4.2700000000000002E-2</v>
      </c>
      <c r="F54" s="306">
        <v>0.23619999999999999</v>
      </c>
    </row>
    <row r="55" spans="2:6">
      <c r="B55" s="199" t="s">
        <v>285</v>
      </c>
      <c r="C55" s="197" t="s">
        <v>286</v>
      </c>
      <c r="D55" s="306">
        <v>0.192</v>
      </c>
      <c r="E55" s="306">
        <v>1.78E-2</v>
      </c>
      <c r="F55" s="306">
        <v>0.1978</v>
      </c>
    </row>
    <row r="56" spans="2:6">
      <c r="B56" s="199" t="s">
        <v>327</v>
      </c>
      <c r="C56" s="197" t="s">
        <v>328</v>
      </c>
      <c r="D56" s="306">
        <v>0.25919999999999999</v>
      </c>
      <c r="E56" s="306">
        <v>5.4300000000000001E-2</v>
      </c>
      <c r="F56" s="306">
        <v>0.27310000000000001</v>
      </c>
    </row>
    <row r="57" spans="2:6">
      <c r="B57" s="199" t="s">
        <v>207</v>
      </c>
      <c r="C57" s="197" t="s">
        <v>208</v>
      </c>
      <c r="D57" s="306">
        <v>0.24490000000000001</v>
      </c>
      <c r="E57" s="306">
        <v>8.6199999999999999E-2</v>
      </c>
      <c r="F57" s="306">
        <v>0.23799999999999999</v>
      </c>
    </row>
    <row r="58" spans="2:6">
      <c r="B58" s="199" t="s">
        <v>451</v>
      </c>
      <c r="C58" s="197" t="s">
        <v>452</v>
      </c>
      <c r="D58" s="306">
        <v>0.31040000000000001</v>
      </c>
      <c r="E58" s="306">
        <v>6.9000000000000006E-2</v>
      </c>
      <c r="F58" s="306">
        <v>0.35020000000000001</v>
      </c>
    </row>
    <row r="59" spans="2:6">
      <c r="B59" s="199" t="s">
        <v>261</v>
      </c>
      <c r="C59" s="197" t="s">
        <v>262</v>
      </c>
      <c r="D59" s="306">
        <v>0.37259999999999999</v>
      </c>
      <c r="E59" s="306">
        <v>8.5599999999999996E-2</v>
      </c>
      <c r="F59" s="306">
        <v>0.44109999999999999</v>
      </c>
    </row>
    <row r="60" spans="2:6">
      <c r="B60" s="199" t="s">
        <v>504</v>
      </c>
      <c r="C60" s="197" t="s">
        <v>505</v>
      </c>
      <c r="D60" s="306">
        <v>0.27160000000000001</v>
      </c>
      <c r="E60" s="306">
        <v>4.8000000000000001E-2</v>
      </c>
      <c r="F60" s="306">
        <v>0.28720000000000001</v>
      </c>
    </row>
    <row r="61" spans="2:6">
      <c r="B61" s="199" t="s">
        <v>387</v>
      </c>
      <c r="C61" s="197" t="s">
        <v>388</v>
      </c>
      <c r="D61" s="306">
        <v>0.28270000000000001</v>
      </c>
      <c r="E61" s="306">
        <v>1.46E-2</v>
      </c>
      <c r="F61" s="306">
        <v>0.33310000000000001</v>
      </c>
    </row>
    <row r="62" spans="2:6">
      <c r="B62" s="199" t="s">
        <v>589</v>
      </c>
      <c r="C62" s="197" t="s">
        <v>590</v>
      </c>
      <c r="D62" s="306">
        <v>0.2034</v>
      </c>
      <c r="E62" s="306">
        <v>4.3400000000000001E-2</v>
      </c>
      <c r="F62" s="306">
        <v>0.193</v>
      </c>
    </row>
    <row r="63" spans="2:6">
      <c r="B63" s="199" t="s">
        <v>459</v>
      </c>
      <c r="C63" s="197" t="s">
        <v>460</v>
      </c>
      <c r="D63" s="306">
        <v>0.2273</v>
      </c>
      <c r="E63" s="306">
        <v>3.3300000000000003E-2</v>
      </c>
      <c r="F63" s="306">
        <v>0.22359999999999999</v>
      </c>
    </row>
    <row r="64" spans="2:6">
      <c r="B64" s="199" t="s">
        <v>231</v>
      </c>
      <c r="C64" s="197" t="s">
        <v>232</v>
      </c>
      <c r="D64" s="306">
        <v>0.24010000000000001</v>
      </c>
      <c r="E64" s="306">
        <v>5.4800000000000001E-2</v>
      </c>
      <c r="F64" s="306">
        <v>0.25030000000000002</v>
      </c>
    </row>
    <row r="65" spans="2:6">
      <c r="B65" s="199" t="s">
        <v>617</v>
      </c>
      <c r="C65" s="197" t="s">
        <v>618</v>
      </c>
      <c r="D65" s="306">
        <v>0.17810000000000001</v>
      </c>
      <c r="E65" s="306">
        <v>4.87E-2</v>
      </c>
      <c r="F65" s="306">
        <v>0.17280000000000001</v>
      </c>
    </row>
    <row r="66" spans="2:6">
      <c r="B66" s="199" t="s">
        <v>520</v>
      </c>
      <c r="C66" s="197" t="s">
        <v>521</v>
      </c>
      <c r="D66" s="306">
        <v>0.20910000000000001</v>
      </c>
      <c r="E66" s="306">
        <v>8.3500000000000005E-2</v>
      </c>
      <c r="F66" s="306">
        <v>0.20880000000000001</v>
      </c>
    </row>
    <row r="67" spans="2:6">
      <c r="B67" s="199" t="s">
        <v>661</v>
      </c>
      <c r="C67" s="197" t="s">
        <v>662</v>
      </c>
      <c r="D67" s="306">
        <v>0.50239999999999996</v>
      </c>
      <c r="E67" s="306">
        <v>0.19570000000000001</v>
      </c>
      <c r="F67" s="306">
        <v>0.54730000000000001</v>
      </c>
    </row>
    <row r="68" spans="2:6">
      <c r="B68" s="199" t="s">
        <v>613</v>
      </c>
      <c r="C68" s="197" t="s">
        <v>1264</v>
      </c>
      <c r="D68" s="306">
        <v>0.17100000000000001</v>
      </c>
      <c r="E68" s="306">
        <v>3.2399999999999998E-2</v>
      </c>
      <c r="F68" s="306">
        <v>0.1673</v>
      </c>
    </row>
    <row r="69" spans="2:6">
      <c r="B69" s="199" t="s">
        <v>720</v>
      </c>
      <c r="C69" s="197" t="s">
        <v>1264</v>
      </c>
      <c r="D69" s="306">
        <v>0.1668</v>
      </c>
      <c r="E69" s="306">
        <v>5.2299999999999999E-2</v>
      </c>
      <c r="F69" s="306">
        <v>0.16220000000000001</v>
      </c>
    </row>
    <row r="70" spans="2:6">
      <c r="B70" s="199" t="s">
        <v>253</v>
      </c>
      <c r="C70" s="197" t="s">
        <v>254</v>
      </c>
      <c r="D70" s="306">
        <v>0.1542</v>
      </c>
      <c r="E70" s="306">
        <v>4.8399999999999999E-2</v>
      </c>
      <c r="F70" s="306">
        <v>0.14960000000000001</v>
      </c>
    </row>
    <row r="71" spans="2:6">
      <c r="B71" s="199" t="s">
        <v>389</v>
      </c>
      <c r="C71" s="197" t="s">
        <v>390</v>
      </c>
      <c r="D71" s="306">
        <v>0.34060000000000001</v>
      </c>
      <c r="E71" s="306">
        <v>4.9500000000000002E-2</v>
      </c>
      <c r="F71" s="306">
        <v>0.31169999999999998</v>
      </c>
    </row>
    <row r="72" spans="2:6">
      <c r="B72" s="199" t="s">
        <v>532</v>
      </c>
      <c r="C72" s="197" t="s">
        <v>533</v>
      </c>
      <c r="D72" s="306">
        <v>0.19359999999999999</v>
      </c>
      <c r="E72" s="306">
        <v>2.8899999999999999E-2</v>
      </c>
      <c r="F72" s="306">
        <v>0.15359999999999999</v>
      </c>
    </row>
    <row r="73" spans="2:6">
      <c r="B73" s="199" t="s">
        <v>573</v>
      </c>
      <c r="C73" s="197" t="s">
        <v>574</v>
      </c>
      <c r="D73" s="306">
        <v>0.1265</v>
      </c>
      <c r="E73" s="306">
        <v>3.8300000000000001E-2</v>
      </c>
      <c r="F73" s="306">
        <v>0.1225</v>
      </c>
    </row>
    <row r="74" spans="2:6">
      <c r="B74" s="199" t="s">
        <v>393</v>
      </c>
      <c r="C74" s="197" t="s">
        <v>394</v>
      </c>
      <c r="D74" s="306">
        <v>0.2014</v>
      </c>
      <c r="E74" s="306">
        <v>5.4300000000000001E-2</v>
      </c>
      <c r="F74" s="306">
        <v>0.16070000000000001</v>
      </c>
    </row>
    <row r="75" spans="2:6">
      <c r="B75" s="199" t="s">
        <v>309</v>
      </c>
      <c r="C75" s="197" t="s">
        <v>310</v>
      </c>
      <c r="D75" s="306">
        <v>0.21510000000000001</v>
      </c>
      <c r="E75" s="306">
        <v>4.2500000000000003E-2</v>
      </c>
      <c r="F75" s="306">
        <v>0.2364</v>
      </c>
    </row>
    <row r="76" spans="2:6">
      <c r="B76" s="199" t="s">
        <v>706</v>
      </c>
      <c r="C76" s="197" t="s">
        <v>707</v>
      </c>
      <c r="D76" s="306">
        <v>0.30919999999999997</v>
      </c>
      <c r="E76" s="306">
        <v>4.5699999999999998E-2</v>
      </c>
      <c r="F76" s="306">
        <v>0.27129999999999999</v>
      </c>
    </row>
    <row r="77" spans="2:6">
      <c r="B77" s="199" t="s">
        <v>195</v>
      </c>
      <c r="C77" s="197" t="s">
        <v>196</v>
      </c>
      <c r="D77" s="306">
        <v>0.24709999999999999</v>
      </c>
      <c r="E77" s="306">
        <v>7.7799999999999994E-2</v>
      </c>
      <c r="F77" s="306">
        <v>0.27229999999999999</v>
      </c>
    </row>
    <row r="78" spans="2:6">
      <c r="B78" s="199" t="s">
        <v>345</v>
      </c>
      <c r="C78" s="197" t="s">
        <v>346</v>
      </c>
      <c r="D78" s="306">
        <v>0.1845</v>
      </c>
      <c r="E78" s="306">
        <v>6.0400000000000002E-2</v>
      </c>
      <c r="F78" s="306">
        <v>0.16309999999999999</v>
      </c>
    </row>
    <row r="79" spans="2:6">
      <c r="B79" s="199" t="s">
        <v>293</v>
      </c>
      <c r="C79" s="197" t="s">
        <v>294</v>
      </c>
      <c r="D79" s="306">
        <v>0.15110000000000001</v>
      </c>
      <c r="E79" s="306">
        <v>3.8899999999999997E-2</v>
      </c>
      <c r="F79" s="306">
        <v>0.152</v>
      </c>
    </row>
    <row r="80" spans="2:6">
      <c r="B80" s="199" t="s">
        <v>421</v>
      </c>
      <c r="C80" s="197" t="s">
        <v>422</v>
      </c>
      <c r="D80" s="306">
        <v>0.34770000000000001</v>
      </c>
      <c r="E80" s="306">
        <v>0.17630000000000001</v>
      </c>
      <c r="F80" s="306">
        <v>0.3639</v>
      </c>
    </row>
    <row r="81" spans="2:6">
      <c r="B81" s="199" t="s">
        <v>567</v>
      </c>
      <c r="C81" s="197" t="s">
        <v>568</v>
      </c>
      <c r="D81" s="306">
        <v>0.1394</v>
      </c>
      <c r="E81" s="306">
        <v>3.7400000000000003E-2</v>
      </c>
      <c r="F81" s="306">
        <v>0.13850000000000001</v>
      </c>
    </row>
    <row r="82" spans="2:6">
      <c r="B82" s="199" t="s">
        <v>224</v>
      </c>
      <c r="C82" s="197" t="s">
        <v>1260</v>
      </c>
      <c r="D82" s="306">
        <v>0.12809999999999999</v>
      </c>
      <c r="E82" s="306">
        <v>4.2900000000000001E-2</v>
      </c>
      <c r="F82" s="306">
        <v>8.3299999999999999E-2</v>
      </c>
    </row>
    <row r="83" spans="2:6">
      <c r="B83" s="199" t="s">
        <v>635</v>
      </c>
      <c r="C83" s="197" t="s">
        <v>1260</v>
      </c>
      <c r="D83" s="306">
        <v>0.1993</v>
      </c>
      <c r="E83" s="306">
        <v>2.52E-2</v>
      </c>
      <c r="F83" s="306">
        <v>0.1973</v>
      </c>
    </row>
    <row r="84" spans="2:6">
      <c r="B84" s="199" t="s">
        <v>343</v>
      </c>
      <c r="C84" s="197" t="s">
        <v>344</v>
      </c>
      <c r="D84" s="306">
        <v>0.1293</v>
      </c>
      <c r="E84" s="306">
        <v>3.5700000000000003E-2</v>
      </c>
      <c r="F84" s="306">
        <v>0.1171</v>
      </c>
    </row>
    <row r="85" spans="2:6">
      <c r="B85" s="199" t="s">
        <v>676</v>
      </c>
      <c r="C85" s="197" t="s">
        <v>677</v>
      </c>
      <c r="D85" s="306">
        <v>0.14760000000000001</v>
      </c>
      <c r="E85" s="306">
        <v>4.5400000000000003E-2</v>
      </c>
      <c r="F85" s="306">
        <v>0.13619999999999999</v>
      </c>
    </row>
    <row r="86" spans="2:6">
      <c r="B86" s="199" t="s">
        <v>536</v>
      </c>
      <c r="C86" s="197" t="s">
        <v>537</v>
      </c>
      <c r="D86" s="306">
        <v>0.16009999999999999</v>
      </c>
      <c r="E86" s="306">
        <v>3.3500000000000002E-2</v>
      </c>
      <c r="F86" s="306">
        <v>0.111</v>
      </c>
    </row>
    <row r="87" spans="2:6">
      <c r="B87" s="199" t="s">
        <v>185</v>
      </c>
      <c r="C87" s="197" t="s">
        <v>186</v>
      </c>
      <c r="D87" s="306">
        <v>0.2014</v>
      </c>
      <c r="E87" s="306">
        <v>6.7299999999999999E-2</v>
      </c>
      <c r="F87" s="306">
        <v>0.19939999999999999</v>
      </c>
    </row>
    <row r="88" spans="2:6">
      <c r="B88" s="199" t="s">
        <v>528</v>
      </c>
      <c r="C88" s="197" t="s">
        <v>529</v>
      </c>
      <c r="D88" s="306">
        <v>0.17180000000000001</v>
      </c>
      <c r="E88" s="306">
        <v>7.0000000000000007E-2</v>
      </c>
      <c r="F88" s="306">
        <v>0.21479999999999999</v>
      </c>
    </row>
    <row r="89" spans="2:6">
      <c r="B89" s="199" t="s">
        <v>609</v>
      </c>
      <c r="C89" s="197" t="s">
        <v>610</v>
      </c>
      <c r="D89" s="306">
        <v>0.21410000000000001</v>
      </c>
      <c r="E89" s="306">
        <v>4.07E-2</v>
      </c>
      <c r="F89" s="306">
        <v>0.21210000000000001</v>
      </c>
    </row>
    <row r="90" spans="2:6">
      <c r="B90" s="199" t="s">
        <v>700</v>
      </c>
      <c r="C90" s="197" t="s">
        <v>701</v>
      </c>
      <c r="D90" s="306">
        <v>0.24060000000000001</v>
      </c>
      <c r="E90" s="306">
        <v>3.6200000000000003E-2</v>
      </c>
      <c r="F90" s="306">
        <v>0.25840000000000002</v>
      </c>
    </row>
    <row r="91" spans="2:6">
      <c r="B91" s="199" t="s">
        <v>407</v>
      </c>
      <c r="C91" s="197" t="s">
        <v>408</v>
      </c>
      <c r="D91" s="306">
        <v>0.31140000000000001</v>
      </c>
      <c r="E91" s="306">
        <v>4.87E-2</v>
      </c>
      <c r="F91" s="306">
        <v>0.3085</v>
      </c>
    </row>
    <row r="92" spans="2:6">
      <c r="B92" s="199" t="s">
        <v>413</v>
      </c>
      <c r="C92" s="197" t="s">
        <v>414</v>
      </c>
      <c r="D92" s="306">
        <v>0.1883</v>
      </c>
      <c r="E92" s="306">
        <v>5.8900000000000001E-2</v>
      </c>
      <c r="F92" s="306">
        <v>0.16439999999999999</v>
      </c>
    </row>
    <row r="93" spans="2:6">
      <c r="B93" s="199" t="s">
        <v>297</v>
      </c>
      <c r="C93" s="197" t="s">
        <v>298</v>
      </c>
      <c r="D93" s="306">
        <v>0.2326</v>
      </c>
      <c r="E93" s="306">
        <v>5.96E-2</v>
      </c>
      <c r="F93" s="306">
        <v>0.23930000000000001</v>
      </c>
    </row>
    <row r="94" spans="2:6">
      <c r="B94" s="199" t="s">
        <v>725</v>
      </c>
      <c r="C94" s="197" t="s">
        <v>726</v>
      </c>
      <c r="D94" s="306">
        <v>0.1883</v>
      </c>
      <c r="E94" s="306">
        <v>4.9500000000000002E-2</v>
      </c>
      <c r="F94" s="306">
        <v>0.17319999999999999</v>
      </c>
    </row>
    <row r="95" spans="2:6">
      <c r="B95" s="199" t="s">
        <v>733</v>
      </c>
      <c r="C95" s="197" t="s">
        <v>734</v>
      </c>
      <c r="D95" s="306">
        <v>0.1903</v>
      </c>
      <c r="E95" s="306">
        <v>4.5900000000000003E-2</v>
      </c>
      <c r="F95" s="306">
        <v>0.1857</v>
      </c>
    </row>
    <row r="96" spans="2:6">
      <c r="B96" s="199" t="s">
        <v>591</v>
      </c>
      <c r="C96" s="197" t="s">
        <v>592</v>
      </c>
      <c r="D96" s="306">
        <v>0.1532</v>
      </c>
      <c r="E96" s="306">
        <v>3.6999999999999998E-2</v>
      </c>
      <c r="F96" s="306">
        <v>0.14349999999999999</v>
      </c>
    </row>
    <row r="97" spans="2:7">
      <c r="B97" s="199" t="s">
        <v>463</v>
      </c>
      <c r="C97" s="197" t="s">
        <v>464</v>
      </c>
      <c r="D97" s="306">
        <v>0.2591</v>
      </c>
      <c r="E97" s="306">
        <v>6.4399999999999999E-2</v>
      </c>
      <c r="F97" s="306">
        <v>0.27829999999999999</v>
      </c>
    </row>
    <row r="98" spans="2:7">
      <c r="B98" s="199" t="s">
        <v>599</v>
      </c>
      <c r="C98" s="197" t="s">
        <v>600</v>
      </c>
      <c r="D98" s="306">
        <v>0.2306</v>
      </c>
      <c r="E98" s="306">
        <v>4.1000000000000002E-2</v>
      </c>
      <c r="F98" s="306">
        <v>0.24390000000000001</v>
      </c>
    </row>
    <row r="99" spans="2:7">
      <c r="B99" s="307" t="s">
        <v>1369</v>
      </c>
      <c r="C99" s="197" t="s">
        <v>1733</v>
      </c>
      <c r="D99" s="311">
        <v>0.1</v>
      </c>
      <c r="E99" s="311">
        <v>0.08</v>
      </c>
      <c r="F99" s="311">
        <v>0.1</v>
      </c>
    </row>
    <row r="100" spans="2:7">
      <c r="B100" s="307" t="s">
        <v>1353</v>
      </c>
      <c r="C100" s="197" t="s">
        <v>1734</v>
      </c>
      <c r="D100" s="311">
        <v>0.1</v>
      </c>
      <c r="E100" s="311">
        <v>0.08</v>
      </c>
      <c r="F100" s="311">
        <v>0.1</v>
      </c>
    </row>
    <row r="101" spans="2:7">
      <c r="B101" s="307" t="s">
        <v>1620</v>
      </c>
      <c r="C101" s="197" t="s">
        <v>1735</v>
      </c>
      <c r="D101" s="311">
        <v>0.1</v>
      </c>
      <c r="E101" s="311">
        <v>0.08</v>
      </c>
      <c r="F101" s="311">
        <v>0.1</v>
      </c>
    </row>
    <row r="102" spans="2:7">
      <c r="B102" s="199" t="s">
        <v>220</v>
      </c>
      <c r="C102" s="197" t="s">
        <v>221</v>
      </c>
      <c r="D102" s="306">
        <v>0.32800000000000001</v>
      </c>
      <c r="E102" s="306">
        <v>0.1371</v>
      </c>
      <c r="F102" s="306">
        <v>0.38450000000000001</v>
      </c>
    </row>
    <row r="103" spans="2:7">
      <c r="B103" s="199" t="s">
        <v>653</v>
      </c>
      <c r="C103" s="197" t="s">
        <v>654</v>
      </c>
      <c r="D103" s="306">
        <v>0.19539999999999999</v>
      </c>
      <c r="E103" s="306">
        <v>4.3499999999999997E-2</v>
      </c>
      <c r="F103" s="306">
        <v>0.21210000000000001</v>
      </c>
    </row>
    <row r="104" spans="2:7">
      <c r="B104" s="199" t="s">
        <v>457</v>
      </c>
      <c r="C104" s="197" t="s">
        <v>458</v>
      </c>
      <c r="D104" s="306">
        <v>0.2157</v>
      </c>
      <c r="E104" s="306">
        <v>4.0399999999999998E-2</v>
      </c>
      <c r="F104" s="306">
        <v>0.2031</v>
      </c>
    </row>
    <row r="105" spans="2:7">
      <c r="B105" s="199" t="s">
        <v>731</v>
      </c>
      <c r="C105" s="197" t="s">
        <v>732</v>
      </c>
      <c r="D105" s="306">
        <v>0.2142</v>
      </c>
      <c r="E105" s="306">
        <v>3.9699999999999999E-2</v>
      </c>
      <c r="F105" s="306">
        <v>0.21229999999999999</v>
      </c>
    </row>
    <row r="106" spans="2:7">
      <c r="B106" s="199" t="s">
        <v>349</v>
      </c>
      <c r="C106" s="197" t="s">
        <v>350</v>
      </c>
      <c r="D106" s="306">
        <v>0.1434</v>
      </c>
      <c r="E106" s="306">
        <v>3.2399999999999998E-2</v>
      </c>
      <c r="F106" s="306">
        <v>0.1321</v>
      </c>
    </row>
    <row r="107" spans="2:7">
      <c r="B107" s="199" t="s">
        <v>217</v>
      </c>
      <c r="C107" s="197" t="s">
        <v>218</v>
      </c>
      <c r="D107" s="306">
        <v>0.1963</v>
      </c>
      <c r="E107" s="306">
        <v>3.1300000000000001E-2</v>
      </c>
      <c r="F107" s="306">
        <v>0.20019999999999999</v>
      </c>
    </row>
    <row r="108" spans="2:7">
      <c r="B108" s="199" t="s">
        <v>473</v>
      </c>
      <c r="C108" s="197" t="s">
        <v>474</v>
      </c>
      <c r="D108" s="306">
        <v>0.22159999999999999</v>
      </c>
      <c r="E108" s="306">
        <v>5.5800000000000002E-2</v>
      </c>
      <c r="F108" s="306">
        <v>0.27039999999999997</v>
      </c>
    </row>
    <row r="109" spans="2:7">
      <c r="B109" s="199" t="s">
        <v>301</v>
      </c>
      <c r="C109" s="197" t="s">
        <v>302</v>
      </c>
      <c r="D109" s="306">
        <v>0.20300000000000001</v>
      </c>
      <c r="E109" s="306">
        <v>4.2900000000000001E-2</v>
      </c>
      <c r="F109" s="306">
        <v>0.16739999999999999</v>
      </c>
    </row>
    <row r="110" spans="2:7">
      <c r="B110" s="297" t="s">
        <v>1686</v>
      </c>
      <c r="C110" s="298" t="s">
        <v>1743</v>
      </c>
      <c r="D110" s="300">
        <v>0.1</v>
      </c>
      <c r="E110" s="300">
        <v>0.08</v>
      </c>
      <c r="F110" s="300">
        <v>0.1</v>
      </c>
      <c r="G110" s="119"/>
    </row>
    <row r="111" spans="2:7">
      <c r="B111" s="199" t="s">
        <v>265</v>
      </c>
      <c r="C111" s="197" t="s">
        <v>266</v>
      </c>
      <c r="D111" s="306">
        <v>0.28599999999999998</v>
      </c>
      <c r="E111" s="306">
        <v>5.2699999999999997E-2</v>
      </c>
      <c r="F111" s="306">
        <v>0.27260000000000001</v>
      </c>
    </row>
    <row r="112" spans="2:7">
      <c r="B112" s="199" t="s">
        <v>579</v>
      </c>
      <c r="C112" s="197" t="s">
        <v>580</v>
      </c>
      <c r="D112" s="306">
        <v>0.42049999999999998</v>
      </c>
      <c r="E112" s="306">
        <v>0.1966</v>
      </c>
      <c r="F112" s="306">
        <v>0.45150000000000001</v>
      </c>
    </row>
    <row r="113" spans="2:6">
      <c r="B113" s="199" t="s">
        <v>367</v>
      </c>
      <c r="C113" s="197" t="s">
        <v>368</v>
      </c>
      <c r="D113" s="306">
        <v>0.13200000000000001</v>
      </c>
      <c r="E113" s="306">
        <v>4.1599999999999998E-2</v>
      </c>
      <c r="F113" s="306">
        <v>0.12989999999999999</v>
      </c>
    </row>
    <row r="114" spans="2:6">
      <c r="B114" s="199" t="s">
        <v>275</v>
      </c>
      <c r="C114" s="197" t="s">
        <v>276</v>
      </c>
      <c r="D114" s="306">
        <v>0.50849999999999995</v>
      </c>
      <c r="E114" s="306">
        <v>6.1000000000000004E-3</v>
      </c>
      <c r="F114" s="306">
        <v>0.34589999999999999</v>
      </c>
    </row>
    <row r="115" spans="2:6">
      <c r="B115" s="199" t="s">
        <v>241</v>
      </c>
      <c r="C115" s="197" t="s">
        <v>242</v>
      </c>
      <c r="D115" s="306">
        <v>0.1777</v>
      </c>
      <c r="E115" s="306">
        <v>1.8599999999999998E-2</v>
      </c>
      <c r="F115" s="306">
        <v>0.15840000000000001</v>
      </c>
    </row>
    <row r="116" spans="2:6">
      <c r="B116" s="199" t="s">
        <v>259</v>
      </c>
      <c r="C116" s="197" t="s">
        <v>260</v>
      </c>
      <c r="D116" s="306">
        <v>0.4304</v>
      </c>
      <c r="E116" s="306">
        <v>5.9299999999999999E-2</v>
      </c>
      <c r="F116" s="306">
        <v>0.37719999999999998</v>
      </c>
    </row>
    <row r="117" spans="2:6">
      <c r="B117" s="199" t="s">
        <v>245</v>
      </c>
      <c r="C117" s="197" t="s">
        <v>246</v>
      </c>
      <c r="D117" s="306">
        <v>0.1608</v>
      </c>
      <c r="E117" s="306">
        <v>4.2500000000000003E-2</v>
      </c>
      <c r="F117" s="306">
        <v>0.1449</v>
      </c>
    </row>
    <row r="118" spans="2:6">
      <c r="B118" s="199" t="s">
        <v>179</v>
      </c>
      <c r="C118" s="197" t="s">
        <v>180</v>
      </c>
      <c r="D118" s="306">
        <v>0.14269999999999999</v>
      </c>
      <c r="E118" s="306">
        <v>3.5799999999999998E-2</v>
      </c>
      <c r="F118" s="306">
        <v>0.13239999999999999</v>
      </c>
    </row>
    <row r="119" spans="2:6">
      <c r="B119" s="199" t="s">
        <v>373</v>
      </c>
      <c r="C119" s="197" t="s">
        <v>374</v>
      </c>
      <c r="D119" s="306">
        <v>0.13009999999999999</v>
      </c>
      <c r="E119" s="306">
        <v>4.0500000000000001E-2</v>
      </c>
      <c r="F119" s="306">
        <v>0.1124</v>
      </c>
    </row>
    <row r="120" spans="2:6">
      <c r="B120" s="199" t="s">
        <v>641</v>
      </c>
      <c r="C120" s="197" t="s">
        <v>642</v>
      </c>
      <c r="D120" s="306">
        <v>0.20349999999999999</v>
      </c>
      <c r="E120" s="306">
        <v>2.64E-2</v>
      </c>
      <c r="F120" s="306">
        <v>0.126</v>
      </c>
    </row>
    <row r="121" spans="2:6">
      <c r="B121" s="199" t="s">
        <v>183</v>
      </c>
      <c r="C121" s="197" t="s">
        <v>184</v>
      </c>
      <c r="D121" s="306">
        <v>0.19139999999999999</v>
      </c>
      <c r="E121" s="306">
        <v>4.8300000000000003E-2</v>
      </c>
      <c r="F121" s="306">
        <v>0.1741</v>
      </c>
    </row>
    <row r="122" spans="2:6">
      <c r="B122" s="199" t="s">
        <v>395</v>
      </c>
      <c r="C122" s="197" t="s">
        <v>396</v>
      </c>
      <c r="D122" s="306">
        <v>0.26479999999999998</v>
      </c>
      <c r="E122" s="306">
        <v>7.0400000000000004E-2</v>
      </c>
      <c r="F122" s="306">
        <v>0.218</v>
      </c>
    </row>
    <row r="123" spans="2:6">
      <c r="B123" s="199" t="s">
        <v>409</v>
      </c>
      <c r="C123" s="197" t="s">
        <v>410</v>
      </c>
      <c r="D123" s="306">
        <v>0.3332</v>
      </c>
      <c r="E123" s="306">
        <v>3.5400000000000001E-2</v>
      </c>
      <c r="F123" s="306">
        <v>0.25469999999999998</v>
      </c>
    </row>
    <row r="124" spans="2:6">
      <c r="B124" s="199" t="s">
        <v>553</v>
      </c>
      <c r="C124" s="197" t="s">
        <v>554</v>
      </c>
      <c r="D124" s="306">
        <v>0.23760000000000001</v>
      </c>
      <c r="E124" s="306">
        <v>7.1300000000000002E-2</v>
      </c>
      <c r="F124" s="306">
        <v>0.2475</v>
      </c>
    </row>
    <row r="125" spans="2:6">
      <c r="B125" s="199" t="s">
        <v>219</v>
      </c>
      <c r="C125" s="197" t="s">
        <v>1259</v>
      </c>
      <c r="D125" s="306">
        <v>0.1653</v>
      </c>
      <c r="E125" s="306">
        <v>0.1123</v>
      </c>
      <c r="F125" s="306">
        <v>5.9299999999999999E-2</v>
      </c>
    </row>
    <row r="126" spans="2:6">
      <c r="B126" s="199" t="s">
        <v>688</v>
      </c>
      <c r="C126" s="197" t="s">
        <v>689</v>
      </c>
      <c r="D126" s="306">
        <v>0.27850000000000003</v>
      </c>
      <c r="E126" s="306">
        <v>5.7700000000000001E-2</v>
      </c>
      <c r="F126" s="306">
        <v>0.28249999999999997</v>
      </c>
    </row>
    <row r="127" spans="2:6">
      <c r="B127" s="199" t="s">
        <v>197</v>
      </c>
      <c r="C127" s="197" t="s">
        <v>198</v>
      </c>
      <c r="D127" s="306">
        <v>0.17519999999999999</v>
      </c>
      <c r="E127" s="306">
        <v>5.1400000000000001E-2</v>
      </c>
      <c r="F127" s="306">
        <v>0.17</v>
      </c>
    </row>
    <row r="128" spans="2:6">
      <c r="B128" s="199" t="s">
        <v>313</v>
      </c>
      <c r="C128" s="197" t="s">
        <v>314</v>
      </c>
      <c r="D128" s="306">
        <v>0.31740000000000002</v>
      </c>
      <c r="E128" s="306">
        <v>3.1199999999999999E-2</v>
      </c>
      <c r="F128" s="306">
        <v>0.25340000000000001</v>
      </c>
    </row>
    <row r="129" spans="2:6">
      <c r="B129" s="199" t="s">
        <v>569</v>
      </c>
      <c r="C129" s="197" t="s">
        <v>570</v>
      </c>
      <c r="D129" s="306">
        <v>0.1419</v>
      </c>
      <c r="E129" s="306">
        <v>3.4599999999999999E-2</v>
      </c>
      <c r="F129" s="306">
        <v>0.13969999999999999</v>
      </c>
    </row>
    <row r="130" spans="2:6">
      <c r="B130" s="199" t="s">
        <v>371</v>
      </c>
      <c r="C130" s="197" t="s">
        <v>372</v>
      </c>
      <c r="D130" s="306">
        <v>0.1119</v>
      </c>
      <c r="E130" s="306">
        <v>2.8000000000000001E-2</v>
      </c>
      <c r="F130" s="306">
        <v>9.8199999999999996E-2</v>
      </c>
    </row>
    <row r="131" spans="2:6">
      <c r="B131" s="199" t="s">
        <v>585</v>
      </c>
      <c r="C131" s="197" t="s">
        <v>586</v>
      </c>
      <c r="D131" s="306">
        <v>0.19470000000000001</v>
      </c>
      <c r="E131" s="306">
        <v>4.6300000000000001E-2</v>
      </c>
      <c r="F131" s="306">
        <v>0.187</v>
      </c>
    </row>
    <row r="132" spans="2:6">
      <c r="B132" s="199" t="s">
        <v>690</v>
      </c>
      <c r="C132" s="197" t="s">
        <v>691</v>
      </c>
      <c r="D132" s="306">
        <v>0.37480000000000002</v>
      </c>
      <c r="E132" s="306">
        <v>0.1651</v>
      </c>
      <c r="F132" s="306">
        <v>0.39410000000000001</v>
      </c>
    </row>
    <row r="133" spans="2:6">
      <c r="B133" s="199" t="s">
        <v>614</v>
      </c>
      <c r="C133" s="197" t="s">
        <v>615</v>
      </c>
      <c r="D133" s="306">
        <v>0.24779999999999999</v>
      </c>
      <c r="E133" s="306">
        <v>2.8899999999999999E-2</v>
      </c>
      <c r="F133" s="306">
        <v>0.23680000000000001</v>
      </c>
    </row>
    <row r="134" spans="2:6">
      <c r="B134" s="199" t="s">
        <v>171</v>
      </c>
      <c r="C134" s="197" t="s">
        <v>172</v>
      </c>
      <c r="D134" s="306">
        <v>0.25919999999999999</v>
      </c>
      <c r="E134" s="306">
        <v>7.9299999999999995E-2</v>
      </c>
      <c r="F134" s="306">
        <v>0.29459999999999997</v>
      </c>
    </row>
    <row r="135" spans="2:6">
      <c r="B135" s="199" t="s">
        <v>235</v>
      </c>
      <c r="C135" s="197" t="s">
        <v>236</v>
      </c>
      <c r="D135" s="306">
        <v>0.1822</v>
      </c>
      <c r="E135" s="306">
        <v>5.1200000000000002E-2</v>
      </c>
      <c r="F135" s="306">
        <v>0.16819999999999999</v>
      </c>
    </row>
    <row r="136" spans="2:6">
      <c r="B136" s="199" t="s">
        <v>631</v>
      </c>
      <c r="C136" s="197" t="s">
        <v>632</v>
      </c>
      <c r="D136" s="306">
        <v>0.30299999999999999</v>
      </c>
      <c r="E136" s="306">
        <v>0.1237</v>
      </c>
      <c r="F136" s="306">
        <v>0.34160000000000001</v>
      </c>
    </row>
    <row r="137" spans="2:6">
      <c r="B137" s="199" t="s">
        <v>542</v>
      </c>
      <c r="C137" s="197" t="s">
        <v>543</v>
      </c>
      <c r="D137" s="306">
        <v>0.28720000000000001</v>
      </c>
      <c r="E137" s="306">
        <v>0.1002</v>
      </c>
      <c r="F137" s="306">
        <v>0.29149999999999998</v>
      </c>
    </row>
    <row r="138" spans="2:6">
      <c r="B138" s="310" t="s">
        <v>1240</v>
      </c>
      <c r="C138" s="197" t="s">
        <v>1736</v>
      </c>
      <c r="D138" s="306">
        <v>7.0000000000000007E-2</v>
      </c>
      <c r="E138" s="306">
        <v>0.08</v>
      </c>
      <c r="F138" s="306">
        <v>0.1</v>
      </c>
    </row>
    <row r="139" spans="2:6">
      <c r="B139" s="199" t="s">
        <v>417</v>
      </c>
      <c r="C139" s="197" t="s">
        <v>418</v>
      </c>
      <c r="D139" s="306">
        <v>0.28899999999999998</v>
      </c>
      <c r="E139" s="306">
        <v>5.1299999999999998E-2</v>
      </c>
      <c r="F139" s="306">
        <v>0.22989999999999999</v>
      </c>
    </row>
    <row r="140" spans="2:6">
      <c r="B140" s="199" t="s">
        <v>680</v>
      </c>
      <c r="C140" s="197" t="s">
        <v>681</v>
      </c>
      <c r="D140" s="306">
        <v>0.1424</v>
      </c>
      <c r="E140" s="306">
        <v>4.2900000000000001E-2</v>
      </c>
      <c r="F140" s="306">
        <v>0.13320000000000001</v>
      </c>
    </row>
    <row r="141" spans="2:6">
      <c r="B141" s="199" t="s">
        <v>723</v>
      </c>
      <c r="C141" s="197" t="s">
        <v>724</v>
      </c>
      <c r="D141" s="306">
        <v>0.27579999999999999</v>
      </c>
      <c r="E141" s="306">
        <v>8.6900000000000005E-2</v>
      </c>
      <c r="F141" s="306">
        <v>0.26200000000000001</v>
      </c>
    </row>
    <row r="142" spans="2:6">
      <c r="B142" s="199" t="s">
        <v>255</v>
      </c>
      <c r="C142" s="197" t="s">
        <v>256</v>
      </c>
      <c r="D142" s="306">
        <v>0.34510000000000002</v>
      </c>
      <c r="E142" s="306">
        <v>7.51E-2</v>
      </c>
      <c r="F142" s="306">
        <v>0.36220000000000002</v>
      </c>
    </row>
    <row r="143" spans="2:6">
      <c r="B143" s="199" t="s">
        <v>191</v>
      </c>
      <c r="C143" s="197" t="s">
        <v>192</v>
      </c>
      <c r="D143" s="306">
        <v>0.17510000000000001</v>
      </c>
      <c r="E143" s="306">
        <v>5.21E-2</v>
      </c>
      <c r="F143" s="306">
        <v>0.1714</v>
      </c>
    </row>
    <row r="144" spans="2:6">
      <c r="B144" s="199" t="s">
        <v>467</v>
      </c>
      <c r="C144" s="197" t="s">
        <v>468</v>
      </c>
      <c r="D144" s="306">
        <v>7.7299999999999994E-2</v>
      </c>
      <c r="E144" s="311">
        <v>0</v>
      </c>
      <c r="F144" s="311">
        <v>0</v>
      </c>
    </row>
    <row r="145" spans="2:6">
      <c r="B145" s="199" t="s">
        <v>637</v>
      </c>
      <c r="C145" s="197" t="s">
        <v>638</v>
      </c>
      <c r="D145" s="306">
        <v>0.25469999999999998</v>
      </c>
      <c r="E145" s="306">
        <v>5.9200000000000003E-2</v>
      </c>
      <c r="F145" s="306">
        <v>0.31709999999999999</v>
      </c>
    </row>
    <row r="146" spans="2:6">
      <c r="B146" s="199" t="s">
        <v>577</v>
      </c>
      <c r="C146" s="197" t="s">
        <v>578</v>
      </c>
      <c r="D146" s="306">
        <v>0.17069999999999999</v>
      </c>
      <c r="E146" s="306">
        <v>5.1400000000000001E-2</v>
      </c>
      <c r="F146" s="306">
        <v>0.18959999999999999</v>
      </c>
    </row>
    <row r="147" spans="2:6">
      <c r="B147" s="199" t="s">
        <v>305</v>
      </c>
      <c r="C147" s="197" t="s">
        <v>306</v>
      </c>
      <c r="D147" s="306">
        <v>0.2145</v>
      </c>
      <c r="E147" s="306">
        <v>7.4300000000000005E-2</v>
      </c>
      <c r="F147" s="306">
        <v>0.16830000000000001</v>
      </c>
    </row>
    <row r="148" spans="2:6">
      <c r="B148" s="199" t="s">
        <v>605</v>
      </c>
      <c r="C148" s="197" t="s">
        <v>606</v>
      </c>
      <c r="D148" s="306">
        <v>0.18890000000000001</v>
      </c>
      <c r="E148" s="306">
        <v>4.3299999999999998E-2</v>
      </c>
      <c r="F148" s="306">
        <v>0.20899999999999999</v>
      </c>
    </row>
    <row r="149" spans="2:6">
      <c r="B149" s="199" t="s">
        <v>603</v>
      </c>
      <c r="C149" s="197" t="s">
        <v>604</v>
      </c>
      <c r="D149" s="306">
        <v>0.1893</v>
      </c>
      <c r="E149" s="306">
        <v>2.6700000000000002E-2</v>
      </c>
      <c r="F149" s="306">
        <v>0.1782</v>
      </c>
    </row>
    <row r="150" spans="2:6">
      <c r="B150" s="199" t="s">
        <v>347</v>
      </c>
      <c r="C150" s="197" t="s">
        <v>348</v>
      </c>
      <c r="D150" s="306">
        <v>0.16819999999999999</v>
      </c>
      <c r="E150" s="306">
        <v>4.1099999999999998E-2</v>
      </c>
      <c r="F150" s="306">
        <v>0.1585</v>
      </c>
    </row>
    <row r="151" spans="2:6">
      <c r="B151" s="199" t="s">
        <v>682</v>
      </c>
      <c r="C151" s="197" t="s">
        <v>683</v>
      </c>
      <c r="D151" s="306">
        <v>0.19359999999999999</v>
      </c>
      <c r="E151" s="306">
        <v>4.1500000000000002E-2</v>
      </c>
      <c r="F151" s="306">
        <v>0.19139999999999999</v>
      </c>
    </row>
    <row r="152" spans="2:6">
      <c r="B152" s="199" t="s">
        <v>485</v>
      </c>
      <c r="C152" s="197" t="s">
        <v>486</v>
      </c>
      <c r="D152" s="306">
        <v>0.21060000000000001</v>
      </c>
      <c r="E152" s="306">
        <v>4.7899999999999998E-2</v>
      </c>
      <c r="F152" s="306">
        <v>0.20930000000000001</v>
      </c>
    </row>
    <row r="153" spans="2:6">
      <c r="B153" s="199" t="s">
        <v>563</v>
      </c>
      <c r="C153" s="197" t="s">
        <v>564</v>
      </c>
      <c r="D153" s="306">
        <v>0.1991</v>
      </c>
      <c r="E153" s="306">
        <v>3.7400000000000003E-2</v>
      </c>
      <c r="F153" s="306">
        <v>0</v>
      </c>
    </row>
    <row r="154" spans="2:6">
      <c r="B154" s="199" t="s">
        <v>581</v>
      </c>
      <c r="C154" s="197" t="s">
        <v>582</v>
      </c>
      <c r="D154" s="306">
        <v>0.1613</v>
      </c>
      <c r="E154" s="306">
        <v>4.4999999999999998E-2</v>
      </c>
      <c r="F154" s="306">
        <v>0.14380000000000001</v>
      </c>
    </row>
    <row r="155" spans="2:6">
      <c r="B155" s="199" t="s">
        <v>307</v>
      </c>
      <c r="C155" s="197" t="s">
        <v>308</v>
      </c>
      <c r="D155" s="306">
        <v>0.1918</v>
      </c>
      <c r="E155" s="306">
        <v>1.8800000000000001E-2</v>
      </c>
      <c r="F155" s="306">
        <v>0.161</v>
      </c>
    </row>
    <row r="156" spans="2:6">
      <c r="B156" s="199" t="s">
        <v>425</v>
      </c>
      <c r="C156" s="197" t="s">
        <v>426</v>
      </c>
      <c r="D156" s="306">
        <v>0.27489999999999998</v>
      </c>
      <c r="E156" s="306">
        <v>2.75E-2</v>
      </c>
      <c r="F156" s="306">
        <v>0.22559999999999999</v>
      </c>
    </row>
    <row r="157" spans="2:6">
      <c r="B157" s="199" t="s">
        <v>291</v>
      </c>
      <c r="C157" s="197" t="s">
        <v>292</v>
      </c>
      <c r="D157" s="306">
        <v>0.1862</v>
      </c>
      <c r="E157" s="306">
        <v>6.0199999999999997E-2</v>
      </c>
      <c r="F157" s="306">
        <v>0.18840000000000001</v>
      </c>
    </row>
    <row r="158" spans="2:6">
      <c r="B158" s="199" t="s">
        <v>423</v>
      </c>
      <c r="C158" s="197" t="s">
        <v>424</v>
      </c>
      <c r="D158" s="306">
        <v>0.24</v>
      </c>
      <c r="E158" s="311">
        <v>0</v>
      </c>
      <c r="F158" s="306">
        <v>0.20899999999999999</v>
      </c>
    </row>
    <row r="159" spans="2:6">
      <c r="B159" s="199" t="s">
        <v>740</v>
      </c>
      <c r="C159" s="197" t="s">
        <v>741</v>
      </c>
      <c r="D159" s="306">
        <v>0.22109999999999999</v>
      </c>
      <c r="E159" s="306">
        <v>5.1999999999999998E-2</v>
      </c>
      <c r="F159" s="306">
        <v>0.18770000000000001</v>
      </c>
    </row>
    <row r="160" spans="2:6">
      <c r="B160" s="199" t="s">
        <v>686</v>
      </c>
      <c r="C160" s="197" t="s">
        <v>687</v>
      </c>
      <c r="D160" s="306">
        <v>0.16350000000000001</v>
      </c>
      <c r="E160" s="306">
        <v>4.19E-2</v>
      </c>
      <c r="F160" s="306">
        <v>0.16839999999999999</v>
      </c>
    </row>
    <row r="161" spans="2:6">
      <c r="B161" s="199" t="s">
        <v>561</v>
      </c>
      <c r="C161" s="197" t="s">
        <v>562</v>
      </c>
      <c r="D161" s="306">
        <v>0.39</v>
      </c>
      <c r="E161" s="306">
        <v>3.5700000000000003E-2</v>
      </c>
      <c r="F161" s="306">
        <v>0.17829999999999999</v>
      </c>
    </row>
    <row r="162" spans="2:6">
      <c r="B162" s="199" t="s">
        <v>557</v>
      </c>
      <c r="C162" s="197" t="s">
        <v>558</v>
      </c>
      <c r="D162" s="306">
        <v>0.1229</v>
      </c>
      <c r="E162" s="306">
        <v>3.2399999999999998E-2</v>
      </c>
      <c r="F162" s="306">
        <v>0.11550000000000001</v>
      </c>
    </row>
    <row r="163" spans="2:6">
      <c r="B163" s="309" t="s">
        <v>1238</v>
      </c>
      <c r="C163" s="197" t="s">
        <v>1251</v>
      </c>
      <c r="D163" s="311">
        <v>7.0000000000000007E-2</v>
      </c>
      <c r="E163" s="311">
        <v>0.08</v>
      </c>
      <c r="F163" s="311">
        <v>0.1</v>
      </c>
    </row>
    <row r="164" spans="2:6">
      <c r="B164" s="199" t="s">
        <v>571</v>
      </c>
      <c r="C164" s="197" t="s">
        <v>572</v>
      </c>
      <c r="D164" s="306">
        <v>0.1399</v>
      </c>
      <c r="E164" s="306">
        <v>4.1799999999999997E-2</v>
      </c>
      <c r="F164" s="306">
        <v>0.13789999999999999</v>
      </c>
    </row>
    <row r="165" spans="2:6">
      <c r="B165" s="199" t="s">
        <v>716</v>
      </c>
      <c r="C165" s="197" t="s">
        <v>717</v>
      </c>
      <c r="D165" s="306">
        <v>0.19689999999999999</v>
      </c>
      <c r="E165" s="306">
        <v>4.48E-2</v>
      </c>
      <c r="F165" s="306">
        <v>0.188</v>
      </c>
    </row>
    <row r="166" spans="2:6">
      <c r="B166" s="199" t="s">
        <v>419</v>
      </c>
      <c r="C166" s="197" t="s">
        <v>420</v>
      </c>
      <c r="D166" s="306">
        <v>0.18360000000000001</v>
      </c>
      <c r="E166" s="306">
        <v>3.7999999999999999E-2</v>
      </c>
      <c r="F166" s="306">
        <v>0.14000000000000001</v>
      </c>
    </row>
    <row r="167" spans="2:6">
      <c r="B167" s="199" t="s">
        <v>497</v>
      </c>
      <c r="C167" s="197" t="s">
        <v>997</v>
      </c>
      <c r="D167" s="306">
        <v>0.15809999999999999</v>
      </c>
      <c r="E167" s="306">
        <v>1.11E-2</v>
      </c>
      <c r="F167" s="306">
        <v>0.14280000000000001</v>
      </c>
    </row>
    <row r="168" spans="2:6">
      <c r="B168" s="199" t="s">
        <v>475</v>
      </c>
      <c r="C168" s="197" t="s">
        <v>476</v>
      </c>
      <c r="D168" s="306">
        <v>0.24729999999999999</v>
      </c>
      <c r="E168" s="306">
        <v>6.2300000000000001E-2</v>
      </c>
      <c r="F168" s="306">
        <v>0.22950000000000001</v>
      </c>
    </row>
    <row r="169" spans="2:6">
      <c r="B169" s="199" t="s">
        <v>502</v>
      </c>
      <c r="C169" s="197" t="s">
        <v>503</v>
      </c>
      <c r="D169" s="306">
        <v>0.20380000000000001</v>
      </c>
      <c r="E169" s="306">
        <v>2.1000000000000001E-2</v>
      </c>
      <c r="F169" s="306">
        <v>0.2072</v>
      </c>
    </row>
    <row r="170" spans="2:6">
      <c r="B170" s="199" t="s">
        <v>601</v>
      </c>
      <c r="C170" s="197" t="s">
        <v>602</v>
      </c>
      <c r="D170" s="306">
        <v>0.20799999999999999</v>
      </c>
      <c r="E170" s="306">
        <v>2.87E-2</v>
      </c>
      <c r="F170" s="306">
        <v>0.18920000000000001</v>
      </c>
    </row>
    <row r="171" spans="2:6">
      <c r="B171" s="199" t="s">
        <v>684</v>
      </c>
      <c r="C171" s="197" t="s">
        <v>685</v>
      </c>
      <c r="D171" s="306">
        <v>0.17960000000000001</v>
      </c>
      <c r="E171" s="306">
        <v>3.8699999999999998E-2</v>
      </c>
      <c r="F171" s="306">
        <v>0.15620000000000001</v>
      </c>
    </row>
    <row r="172" spans="2:6">
      <c r="B172" s="199" t="s">
        <v>303</v>
      </c>
      <c r="C172" s="197" t="s">
        <v>304</v>
      </c>
      <c r="D172" s="306">
        <v>0.26069999999999999</v>
      </c>
      <c r="E172" s="306">
        <v>1.47E-2</v>
      </c>
      <c r="F172" s="306">
        <v>0.2482</v>
      </c>
    </row>
    <row r="173" spans="2:6">
      <c r="B173" s="199" t="s">
        <v>271</v>
      </c>
      <c r="C173" s="197" t="s">
        <v>272</v>
      </c>
      <c r="D173" s="306">
        <v>0.18190000000000001</v>
      </c>
      <c r="E173" s="306">
        <v>2.7699999999999999E-2</v>
      </c>
      <c r="F173" s="306">
        <v>0.16589999999999999</v>
      </c>
    </row>
    <row r="174" spans="2:6">
      <c r="B174" s="199" t="s">
        <v>381</v>
      </c>
      <c r="C174" s="197" t="s">
        <v>382</v>
      </c>
      <c r="D174" s="306">
        <v>0.21029999999999999</v>
      </c>
      <c r="E174" s="306">
        <v>0.08</v>
      </c>
      <c r="F174" s="306">
        <v>0.2346</v>
      </c>
    </row>
    <row r="175" spans="2:6">
      <c r="B175" s="199" t="s">
        <v>471</v>
      </c>
      <c r="C175" s="197" t="s">
        <v>472</v>
      </c>
      <c r="D175" s="306">
        <v>0.2225</v>
      </c>
      <c r="E175" s="306">
        <v>4.1799999999999997E-2</v>
      </c>
      <c r="F175" s="306">
        <v>0.21640000000000001</v>
      </c>
    </row>
    <row r="176" spans="2:6">
      <c r="B176" s="199" t="s">
        <v>500</v>
      </c>
      <c r="C176" s="197" t="s">
        <v>501</v>
      </c>
      <c r="D176" s="306">
        <v>0.38169999999999998</v>
      </c>
      <c r="E176" s="306">
        <v>9.2499999999999999E-2</v>
      </c>
      <c r="F176" s="306">
        <v>0.40229999999999999</v>
      </c>
    </row>
    <row r="177" spans="2:6">
      <c r="B177" s="199" t="s">
        <v>645</v>
      </c>
      <c r="C177" s="197" t="s">
        <v>646</v>
      </c>
      <c r="D177" s="306">
        <v>0.15190000000000001</v>
      </c>
      <c r="E177" s="306">
        <v>3.95E-2</v>
      </c>
      <c r="F177" s="306">
        <v>0.1258</v>
      </c>
    </row>
    <row r="178" spans="2:6">
      <c r="B178" s="199" t="s">
        <v>639</v>
      </c>
      <c r="C178" s="197" t="s">
        <v>640</v>
      </c>
      <c r="D178" s="306">
        <v>0.23350000000000001</v>
      </c>
      <c r="E178" s="306">
        <v>3.4700000000000002E-2</v>
      </c>
      <c r="F178" s="306">
        <v>0.21229999999999999</v>
      </c>
    </row>
    <row r="179" spans="2:6">
      <c r="B179" s="199" t="s">
        <v>375</v>
      </c>
      <c r="C179" s="197" t="s">
        <v>376</v>
      </c>
      <c r="D179" s="306">
        <v>0.12559999999999999</v>
      </c>
      <c r="E179" s="306">
        <v>3.0700000000000002E-2</v>
      </c>
      <c r="F179" s="306">
        <v>0.1115</v>
      </c>
    </row>
    <row r="180" spans="2:6">
      <c r="B180" s="199" t="s">
        <v>325</v>
      </c>
      <c r="C180" s="197" t="s">
        <v>326</v>
      </c>
      <c r="D180" s="306">
        <v>0.16289999999999999</v>
      </c>
      <c r="E180" s="306">
        <v>3.9899999999999998E-2</v>
      </c>
      <c r="F180" s="306">
        <v>0.14580000000000001</v>
      </c>
    </row>
    <row r="181" spans="2:6">
      <c r="B181" s="199" t="s">
        <v>712</v>
      </c>
      <c r="C181" s="197" t="s">
        <v>713</v>
      </c>
      <c r="D181" s="306">
        <v>0.30059999999999998</v>
      </c>
      <c r="E181" s="306">
        <v>4.87E-2</v>
      </c>
      <c r="F181" s="306">
        <v>0.28410000000000002</v>
      </c>
    </row>
    <row r="182" spans="2:6">
      <c r="B182" s="199" t="s">
        <v>323</v>
      </c>
      <c r="C182" s="197" t="s">
        <v>324</v>
      </c>
      <c r="D182" s="306">
        <v>0.34549999999999997</v>
      </c>
      <c r="E182" s="306">
        <v>9.98E-2</v>
      </c>
      <c r="F182" s="306">
        <v>0.317</v>
      </c>
    </row>
    <row r="183" spans="2:6">
      <c r="B183" s="199" t="s">
        <v>491</v>
      </c>
      <c r="C183" s="197" t="s">
        <v>492</v>
      </c>
      <c r="D183" s="306">
        <v>0.18390000000000001</v>
      </c>
      <c r="E183" s="306">
        <v>4.9700000000000001E-2</v>
      </c>
      <c r="F183" s="306">
        <v>0.1767</v>
      </c>
    </row>
    <row r="184" spans="2:6">
      <c r="B184" s="199" t="s">
        <v>321</v>
      </c>
      <c r="C184" s="197" t="s">
        <v>322</v>
      </c>
      <c r="D184" s="306">
        <v>0.2356</v>
      </c>
      <c r="E184" s="306">
        <v>1.44E-2</v>
      </c>
      <c r="F184" s="306">
        <v>0.24379999999999999</v>
      </c>
    </row>
    <row r="185" spans="2:6">
      <c r="B185" s="199" t="s">
        <v>453</v>
      </c>
      <c r="C185" s="197" t="s">
        <v>454</v>
      </c>
      <c r="D185" s="306">
        <v>0.22819999999999999</v>
      </c>
      <c r="E185" s="306">
        <v>7.1999999999999998E-3</v>
      </c>
      <c r="F185" s="306">
        <v>0.18840000000000001</v>
      </c>
    </row>
    <row r="186" spans="2:6">
      <c r="B186" s="199" t="s">
        <v>479</v>
      </c>
      <c r="C186" s="197" t="s">
        <v>480</v>
      </c>
      <c r="D186" s="306">
        <v>0.19270000000000001</v>
      </c>
      <c r="E186" s="306">
        <v>0.04</v>
      </c>
      <c r="F186" s="306">
        <v>0.1883</v>
      </c>
    </row>
    <row r="187" spans="2:6">
      <c r="B187" s="199" t="s">
        <v>649</v>
      </c>
      <c r="C187" s="197" t="s">
        <v>650</v>
      </c>
      <c r="D187" s="306">
        <v>0.15609999999999999</v>
      </c>
      <c r="E187" s="306">
        <v>3.73E-2</v>
      </c>
      <c r="F187" s="306">
        <v>0.15340000000000001</v>
      </c>
    </row>
    <row r="188" spans="2:6">
      <c r="B188" s="199" t="s">
        <v>477</v>
      </c>
      <c r="C188" s="197" t="s">
        <v>478</v>
      </c>
      <c r="D188" s="306">
        <v>0.13020000000000001</v>
      </c>
      <c r="E188" s="306">
        <v>5.4100000000000002E-2</v>
      </c>
      <c r="F188" s="306">
        <v>0.1547</v>
      </c>
    </row>
    <row r="189" spans="2:6">
      <c r="B189" s="199" t="s">
        <v>435</v>
      </c>
      <c r="C189" s="197" t="s">
        <v>436</v>
      </c>
      <c r="D189" s="306">
        <v>0.19320000000000001</v>
      </c>
      <c r="E189" s="306">
        <v>2.3699999999999999E-2</v>
      </c>
      <c r="F189" s="306">
        <v>0.1986</v>
      </c>
    </row>
    <row r="190" spans="2:6">
      <c r="B190" s="199" t="s">
        <v>621</v>
      </c>
      <c r="C190" s="197" t="s">
        <v>622</v>
      </c>
      <c r="D190" s="306">
        <v>0.27339999999999998</v>
      </c>
      <c r="E190" s="306">
        <v>2.3999999999999998E-3</v>
      </c>
      <c r="F190" s="306">
        <v>0.23910000000000001</v>
      </c>
    </row>
    <row r="191" spans="2:6">
      <c r="B191" s="199" t="s">
        <v>540</v>
      </c>
      <c r="C191" s="197" t="s">
        <v>541</v>
      </c>
      <c r="D191" s="306">
        <v>0.2261</v>
      </c>
      <c r="E191" s="306">
        <v>0.06</v>
      </c>
      <c r="F191" s="306">
        <v>0.23069999999999999</v>
      </c>
    </row>
    <row r="192" spans="2:6">
      <c r="B192" s="199" t="s">
        <v>597</v>
      </c>
      <c r="C192" s="197" t="s">
        <v>598</v>
      </c>
      <c r="D192" s="306">
        <v>0.19789999999999999</v>
      </c>
      <c r="E192" s="306">
        <v>6.3399999999999998E-2</v>
      </c>
      <c r="F192" s="306">
        <v>0.22040000000000001</v>
      </c>
    </row>
    <row r="193" spans="2:6">
      <c r="B193" s="199" t="s">
        <v>263</v>
      </c>
      <c r="C193" s="197" t="s">
        <v>264</v>
      </c>
      <c r="D193" s="306">
        <v>0.20910000000000001</v>
      </c>
      <c r="E193" s="306">
        <v>4.5100000000000001E-2</v>
      </c>
      <c r="F193" s="306">
        <v>0.20330000000000001</v>
      </c>
    </row>
    <row r="194" spans="2:6">
      <c r="B194" s="199" t="s">
        <v>247</v>
      </c>
      <c r="C194" s="197" t="s">
        <v>248</v>
      </c>
      <c r="D194" s="306">
        <v>0.20860000000000001</v>
      </c>
      <c r="E194" s="306">
        <v>8.9700000000000002E-2</v>
      </c>
      <c r="F194" s="306">
        <v>0.2641</v>
      </c>
    </row>
    <row r="195" spans="2:6">
      <c r="B195" s="199" t="s">
        <v>489</v>
      </c>
      <c r="C195" s="197" t="s">
        <v>490</v>
      </c>
      <c r="D195" s="306">
        <v>0.2525</v>
      </c>
      <c r="E195" s="306">
        <v>4.1799999999999997E-2</v>
      </c>
      <c r="F195" s="306">
        <v>0.25019999999999998</v>
      </c>
    </row>
    <row r="196" spans="2:6">
      <c r="B196" s="199" t="s">
        <v>522</v>
      </c>
      <c r="C196" s="197" t="s">
        <v>523</v>
      </c>
      <c r="D196" s="306">
        <v>0.2661</v>
      </c>
      <c r="E196" s="306">
        <v>5.2999999999999999E-2</v>
      </c>
      <c r="F196" s="306">
        <v>0.26450000000000001</v>
      </c>
    </row>
    <row r="197" spans="2:6">
      <c r="B197" s="199" t="s">
        <v>169</v>
      </c>
      <c r="C197" s="197" t="s">
        <v>170</v>
      </c>
      <c r="D197" s="306">
        <v>0.1573</v>
      </c>
      <c r="E197" s="306">
        <v>3.78E-2</v>
      </c>
      <c r="F197" s="306">
        <v>0.15240000000000001</v>
      </c>
    </row>
    <row r="198" spans="2:6">
      <c r="B198" s="199" t="s">
        <v>251</v>
      </c>
      <c r="C198" s="197" t="s">
        <v>252</v>
      </c>
      <c r="D198" s="306">
        <v>0.39660000000000001</v>
      </c>
      <c r="E198" s="306">
        <v>9.2700000000000005E-2</v>
      </c>
      <c r="F198" s="306">
        <v>0.27389999999999998</v>
      </c>
    </row>
    <row r="199" spans="2:6">
      <c r="B199" s="199" t="s">
        <v>698</v>
      </c>
      <c r="C199" s="197" t="s">
        <v>699</v>
      </c>
      <c r="D199" s="306">
        <v>0.32819999999999999</v>
      </c>
      <c r="E199" s="306">
        <v>5.45E-2</v>
      </c>
      <c r="F199" s="306">
        <v>0.35620000000000002</v>
      </c>
    </row>
    <row r="200" spans="2:6">
      <c r="B200" s="199" t="s">
        <v>269</v>
      </c>
      <c r="C200" s="197" t="s">
        <v>270</v>
      </c>
      <c r="D200" s="306">
        <v>0.12790000000000001</v>
      </c>
      <c r="E200" s="306">
        <v>3.2500000000000001E-2</v>
      </c>
      <c r="F200" s="306">
        <v>0.1226</v>
      </c>
    </row>
    <row r="201" spans="2:6">
      <c r="B201" s="199" t="s">
        <v>483</v>
      </c>
      <c r="C201" s="197" t="s">
        <v>484</v>
      </c>
      <c r="D201" s="306">
        <v>0.3261</v>
      </c>
      <c r="E201" s="306">
        <v>5.7500000000000002E-2</v>
      </c>
      <c r="F201" s="306">
        <v>0.29430000000000001</v>
      </c>
    </row>
    <row r="202" spans="2:6">
      <c r="B202" s="199" t="s">
        <v>181</v>
      </c>
      <c r="C202" s="197" t="s">
        <v>182</v>
      </c>
      <c r="D202" s="306">
        <v>0.23300000000000001</v>
      </c>
      <c r="E202" s="311">
        <v>0</v>
      </c>
      <c r="F202" s="306">
        <v>0.1603</v>
      </c>
    </row>
    <row r="203" spans="2:6">
      <c r="B203" s="199" t="s">
        <v>437</v>
      </c>
      <c r="C203" s="197" t="s">
        <v>438</v>
      </c>
      <c r="D203" s="306">
        <v>0.22459999999999999</v>
      </c>
      <c r="E203" s="306">
        <v>3.8199999999999998E-2</v>
      </c>
      <c r="F203" s="306">
        <v>0.20469999999999999</v>
      </c>
    </row>
    <row r="204" spans="2:6">
      <c r="B204" s="199" t="s">
        <v>526</v>
      </c>
      <c r="C204" s="197" t="s">
        <v>527</v>
      </c>
      <c r="D204" s="306">
        <v>0.1648</v>
      </c>
      <c r="E204" s="306">
        <v>4.02E-2</v>
      </c>
      <c r="F204" s="306">
        <v>0.14280000000000001</v>
      </c>
    </row>
    <row r="205" spans="2:6">
      <c r="B205" s="199" t="s">
        <v>469</v>
      </c>
      <c r="C205" s="197" t="s">
        <v>470</v>
      </c>
      <c r="D205" s="306">
        <v>0.20710000000000001</v>
      </c>
      <c r="E205" s="306">
        <v>2.53E-2</v>
      </c>
      <c r="F205" s="306">
        <v>0.2266</v>
      </c>
    </row>
    <row r="206" spans="2:6">
      <c r="B206" s="199" t="s">
        <v>277</v>
      </c>
      <c r="C206" s="197" t="s">
        <v>278</v>
      </c>
      <c r="D206" s="306">
        <v>0.2606</v>
      </c>
      <c r="E206" s="306">
        <v>5.8700000000000002E-2</v>
      </c>
      <c r="F206" s="306">
        <v>0.28849999999999998</v>
      </c>
    </row>
    <row r="207" spans="2:6">
      <c r="B207" s="199" t="s">
        <v>205</v>
      </c>
      <c r="C207" s="197" t="s">
        <v>206</v>
      </c>
      <c r="D207" s="306">
        <v>0.16869999999999999</v>
      </c>
      <c r="E207" s="306">
        <v>4.9799999999999997E-2</v>
      </c>
      <c r="F207" s="306">
        <v>0.17910000000000001</v>
      </c>
    </row>
    <row r="208" spans="2:6">
      <c r="B208" s="199" t="s">
        <v>339</v>
      </c>
      <c r="C208" s="197" t="s">
        <v>340</v>
      </c>
      <c r="D208" s="306">
        <v>0.21260000000000001</v>
      </c>
      <c r="E208" s="306">
        <v>5.1499999999999997E-2</v>
      </c>
      <c r="F208" s="306">
        <v>0.23719999999999999</v>
      </c>
    </row>
    <row r="209" spans="2:6">
      <c r="B209" s="199" t="s">
        <v>672</v>
      </c>
      <c r="C209" s="197" t="s">
        <v>673</v>
      </c>
      <c r="D209" s="306">
        <v>0.2399</v>
      </c>
      <c r="E209" s="306">
        <v>4.1300000000000003E-2</v>
      </c>
      <c r="F209" s="306">
        <v>0.2646</v>
      </c>
    </row>
    <row r="210" spans="2:6">
      <c r="B210" s="307" t="s">
        <v>1480</v>
      </c>
      <c r="C210" s="197" t="s">
        <v>1479</v>
      </c>
      <c r="D210" s="311">
        <v>0.1</v>
      </c>
      <c r="E210" s="311">
        <v>0.08</v>
      </c>
      <c r="F210" s="311">
        <v>0.1</v>
      </c>
    </row>
    <row r="211" spans="2:6">
      <c r="B211" s="199" t="s">
        <v>187</v>
      </c>
      <c r="C211" s="197" t="s">
        <v>188</v>
      </c>
      <c r="D211" s="306">
        <v>0.182</v>
      </c>
      <c r="E211" s="306">
        <v>3.8600000000000002E-2</v>
      </c>
      <c r="F211" s="306">
        <v>0.17130000000000001</v>
      </c>
    </row>
    <row r="212" spans="2:6">
      <c r="B212" s="199" t="s">
        <v>694</v>
      </c>
      <c r="C212" s="197" t="s">
        <v>695</v>
      </c>
      <c r="D212" s="306">
        <v>0.2432</v>
      </c>
      <c r="E212" s="306">
        <v>2.3E-2</v>
      </c>
      <c r="F212" s="306">
        <v>0.21129999999999999</v>
      </c>
    </row>
    <row r="213" spans="2:6">
      <c r="B213" s="199" t="s">
        <v>510</v>
      </c>
      <c r="C213" s="197" t="s">
        <v>511</v>
      </c>
      <c r="D213" s="306">
        <v>0.2001</v>
      </c>
      <c r="E213" s="306">
        <v>5.0999999999999997E-2</v>
      </c>
      <c r="F213" s="306">
        <v>0.17649999999999999</v>
      </c>
    </row>
    <row r="214" spans="2:6">
      <c r="B214" s="199" t="s">
        <v>331</v>
      </c>
      <c r="C214" s="197" t="s">
        <v>332</v>
      </c>
      <c r="D214" s="306">
        <v>0.7117</v>
      </c>
      <c r="E214" s="306">
        <v>0.2107</v>
      </c>
      <c r="F214" s="306">
        <v>0.75870000000000004</v>
      </c>
    </row>
    <row r="215" spans="2:6">
      <c r="B215" s="199" t="s">
        <v>335</v>
      </c>
      <c r="C215" s="197" t="s">
        <v>336</v>
      </c>
      <c r="D215" s="306">
        <v>0.22509999999999999</v>
      </c>
      <c r="E215" s="306">
        <v>6.7400000000000002E-2</v>
      </c>
      <c r="F215" s="306">
        <v>0.188</v>
      </c>
    </row>
    <row r="216" spans="2:6">
      <c r="B216" s="307" t="s">
        <v>1639</v>
      </c>
      <c r="C216" s="197" t="s">
        <v>1641</v>
      </c>
      <c r="D216" s="311">
        <v>7.0000000000000007E-2</v>
      </c>
      <c r="E216" s="311">
        <v>0.08</v>
      </c>
      <c r="F216" s="311">
        <v>0.1</v>
      </c>
    </row>
    <row r="217" spans="2:6">
      <c r="B217" s="199" t="s">
        <v>213</v>
      </c>
      <c r="C217" s="197" t="s">
        <v>214</v>
      </c>
      <c r="D217" s="306">
        <v>9.8299999999999998E-2</v>
      </c>
      <c r="E217" s="306">
        <v>1.8800000000000001E-2</v>
      </c>
      <c r="F217" s="306">
        <v>9.6100000000000005E-2</v>
      </c>
    </row>
    <row r="218" spans="2:6">
      <c r="B218" s="199" t="s">
        <v>281</v>
      </c>
      <c r="C218" s="197" t="s">
        <v>282</v>
      </c>
      <c r="D218" s="306">
        <v>0.16170000000000001</v>
      </c>
      <c r="E218" s="306">
        <v>4.87E-2</v>
      </c>
      <c r="F218" s="306">
        <v>0.15479999999999999</v>
      </c>
    </row>
    <row r="219" spans="2:6">
      <c r="B219" s="199" t="s">
        <v>651</v>
      </c>
      <c r="C219" s="197" t="s">
        <v>652</v>
      </c>
      <c r="D219" s="306">
        <v>0.2555</v>
      </c>
      <c r="E219" s="306">
        <v>3.7600000000000001E-2</v>
      </c>
      <c r="F219" s="306">
        <v>0.28179999999999999</v>
      </c>
    </row>
    <row r="220" spans="2:6">
      <c r="B220" s="307" t="s">
        <v>1493</v>
      </c>
      <c r="C220" s="197" t="s">
        <v>1492</v>
      </c>
      <c r="D220" s="311">
        <v>0.1</v>
      </c>
      <c r="E220" s="311">
        <v>0.08</v>
      </c>
      <c r="F220" s="311">
        <v>0.1</v>
      </c>
    </row>
    <row r="221" spans="2:6">
      <c r="B221" s="199" t="s">
        <v>493</v>
      </c>
      <c r="C221" s="197" t="s">
        <v>494</v>
      </c>
      <c r="D221" s="306">
        <v>0.1651</v>
      </c>
      <c r="E221" s="306">
        <v>2.29E-2</v>
      </c>
      <c r="F221" s="306">
        <v>0.16289999999999999</v>
      </c>
    </row>
    <row r="222" spans="2:6">
      <c r="B222" s="199" t="s">
        <v>447</v>
      </c>
      <c r="C222" s="197" t="s">
        <v>448</v>
      </c>
      <c r="D222" s="306">
        <v>0.26469999999999999</v>
      </c>
      <c r="E222" s="306">
        <v>5.8500000000000003E-2</v>
      </c>
      <c r="F222" s="306">
        <v>0.28570000000000001</v>
      </c>
    </row>
    <row r="223" spans="2:6">
      <c r="B223" s="199" t="s">
        <v>353</v>
      </c>
      <c r="C223" s="197" t="s">
        <v>354</v>
      </c>
      <c r="D223" s="306">
        <v>0.1346</v>
      </c>
      <c r="E223" s="306">
        <v>3.1300000000000001E-2</v>
      </c>
      <c r="F223" s="306">
        <v>0.13070000000000001</v>
      </c>
    </row>
    <row r="224" spans="2:6">
      <c r="B224" s="199" t="s">
        <v>267</v>
      </c>
      <c r="C224" s="197" t="s">
        <v>268</v>
      </c>
      <c r="D224" s="306">
        <v>0.21410000000000001</v>
      </c>
      <c r="E224" s="306">
        <v>4.8800000000000003E-2</v>
      </c>
      <c r="F224" s="306">
        <v>0.18540000000000001</v>
      </c>
    </row>
    <row r="225" spans="2:6">
      <c r="B225" s="199" t="s">
        <v>189</v>
      </c>
      <c r="C225" s="197" t="s">
        <v>190</v>
      </c>
      <c r="D225" s="306">
        <v>0.17330000000000001</v>
      </c>
      <c r="E225" s="306">
        <v>3.5200000000000002E-2</v>
      </c>
      <c r="F225" s="306">
        <v>0.158</v>
      </c>
    </row>
    <row r="226" spans="2:6">
      <c r="B226" s="199" t="s">
        <v>229</v>
      </c>
      <c r="C226" s="197" t="s">
        <v>230</v>
      </c>
      <c r="D226" s="306">
        <v>0.185</v>
      </c>
      <c r="E226" s="306">
        <v>5.4699999999999999E-2</v>
      </c>
      <c r="F226" s="306">
        <v>0.1633</v>
      </c>
    </row>
    <row r="227" spans="2:6">
      <c r="B227" s="199" t="s">
        <v>173</v>
      </c>
      <c r="C227" s="197" t="s">
        <v>174</v>
      </c>
      <c r="D227" s="306">
        <v>0.27479999999999999</v>
      </c>
      <c r="E227" s="306">
        <v>2.4E-2</v>
      </c>
      <c r="F227" s="306">
        <v>0.27010000000000001</v>
      </c>
    </row>
    <row r="228" spans="2:6">
      <c r="B228" s="199" t="s">
        <v>619</v>
      </c>
      <c r="C228" s="197" t="s">
        <v>620</v>
      </c>
      <c r="D228" s="306">
        <v>0.19919999999999999</v>
      </c>
      <c r="E228" s="306">
        <v>3.8600000000000002E-2</v>
      </c>
      <c r="F228" s="306">
        <v>0.19489999999999999</v>
      </c>
    </row>
    <row r="229" spans="2:6">
      <c r="B229" s="199" t="s">
        <v>361</v>
      </c>
      <c r="C229" s="197" t="s">
        <v>362</v>
      </c>
      <c r="D229" s="306">
        <v>0.18149999999999999</v>
      </c>
      <c r="E229" s="306">
        <v>4.9200000000000001E-2</v>
      </c>
      <c r="F229" s="306">
        <v>0.18890000000000001</v>
      </c>
    </row>
    <row r="230" spans="2:6">
      <c r="B230" s="199" t="s">
        <v>655</v>
      </c>
      <c r="C230" s="197" t="s">
        <v>656</v>
      </c>
      <c r="D230" s="306">
        <v>0.1545</v>
      </c>
      <c r="E230" s="306">
        <v>1.0999999999999999E-2</v>
      </c>
      <c r="F230" s="306">
        <v>0.12590000000000001</v>
      </c>
    </row>
    <row r="231" spans="2:6">
      <c r="B231" s="199" t="s">
        <v>411</v>
      </c>
      <c r="C231" s="197" t="s">
        <v>412</v>
      </c>
      <c r="D231" s="306">
        <v>0.3201</v>
      </c>
      <c r="E231" s="306">
        <v>0.2024</v>
      </c>
      <c r="F231" s="306">
        <v>0.2424</v>
      </c>
    </row>
    <row r="232" spans="2:6">
      <c r="B232" s="199" t="s">
        <v>708</v>
      </c>
      <c r="C232" s="197" t="s">
        <v>709</v>
      </c>
      <c r="D232" s="306">
        <v>0.2424</v>
      </c>
      <c r="E232" s="306">
        <v>5.2400000000000002E-2</v>
      </c>
      <c r="F232" s="306">
        <v>0.2412</v>
      </c>
    </row>
    <row r="233" spans="2:6">
      <c r="B233" s="199" t="s">
        <v>289</v>
      </c>
      <c r="C233" s="197" t="s">
        <v>290</v>
      </c>
      <c r="D233" s="306">
        <v>0.20399999999999999</v>
      </c>
      <c r="E233" s="306">
        <v>4.36E-2</v>
      </c>
      <c r="F233" s="306">
        <v>0.1459</v>
      </c>
    </row>
    <row r="234" spans="2:6">
      <c r="B234" s="199" t="s">
        <v>544</v>
      </c>
      <c r="C234" s="197" t="s">
        <v>545</v>
      </c>
      <c r="D234" s="306">
        <v>0.22620000000000001</v>
      </c>
      <c r="E234" s="306">
        <v>6.7699999999999996E-2</v>
      </c>
      <c r="F234" s="306">
        <v>0.20660000000000001</v>
      </c>
    </row>
    <row r="235" spans="2:6">
      <c r="B235" s="199" t="s">
        <v>317</v>
      </c>
      <c r="C235" s="197" t="s">
        <v>318</v>
      </c>
      <c r="D235" s="306">
        <v>0.29520000000000002</v>
      </c>
      <c r="E235" s="306">
        <v>0.16839999999999999</v>
      </c>
      <c r="F235" s="306">
        <v>0.33350000000000002</v>
      </c>
    </row>
    <row r="236" spans="2:6">
      <c r="B236" s="199" t="s">
        <v>341</v>
      </c>
      <c r="C236" s="197" t="s">
        <v>342</v>
      </c>
      <c r="D236" s="306">
        <v>0.16059999999999999</v>
      </c>
      <c r="E236" s="306">
        <v>3.7699999999999997E-2</v>
      </c>
      <c r="F236" s="306">
        <v>0.15140000000000001</v>
      </c>
    </row>
    <row r="237" spans="2:6">
      <c r="B237" s="199" t="s">
        <v>549</v>
      </c>
      <c r="C237" s="197" t="s">
        <v>550</v>
      </c>
      <c r="D237" s="306">
        <v>0.14910000000000001</v>
      </c>
      <c r="E237" s="306">
        <v>2.86E-2</v>
      </c>
      <c r="F237" s="306">
        <v>0.1391</v>
      </c>
    </row>
    <row r="238" spans="2:6">
      <c r="B238" s="199" t="s">
        <v>721</v>
      </c>
      <c r="C238" s="197" t="s">
        <v>722</v>
      </c>
      <c r="D238" s="306">
        <v>0.15870000000000001</v>
      </c>
      <c r="E238" s="306">
        <v>3.8199999999999998E-2</v>
      </c>
      <c r="F238" s="306">
        <v>0.1565</v>
      </c>
    </row>
    <row r="239" spans="2:6">
      <c r="B239" s="199" t="s">
        <v>506</v>
      </c>
      <c r="C239" s="197" t="s">
        <v>507</v>
      </c>
      <c r="D239" s="306">
        <v>0.2261</v>
      </c>
      <c r="E239" s="306">
        <v>4.7699999999999999E-2</v>
      </c>
      <c r="F239" s="306">
        <v>0.188</v>
      </c>
    </row>
    <row r="240" spans="2:6">
      <c r="B240" s="199" t="s">
        <v>209</v>
      </c>
      <c r="C240" s="197" t="s">
        <v>210</v>
      </c>
      <c r="D240" s="306">
        <v>0.1542</v>
      </c>
      <c r="E240" s="306">
        <v>3.6900000000000002E-2</v>
      </c>
      <c r="F240" s="306">
        <v>0.14499999999999999</v>
      </c>
    </row>
    <row r="241" spans="2:6">
      <c r="B241" s="199" t="s">
        <v>538</v>
      </c>
      <c r="C241" s="197" t="s">
        <v>539</v>
      </c>
      <c r="D241" s="306">
        <v>0.52049999999999996</v>
      </c>
      <c r="E241" s="306">
        <v>0.44579999999999997</v>
      </c>
      <c r="F241" s="306">
        <v>0.62749999999999995</v>
      </c>
    </row>
    <row r="242" spans="2:6">
      <c r="B242" s="199" t="s">
        <v>465</v>
      </c>
      <c r="C242" s="197" t="s">
        <v>466</v>
      </c>
      <c r="D242" s="306">
        <v>0.1638</v>
      </c>
      <c r="E242" s="306">
        <v>2.4199999999999999E-2</v>
      </c>
      <c r="F242" s="306">
        <v>0.1641</v>
      </c>
    </row>
    <row r="243" spans="2:6">
      <c r="B243" s="199" t="s">
        <v>369</v>
      </c>
      <c r="C243" s="197" t="s">
        <v>370</v>
      </c>
      <c r="D243" s="306">
        <v>0.1305</v>
      </c>
      <c r="E243" s="306">
        <v>3.4099999999999998E-2</v>
      </c>
      <c r="F243" s="306">
        <v>0.12839999999999999</v>
      </c>
    </row>
    <row r="244" spans="2:6">
      <c r="B244" s="199" t="s">
        <v>559</v>
      </c>
      <c r="C244" s="197" t="s">
        <v>560</v>
      </c>
      <c r="D244" s="306">
        <v>0.26840000000000003</v>
      </c>
      <c r="E244" s="306">
        <v>8.5300000000000001E-2</v>
      </c>
      <c r="F244" s="306">
        <v>0.26819999999999999</v>
      </c>
    </row>
    <row r="245" spans="2:6">
      <c r="B245" s="199" t="s">
        <v>355</v>
      </c>
      <c r="C245" s="197" t="s">
        <v>356</v>
      </c>
      <c r="D245" s="306">
        <v>0.46960000000000002</v>
      </c>
      <c r="E245" s="306">
        <v>7.5499999999999998E-2</v>
      </c>
      <c r="F245" s="306">
        <v>0.40570000000000001</v>
      </c>
    </row>
    <row r="246" spans="2:6">
      <c r="B246" s="199" t="s">
        <v>583</v>
      </c>
      <c r="C246" s="197" t="s">
        <v>584</v>
      </c>
      <c r="D246" s="306">
        <v>0.15340000000000001</v>
      </c>
      <c r="E246" s="306">
        <v>4.8500000000000001E-2</v>
      </c>
      <c r="F246" s="306">
        <v>0.13550000000000001</v>
      </c>
    </row>
    <row r="247" spans="2:6">
      <c r="B247" s="199" t="s">
        <v>366</v>
      </c>
      <c r="C247" s="197" t="s">
        <v>1176</v>
      </c>
      <c r="D247" s="306">
        <v>0.1641</v>
      </c>
      <c r="E247" s="306">
        <v>0.02</v>
      </c>
      <c r="F247" s="306">
        <v>0.1113</v>
      </c>
    </row>
    <row r="248" spans="2:6">
      <c r="B248" s="199" t="s">
        <v>287</v>
      </c>
      <c r="C248" s="197" t="s">
        <v>288</v>
      </c>
      <c r="D248" s="306">
        <v>0.22939999999999999</v>
      </c>
      <c r="E248" s="306">
        <v>3.9399999999999998E-2</v>
      </c>
      <c r="F248" s="306">
        <v>0.15690000000000001</v>
      </c>
    </row>
    <row r="249" spans="2:6">
      <c r="B249" s="307" t="s">
        <v>1524</v>
      </c>
      <c r="C249" s="197" t="s">
        <v>1523</v>
      </c>
      <c r="D249" s="311">
        <v>0.1</v>
      </c>
      <c r="E249" s="311">
        <v>0.08</v>
      </c>
      <c r="F249" s="311">
        <v>0.1</v>
      </c>
    </row>
    <row r="250" spans="2:6">
      <c r="B250" s="199" t="s">
        <v>495</v>
      </c>
      <c r="C250" s="197" t="s">
        <v>496</v>
      </c>
      <c r="D250" s="306">
        <v>0.1893</v>
      </c>
      <c r="E250" s="306">
        <v>2.98E-2</v>
      </c>
      <c r="F250" s="306">
        <v>0.19120000000000001</v>
      </c>
    </row>
    <row r="251" spans="2:6">
      <c r="B251" s="199" t="s">
        <v>385</v>
      </c>
      <c r="C251" s="197" t="s">
        <v>386</v>
      </c>
      <c r="D251" s="306">
        <v>0.16009999999999999</v>
      </c>
      <c r="E251" s="306">
        <v>2.8299999999999999E-2</v>
      </c>
      <c r="F251" s="306">
        <v>0.1515</v>
      </c>
    </row>
    <row r="252" spans="2:6">
      <c r="B252" s="199" t="s">
        <v>329</v>
      </c>
      <c r="C252" s="197" t="s">
        <v>330</v>
      </c>
      <c r="D252" s="306">
        <v>0.1835</v>
      </c>
      <c r="E252" s="306">
        <v>4.6699999999999998E-2</v>
      </c>
      <c r="F252" s="306">
        <v>0.1613</v>
      </c>
    </row>
    <row r="253" spans="2:6">
      <c r="B253" s="199" t="s">
        <v>461</v>
      </c>
      <c r="C253" s="197" t="s">
        <v>462</v>
      </c>
      <c r="D253" s="306">
        <v>0.2273</v>
      </c>
      <c r="E253" s="306">
        <v>3.9699999999999999E-2</v>
      </c>
      <c r="F253" s="306">
        <v>0.17030000000000001</v>
      </c>
    </row>
    <row r="254" spans="2:6">
      <c r="B254" s="199" t="s">
        <v>595</v>
      </c>
      <c r="C254" s="197" t="s">
        <v>596</v>
      </c>
      <c r="D254" s="306">
        <v>0.13370000000000001</v>
      </c>
      <c r="E254" s="306">
        <v>3.2099999999999997E-2</v>
      </c>
      <c r="F254" s="306">
        <v>0.1226</v>
      </c>
    </row>
    <row r="255" spans="2:6">
      <c r="B255" s="307" t="s">
        <v>1531</v>
      </c>
      <c r="C255" s="197" t="s">
        <v>1530</v>
      </c>
      <c r="D255" s="311">
        <v>0.1</v>
      </c>
      <c r="E255" s="311">
        <v>0.08</v>
      </c>
      <c r="F255" s="311">
        <v>0.1</v>
      </c>
    </row>
    <row r="256" spans="2:6">
      <c r="B256" s="199" t="s">
        <v>445</v>
      </c>
      <c r="C256" s="197" t="s">
        <v>446</v>
      </c>
      <c r="D256" s="306">
        <v>0.2167</v>
      </c>
      <c r="E256" s="306">
        <v>5.8599999999999999E-2</v>
      </c>
      <c r="F256" s="306">
        <v>0.19750000000000001</v>
      </c>
    </row>
    <row r="257" spans="2:6">
      <c r="B257" s="199" t="s">
        <v>710</v>
      </c>
      <c r="C257" s="197" t="s">
        <v>711</v>
      </c>
      <c r="D257" s="306">
        <v>0.20680000000000001</v>
      </c>
      <c r="E257" s="306">
        <v>3.6200000000000003E-2</v>
      </c>
      <c r="F257" s="306">
        <v>0.2056</v>
      </c>
    </row>
    <row r="258" spans="2:6">
      <c r="B258" s="199" t="s">
        <v>593</v>
      </c>
      <c r="C258" s="197" t="s">
        <v>594</v>
      </c>
      <c r="D258" s="306">
        <v>0.13780000000000001</v>
      </c>
      <c r="E258" s="306">
        <v>3.2800000000000003E-2</v>
      </c>
      <c r="F258" s="306">
        <v>0.13600000000000001</v>
      </c>
    </row>
    <row r="259" spans="2:6">
      <c r="B259" s="199" t="s">
        <v>273</v>
      </c>
      <c r="C259" s="197" t="s">
        <v>274</v>
      </c>
      <c r="D259" s="306">
        <v>0.2462</v>
      </c>
      <c r="E259" s="306">
        <v>2.0400000000000001E-2</v>
      </c>
      <c r="F259" s="306">
        <v>0.22550000000000001</v>
      </c>
    </row>
    <row r="260" spans="2:6">
      <c r="B260" s="199" t="s">
        <v>233</v>
      </c>
      <c r="C260" s="197" t="s">
        <v>234</v>
      </c>
      <c r="D260" s="306">
        <v>0.4582</v>
      </c>
      <c r="E260" s="306">
        <v>0.24740000000000001</v>
      </c>
      <c r="F260" s="306">
        <v>0.67620000000000002</v>
      </c>
    </row>
    <row r="261" spans="2:6">
      <c r="B261" s="199" t="s">
        <v>193</v>
      </c>
      <c r="C261" s="197" t="s">
        <v>194</v>
      </c>
      <c r="D261" s="306">
        <v>0.65549999999999997</v>
      </c>
      <c r="E261" s="306">
        <v>0.27739999999999998</v>
      </c>
      <c r="F261" s="306">
        <v>0.95209999999999995</v>
      </c>
    </row>
    <row r="262" spans="2:6">
      <c r="B262" s="199" t="s">
        <v>508</v>
      </c>
      <c r="C262" s="197" t="s">
        <v>1262</v>
      </c>
      <c r="D262" s="306">
        <v>0.19950000000000001</v>
      </c>
      <c r="E262" s="306">
        <v>3.5499999999999997E-2</v>
      </c>
      <c r="F262" s="306">
        <v>0.17580000000000001</v>
      </c>
    </row>
    <row r="263" spans="2:6">
      <c r="B263" s="199" t="s">
        <v>702</v>
      </c>
      <c r="C263" s="197" t="s">
        <v>703</v>
      </c>
      <c r="D263" s="306">
        <v>0.29389999999999999</v>
      </c>
      <c r="E263" s="306">
        <v>0.11990000000000001</v>
      </c>
      <c r="F263" s="306">
        <v>0.2621</v>
      </c>
    </row>
    <row r="264" spans="2:6">
      <c r="B264" s="199" t="s">
        <v>565</v>
      </c>
      <c r="C264" s="197" t="s">
        <v>566</v>
      </c>
      <c r="D264" s="306">
        <v>0.2107</v>
      </c>
      <c r="E264" s="306">
        <v>3.1699999999999999E-2</v>
      </c>
      <c r="F264" s="306">
        <v>0.21829999999999999</v>
      </c>
    </row>
    <row r="265" spans="2:6">
      <c r="B265" s="199" t="s">
        <v>587</v>
      </c>
      <c r="C265" s="197" t="s">
        <v>588</v>
      </c>
      <c r="D265" s="306">
        <v>0.16370000000000001</v>
      </c>
      <c r="E265" s="306">
        <v>5.11E-2</v>
      </c>
      <c r="F265" s="306">
        <v>0.1731</v>
      </c>
    </row>
    <row r="266" spans="2:6">
      <c r="B266" s="307" t="s">
        <v>1619</v>
      </c>
      <c r="C266" s="197" t="s">
        <v>1737</v>
      </c>
      <c r="D266" s="311">
        <v>0.1</v>
      </c>
      <c r="E266" s="311">
        <v>0.08</v>
      </c>
      <c r="F266" s="311">
        <v>0.1</v>
      </c>
    </row>
    <row r="267" spans="2:6">
      <c r="B267" s="307" t="s">
        <v>1544</v>
      </c>
      <c r="C267" s="197" t="s">
        <v>1543</v>
      </c>
      <c r="D267" s="311">
        <v>0.1</v>
      </c>
      <c r="E267" s="311">
        <v>0.08</v>
      </c>
      <c r="F267" s="311">
        <v>0.1</v>
      </c>
    </row>
    <row r="268" spans="2:6">
      <c r="B268" s="308" t="s">
        <v>1547</v>
      </c>
      <c r="C268" s="197" t="s">
        <v>1546</v>
      </c>
      <c r="D268" s="311">
        <v>0.1</v>
      </c>
      <c r="E268" s="311">
        <v>0.08</v>
      </c>
      <c r="F268" s="311">
        <v>0.1</v>
      </c>
    </row>
    <row r="269" spans="2:6">
      <c r="B269" s="199" t="s">
        <v>633</v>
      </c>
      <c r="C269" s="197" t="s">
        <v>634</v>
      </c>
      <c r="D269" s="306">
        <v>0.2681</v>
      </c>
      <c r="E269" s="306">
        <v>5.8700000000000002E-2</v>
      </c>
      <c r="F269" s="306">
        <v>0.28889999999999999</v>
      </c>
    </row>
    <row r="270" spans="2:6">
      <c r="B270" s="199" t="s">
        <v>518</v>
      </c>
      <c r="C270" s="197" t="s">
        <v>519</v>
      </c>
      <c r="D270" s="306">
        <v>0.14430000000000001</v>
      </c>
      <c r="E270" s="306">
        <v>3.5999999999999997E-2</v>
      </c>
      <c r="F270" s="306">
        <v>0.1353</v>
      </c>
    </row>
    <row r="271" spans="2:6">
      <c r="B271" s="199" t="s">
        <v>727</v>
      </c>
      <c r="C271" s="197" t="s">
        <v>728</v>
      </c>
      <c r="D271" s="306">
        <v>0.19059999999999999</v>
      </c>
      <c r="E271" s="306">
        <v>6.5799999999999997E-2</v>
      </c>
      <c r="F271" s="306">
        <v>0.19500000000000001</v>
      </c>
    </row>
    <row r="272" spans="2:6">
      <c r="B272" s="309" t="s">
        <v>1239</v>
      </c>
      <c r="C272" s="197" t="s">
        <v>1738</v>
      </c>
      <c r="D272" s="311">
        <v>0</v>
      </c>
      <c r="E272" s="311">
        <v>0</v>
      </c>
      <c r="F272" s="311">
        <v>0</v>
      </c>
    </row>
    <row r="273" spans="2:6">
      <c r="B273" s="199" t="s">
        <v>512</v>
      </c>
      <c r="C273" s="197" t="s">
        <v>513</v>
      </c>
      <c r="D273" s="306">
        <v>0.1603</v>
      </c>
      <c r="E273" s="306">
        <v>5.4199999999999998E-2</v>
      </c>
      <c r="F273" s="306">
        <v>0.1547</v>
      </c>
    </row>
    <row r="274" spans="2:6">
      <c r="B274" s="199" t="s">
        <v>311</v>
      </c>
      <c r="C274" s="197" t="s">
        <v>312</v>
      </c>
      <c r="D274" s="306">
        <v>0.39029999999999998</v>
      </c>
      <c r="E274" s="306">
        <v>0.12909999999999999</v>
      </c>
      <c r="F274" s="306">
        <v>0.43659999999999999</v>
      </c>
    </row>
    <row r="275" spans="2:6">
      <c r="B275" s="199" t="s">
        <v>364</v>
      </c>
      <c r="C275" s="197" t="s">
        <v>365</v>
      </c>
      <c r="D275" s="306">
        <v>0.16470000000000001</v>
      </c>
      <c r="E275" s="306">
        <v>2.47E-2</v>
      </c>
      <c r="F275" s="306">
        <v>0.17230000000000001</v>
      </c>
    </row>
    <row r="276" spans="2:6">
      <c r="B276" s="199" t="s">
        <v>692</v>
      </c>
      <c r="C276" s="197" t="s">
        <v>693</v>
      </c>
      <c r="D276" s="306">
        <v>0.23150000000000001</v>
      </c>
      <c r="E276" s="306">
        <v>6.8400000000000002E-2</v>
      </c>
      <c r="F276" s="306">
        <v>0.219</v>
      </c>
    </row>
    <row r="277" spans="2:6">
      <c r="B277" s="307" t="s">
        <v>657</v>
      </c>
      <c r="C277" s="197" t="s">
        <v>658</v>
      </c>
      <c r="D277" s="306">
        <v>0.19070000000000001</v>
      </c>
      <c r="E277" s="306">
        <v>2.4299999999999999E-2</v>
      </c>
      <c r="F277" s="306">
        <v>0.17460000000000001</v>
      </c>
    </row>
    <row r="278" spans="2:6">
      <c r="B278" s="199" t="s">
        <v>391</v>
      </c>
      <c r="C278" s="197" t="s">
        <v>392</v>
      </c>
      <c r="D278" s="306">
        <v>0.34789999999999999</v>
      </c>
      <c r="E278" s="306">
        <v>9.9099999999999994E-2</v>
      </c>
      <c r="F278" s="306">
        <v>0.22070000000000001</v>
      </c>
    </row>
    <row r="279" spans="2:6">
      <c r="B279" s="199" t="s">
        <v>433</v>
      </c>
      <c r="C279" s="197" t="s">
        <v>434</v>
      </c>
      <c r="D279" s="306">
        <v>0.19270000000000001</v>
      </c>
      <c r="E279" s="306">
        <v>2.6100000000000002E-2</v>
      </c>
      <c r="F279" s="306">
        <v>0.13339999999999999</v>
      </c>
    </row>
    <row r="280" spans="2:6">
      <c r="B280" s="199" t="s">
        <v>487</v>
      </c>
      <c r="C280" s="197" t="s">
        <v>488</v>
      </c>
      <c r="D280" s="306">
        <v>0.24149999999999999</v>
      </c>
      <c r="E280" s="306">
        <v>5.3900000000000003E-2</v>
      </c>
      <c r="F280" s="306">
        <v>0.18060000000000001</v>
      </c>
    </row>
    <row r="281" spans="2:6">
      <c r="B281" s="199" t="s">
        <v>729</v>
      </c>
      <c r="C281" s="197" t="s">
        <v>730</v>
      </c>
      <c r="D281" s="306">
        <v>0.20280000000000001</v>
      </c>
      <c r="E281" s="306">
        <v>2.5399999999999999E-2</v>
      </c>
      <c r="F281" s="306">
        <v>0.1983</v>
      </c>
    </row>
    <row r="282" spans="2:6">
      <c r="B282" s="199" t="s">
        <v>667</v>
      </c>
      <c r="C282" s="197" t="s">
        <v>668</v>
      </c>
      <c r="D282" s="306">
        <v>0.34960000000000002</v>
      </c>
      <c r="E282" s="306">
        <v>7.9100000000000004E-2</v>
      </c>
      <c r="F282" s="306">
        <v>0.35780000000000001</v>
      </c>
    </row>
    <row r="283" spans="2:6">
      <c r="B283" s="199" t="s">
        <v>237</v>
      </c>
      <c r="C283" s="197" t="s">
        <v>238</v>
      </c>
      <c r="D283" s="306">
        <v>0.25180000000000002</v>
      </c>
      <c r="E283" s="306">
        <v>3.44E-2</v>
      </c>
      <c r="F283" s="306">
        <v>0.19839999999999999</v>
      </c>
    </row>
    <row r="284" spans="2:6">
      <c r="B284" s="199" t="s">
        <v>405</v>
      </c>
      <c r="C284" s="197" t="s">
        <v>406</v>
      </c>
      <c r="D284" s="306">
        <v>0.25819999999999999</v>
      </c>
      <c r="E284" s="306">
        <v>5.8999999999999997E-2</v>
      </c>
      <c r="F284" s="306">
        <v>0.25840000000000002</v>
      </c>
    </row>
    <row r="285" spans="2:6">
      <c r="B285" s="199" t="s">
        <v>359</v>
      </c>
      <c r="C285" s="197" t="s">
        <v>1261</v>
      </c>
      <c r="D285" s="306">
        <v>0.19869999999999999</v>
      </c>
      <c r="E285" s="306">
        <v>3.3000000000000002E-2</v>
      </c>
      <c r="F285" s="306">
        <v>0.1749</v>
      </c>
    </row>
    <row r="286" spans="2:6">
      <c r="B286" s="199" t="s">
        <v>647</v>
      </c>
      <c r="C286" s="197" t="s">
        <v>648</v>
      </c>
      <c r="D286" s="306">
        <v>0.2064</v>
      </c>
      <c r="E286" s="306">
        <v>3.0700000000000002E-2</v>
      </c>
      <c r="F286" s="306">
        <v>0.22520000000000001</v>
      </c>
    </row>
    <row r="287" spans="2:6">
      <c r="B287" s="199" t="s">
        <v>714</v>
      </c>
      <c r="C287" s="197" t="s">
        <v>715</v>
      </c>
      <c r="D287" s="306">
        <v>0.19950000000000001</v>
      </c>
      <c r="E287" s="306">
        <v>5.5399999999999998E-2</v>
      </c>
      <c r="F287" s="306">
        <v>0.1449</v>
      </c>
    </row>
    <row r="288" spans="2:6">
      <c r="B288" s="199" t="s">
        <v>516</v>
      </c>
      <c r="C288" s="197" t="s">
        <v>517</v>
      </c>
      <c r="D288" s="306">
        <v>0.15920000000000001</v>
      </c>
      <c r="E288" s="306">
        <v>4.8399999999999999E-2</v>
      </c>
      <c r="F288" s="306">
        <v>0.1532</v>
      </c>
    </row>
    <row r="289" spans="2:6">
      <c r="B289" s="199" t="s">
        <v>627</v>
      </c>
      <c r="C289" s="197" t="s">
        <v>628</v>
      </c>
      <c r="D289" s="306">
        <v>0.22070000000000001</v>
      </c>
      <c r="E289" s="306">
        <v>6.25E-2</v>
      </c>
      <c r="F289" s="306">
        <v>0.2135</v>
      </c>
    </row>
    <row r="290" spans="2:6">
      <c r="B290" s="199" t="s">
        <v>215</v>
      </c>
      <c r="C290" s="197" t="s">
        <v>216</v>
      </c>
      <c r="D290" s="306">
        <v>0.1724</v>
      </c>
      <c r="E290" s="306">
        <v>4.7399999999999998E-2</v>
      </c>
      <c r="F290" s="306">
        <v>0.14860000000000001</v>
      </c>
    </row>
    <row r="291" spans="2:6">
      <c r="B291" s="199" t="s">
        <v>351</v>
      </c>
      <c r="C291" s="197" t="s">
        <v>352</v>
      </c>
      <c r="D291" s="306">
        <v>0.24299999999999999</v>
      </c>
      <c r="E291" s="306">
        <v>4.4299999999999999E-2</v>
      </c>
      <c r="F291" s="306">
        <v>0.20749999999999999</v>
      </c>
    </row>
    <row r="292" spans="2:6">
      <c r="B292" s="307" t="s">
        <v>1678</v>
      </c>
      <c r="C292" s="197" t="s">
        <v>1739</v>
      </c>
      <c r="D292" s="311">
        <v>7.0000000000000007E-2</v>
      </c>
      <c r="E292" s="311">
        <v>0.08</v>
      </c>
      <c r="F292" s="311">
        <v>0.1</v>
      </c>
    </row>
    <row r="293" spans="2:6">
      <c r="B293" s="199" t="s">
        <v>659</v>
      </c>
      <c r="C293" s="197" t="s">
        <v>660</v>
      </c>
      <c r="D293" s="306">
        <v>0.21959999999999999</v>
      </c>
      <c r="E293" s="306">
        <v>2.7000000000000001E-3</v>
      </c>
      <c r="F293" s="306">
        <v>0.2195</v>
      </c>
    </row>
    <row r="294" spans="2:6">
      <c r="B294" s="199" t="s">
        <v>279</v>
      </c>
      <c r="C294" s="197" t="s">
        <v>280</v>
      </c>
      <c r="D294" s="306">
        <v>0.18410000000000001</v>
      </c>
      <c r="E294" s="306">
        <v>5.96E-2</v>
      </c>
      <c r="F294" s="306">
        <v>0.2009</v>
      </c>
    </row>
    <row r="295" spans="2:6">
      <c r="B295" s="199" t="s">
        <v>670</v>
      </c>
      <c r="C295" s="197" t="s">
        <v>671</v>
      </c>
      <c r="D295" s="306">
        <v>0.26379999999999998</v>
      </c>
      <c r="E295" s="306">
        <v>5.2699999999999997E-2</v>
      </c>
      <c r="F295" s="306">
        <v>0.28939999999999999</v>
      </c>
    </row>
    <row r="296" spans="2:6">
      <c r="B296" s="199" t="s">
        <v>663</v>
      </c>
      <c r="C296" s="197" t="s">
        <v>664</v>
      </c>
      <c r="D296" s="306">
        <v>0.16800000000000001</v>
      </c>
      <c r="E296" s="306">
        <v>4.2099999999999999E-2</v>
      </c>
      <c r="F296" s="306">
        <v>0.14940000000000001</v>
      </c>
    </row>
    <row r="297" spans="2:6">
      <c r="B297" s="199" t="s">
        <v>737</v>
      </c>
      <c r="C297" s="197" t="s">
        <v>738</v>
      </c>
      <c r="D297" s="306">
        <v>0.19919999999999999</v>
      </c>
      <c r="E297" s="306">
        <v>5.2299999999999999E-2</v>
      </c>
      <c r="F297" s="306">
        <v>0.2021</v>
      </c>
    </row>
    <row r="298" spans="2:6">
      <c r="B298" s="199" t="s">
        <v>283</v>
      </c>
      <c r="C298" s="197" t="s">
        <v>284</v>
      </c>
      <c r="D298" s="306">
        <v>0.18740000000000001</v>
      </c>
      <c r="E298" s="306">
        <v>4.6300000000000001E-2</v>
      </c>
      <c r="F298" s="306">
        <v>0.18920000000000001</v>
      </c>
    </row>
    <row r="299" spans="2:6">
      <c r="B299" s="199" t="s">
        <v>222</v>
      </c>
      <c r="C299" s="197" t="s">
        <v>223</v>
      </c>
      <c r="D299" s="306">
        <v>0.16520000000000001</v>
      </c>
      <c r="E299" s="306">
        <v>3.5799999999999998E-2</v>
      </c>
      <c r="F299" s="306">
        <v>0.1636</v>
      </c>
    </row>
    <row r="300" spans="2:6">
      <c r="B300" s="199" t="s">
        <v>165</v>
      </c>
      <c r="C300" s="197" t="s">
        <v>166</v>
      </c>
      <c r="D300" s="306">
        <v>0.30590000000000001</v>
      </c>
      <c r="E300" s="306">
        <v>6.4199999999999993E-2</v>
      </c>
      <c r="F300" s="306">
        <v>0.27650000000000002</v>
      </c>
    </row>
    <row r="301" spans="2:6">
      <c r="B301" s="199" t="s">
        <v>257</v>
      </c>
      <c r="C301" s="197" t="s">
        <v>258</v>
      </c>
      <c r="D301" s="306">
        <v>0.24160000000000001</v>
      </c>
      <c r="E301" s="306">
        <v>5.7000000000000002E-2</v>
      </c>
      <c r="F301" s="306">
        <v>0.2175</v>
      </c>
    </row>
    <row r="302" spans="2:6">
      <c r="B302" s="199" t="s">
        <v>625</v>
      </c>
      <c r="C302" s="197" t="s">
        <v>626</v>
      </c>
      <c r="D302" s="306">
        <v>0.35349999999999998</v>
      </c>
      <c r="E302" s="306">
        <v>3.5900000000000001E-2</v>
      </c>
      <c r="F302" s="306">
        <v>0.40129999999999999</v>
      </c>
    </row>
    <row r="303" spans="2:6">
      <c r="B303" s="199" t="s">
        <v>203</v>
      </c>
      <c r="C303" s="197" t="s">
        <v>204</v>
      </c>
      <c r="D303" s="306">
        <v>0.14929999999999999</v>
      </c>
      <c r="E303" s="306">
        <v>3.78E-2</v>
      </c>
      <c r="F303" s="306">
        <v>0.14149999999999999</v>
      </c>
    </row>
    <row r="304" spans="2:6">
      <c r="B304" s="199" t="s">
        <v>616</v>
      </c>
      <c r="C304" s="197" t="s">
        <v>1265</v>
      </c>
      <c r="D304" s="306">
        <v>0.21279999999999999</v>
      </c>
      <c r="E304" s="306">
        <v>5.2499999999999998E-2</v>
      </c>
      <c r="F304" s="306">
        <v>0.19789999999999999</v>
      </c>
    </row>
    <row r="305" spans="2:25">
      <c r="B305" s="199" t="s">
        <v>739</v>
      </c>
      <c r="C305" s="197" t="s">
        <v>1265</v>
      </c>
      <c r="D305" s="306">
        <v>0.18679999999999999</v>
      </c>
      <c r="E305" s="306">
        <v>8.0799999999999997E-2</v>
      </c>
      <c r="F305" s="306">
        <v>0.1573</v>
      </c>
    </row>
    <row r="306" spans="2:25">
      <c r="B306" s="199" t="s">
        <v>441</v>
      </c>
      <c r="C306" s="197" t="s">
        <v>442</v>
      </c>
      <c r="D306" s="306">
        <v>0.1996</v>
      </c>
      <c r="E306" s="306">
        <v>2.46E-2</v>
      </c>
      <c r="F306" s="306">
        <v>0.1739</v>
      </c>
    </row>
    <row r="307" spans="2:25">
      <c r="B307" s="199" t="s">
        <v>534</v>
      </c>
      <c r="C307" s="197" t="s">
        <v>535</v>
      </c>
      <c r="D307" s="306">
        <v>0.1585</v>
      </c>
      <c r="E307" s="306">
        <v>4.7800000000000002E-2</v>
      </c>
      <c r="F307" s="306">
        <v>0.14960000000000001</v>
      </c>
    </row>
    <row r="308" spans="2:25">
      <c r="B308" s="199" t="s">
        <v>415</v>
      </c>
      <c r="C308" s="197" t="s">
        <v>416</v>
      </c>
      <c r="D308" s="306">
        <v>0.16450000000000001</v>
      </c>
      <c r="E308" s="306">
        <v>4.87E-2</v>
      </c>
      <c r="F308" s="306">
        <v>0.16569999999999999</v>
      </c>
    </row>
    <row r="309" spans="2:25">
      <c r="B309" s="199" t="s">
        <v>455</v>
      </c>
      <c r="C309" s="197" t="s">
        <v>456</v>
      </c>
      <c r="D309" s="306">
        <v>0.28520000000000001</v>
      </c>
      <c r="E309" s="306">
        <v>3.9100000000000003E-2</v>
      </c>
      <c r="F309" s="306">
        <v>0.30930000000000002</v>
      </c>
    </row>
    <row r="310" spans="2:25">
      <c r="B310" s="199" t="s">
        <v>498</v>
      </c>
      <c r="C310" s="197" t="s">
        <v>499</v>
      </c>
      <c r="D310" s="306">
        <v>0.2344</v>
      </c>
      <c r="E310" s="306">
        <v>5.79E-2</v>
      </c>
      <c r="F310" s="306">
        <v>0.25130000000000002</v>
      </c>
    </row>
    <row r="311" spans="2:25">
      <c r="B311" s="199">
        <v>36901</v>
      </c>
      <c r="C311" s="197" t="s">
        <v>1740</v>
      </c>
      <c r="D311" s="311">
        <v>0.1</v>
      </c>
      <c r="E311" s="311">
        <v>0.08</v>
      </c>
      <c r="F311" s="311">
        <v>0.1</v>
      </c>
      <c r="G311" s="119"/>
    </row>
    <row r="312" spans="2:25">
      <c r="B312" s="199" t="s">
        <v>295</v>
      </c>
      <c r="C312" s="197" t="s">
        <v>296</v>
      </c>
      <c r="D312" s="306">
        <v>0.28749999999999998</v>
      </c>
      <c r="E312" s="306">
        <v>1.8800000000000001E-2</v>
      </c>
      <c r="F312" s="306">
        <v>0.29120000000000001</v>
      </c>
    </row>
    <row r="313" spans="2:25">
      <c r="B313" s="199" t="s">
        <v>429</v>
      </c>
      <c r="C313" s="197" t="s">
        <v>430</v>
      </c>
      <c r="D313" s="306">
        <v>0.17649999999999999</v>
      </c>
      <c r="E313" s="306">
        <v>1.8800000000000001E-2</v>
      </c>
      <c r="F313" s="306">
        <v>0.14130000000000001</v>
      </c>
    </row>
    <row r="314" spans="2:25">
      <c r="B314" s="199" t="s">
        <v>319</v>
      </c>
      <c r="C314" s="197" t="s">
        <v>320</v>
      </c>
      <c r="D314" s="306">
        <v>0.48449999999999999</v>
      </c>
      <c r="E314" s="306">
        <v>4.0099999999999997E-2</v>
      </c>
      <c r="F314" s="306">
        <v>0.3478</v>
      </c>
    </row>
    <row r="315" spans="2:25">
      <c r="B315" s="199" t="s">
        <v>399</v>
      </c>
      <c r="C315" s="197" t="s">
        <v>400</v>
      </c>
      <c r="D315" s="306">
        <v>0.3201</v>
      </c>
      <c r="E315" s="306">
        <v>4.3200000000000002E-2</v>
      </c>
      <c r="F315" s="306">
        <v>0.32690000000000002</v>
      </c>
    </row>
    <row r="316" spans="2:25">
      <c r="B316" s="199" t="s">
        <v>243</v>
      </c>
      <c r="C316" s="197" t="s">
        <v>244</v>
      </c>
      <c r="D316" s="306">
        <v>0.17460000000000001</v>
      </c>
      <c r="E316" s="306">
        <v>2.8500000000000001E-2</v>
      </c>
      <c r="F316" s="306">
        <v>0.152</v>
      </c>
    </row>
    <row r="317" spans="2:25" s="119" customFormat="1">
      <c r="B317" s="303" t="s">
        <v>1688</v>
      </c>
      <c r="C317" s="304" t="s">
        <v>1741</v>
      </c>
      <c r="D317" s="299">
        <v>7.0000000000000007E-2</v>
      </c>
      <c r="E317" s="299">
        <v>0.08</v>
      </c>
      <c r="F317" s="299">
        <v>0.1</v>
      </c>
      <c r="H317"/>
      <c r="I317"/>
      <c r="J317"/>
      <c r="K317"/>
      <c r="L317"/>
      <c r="M317"/>
      <c r="N317"/>
      <c r="P317"/>
      <c r="Q317"/>
      <c r="R317"/>
      <c r="S317"/>
      <c r="T317"/>
      <c r="U317"/>
      <c r="V317"/>
      <c r="W317"/>
      <c r="X317"/>
      <c r="Y317"/>
    </row>
    <row r="318" spans="2:25">
      <c r="B318" s="199" t="s">
        <v>718</v>
      </c>
      <c r="C318" s="197" t="s">
        <v>719</v>
      </c>
      <c r="D318" s="306">
        <v>0.17169999999999999</v>
      </c>
      <c r="E318" s="306">
        <v>1.6299999999999999E-2</v>
      </c>
      <c r="F318" s="306">
        <v>0.18440000000000001</v>
      </c>
    </row>
    <row r="319" spans="2:25">
      <c r="B319" s="199" t="s">
        <v>643</v>
      </c>
      <c r="C319" s="197" t="s">
        <v>644</v>
      </c>
      <c r="D319" s="306">
        <v>0.1706</v>
      </c>
      <c r="E319" s="306">
        <v>5.0500000000000003E-2</v>
      </c>
      <c r="F319" s="306">
        <v>0.14230000000000001</v>
      </c>
    </row>
    <row r="320" spans="2:25">
      <c r="B320" s="199" t="s">
        <v>735</v>
      </c>
      <c r="C320" s="197" t="s">
        <v>736</v>
      </c>
      <c r="D320" s="306">
        <v>0.24709999999999999</v>
      </c>
      <c r="E320" s="306">
        <v>9.3799999999999994E-2</v>
      </c>
      <c r="F320" s="306">
        <v>0.25900000000000001</v>
      </c>
    </row>
    <row r="330" spans="2:2">
      <c r="B330" s="81"/>
    </row>
    <row r="331" spans="2:2">
      <c r="B331" s="81"/>
    </row>
    <row r="332" spans="2:2">
      <c r="B332" s="81"/>
    </row>
    <row r="342" spans="3:3">
      <c r="C342"/>
    </row>
    <row r="343" spans="3:3">
      <c r="C343"/>
    </row>
    <row r="344" spans="3:3">
      <c r="C344"/>
    </row>
    <row r="345" spans="3:3">
      <c r="C345"/>
    </row>
    <row r="346" spans="3:3">
      <c r="C346"/>
    </row>
  </sheetData>
  <sortState ref="J7:N317">
    <sortCondition ref="K7:K317"/>
  </sortState>
  <conditionalFormatting sqref="E7:E35 D304:F316 D94:F109 D195:F233 D111:F135 D318:F320">
    <cfRule type="cellIs" dxfId="55" priority="21" operator="lessThan">
      <formula>0</formula>
    </cfRule>
  </conditionalFormatting>
  <conditionalFormatting sqref="E46:E85">
    <cfRule type="cellIs" dxfId="54" priority="20" operator="lessThan">
      <formula>0</formula>
    </cfRule>
  </conditionalFormatting>
  <conditionalFormatting sqref="E145:E185">
    <cfRule type="cellIs" dxfId="53" priority="19" operator="lessThan">
      <formula>0</formula>
    </cfRule>
  </conditionalFormatting>
  <conditionalFormatting sqref="E242:E248 E250:E283">
    <cfRule type="cellIs" dxfId="52" priority="18" operator="lessThan">
      <formula>0</formula>
    </cfRule>
  </conditionalFormatting>
  <conditionalFormatting sqref="E291:E301">
    <cfRule type="cellIs" dxfId="51" priority="17" operator="lessThan">
      <formula>0</formula>
    </cfRule>
  </conditionalFormatting>
  <conditionalFormatting sqref="F7:F35">
    <cfRule type="cellIs" dxfId="50" priority="16" operator="lessThan">
      <formula>0</formula>
    </cfRule>
  </conditionalFormatting>
  <conditionalFormatting sqref="F46:F85">
    <cfRule type="cellIs" dxfId="49" priority="15" operator="lessThan">
      <formula>0</formula>
    </cfRule>
  </conditionalFormatting>
  <conditionalFormatting sqref="F145:F185">
    <cfRule type="cellIs" dxfId="48" priority="14" operator="lessThan">
      <formula>0</formula>
    </cfRule>
  </conditionalFormatting>
  <conditionalFormatting sqref="F242:F248 F250:F283">
    <cfRule type="cellIs" dxfId="47" priority="13" operator="lessThan">
      <formula>0</formula>
    </cfRule>
  </conditionalFormatting>
  <conditionalFormatting sqref="F291:F301">
    <cfRule type="cellIs" dxfId="46" priority="12" operator="lessThan">
      <formula>0</formula>
    </cfRule>
  </conditionalFormatting>
  <conditionalFormatting sqref="D7:D35">
    <cfRule type="cellIs" dxfId="45" priority="11" operator="lessThan">
      <formula>0</formula>
    </cfRule>
  </conditionalFormatting>
  <conditionalFormatting sqref="D46:D85">
    <cfRule type="cellIs" dxfId="44" priority="10" operator="lessThan">
      <formula>0</formula>
    </cfRule>
  </conditionalFormatting>
  <conditionalFormatting sqref="D145:D185">
    <cfRule type="cellIs" dxfId="43" priority="9" operator="lessThan">
      <formula>0</formula>
    </cfRule>
  </conditionalFormatting>
  <conditionalFormatting sqref="D242:D248 D250:D283">
    <cfRule type="cellIs" dxfId="42" priority="8" operator="lessThan">
      <formula>0</formula>
    </cfRule>
  </conditionalFormatting>
  <conditionalFormatting sqref="D291:D301">
    <cfRule type="cellIs" dxfId="41" priority="7" operator="lessThan">
      <formula>0</formula>
    </cfRule>
  </conditionalFormatting>
  <conditionalFormatting sqref="E302:E303">
    <cfRule type="cellIs" dxfId="40" priority="6" operator="lessThan">
      <formula>0</formula>
    </cfRule>
  </conditionalFormatting>
  <conditionalFormatting sqref="F302:F303">
    <cfRule type="cellIs" dxfId="39" priority="5" operator="lessThan">
      <formula>0</formula>
    </cfRule>
  </conditionalFormatting>
  <conditionalFormatting sqref="D302:D303">
    <cfRule type="cellIs" dxfId="38" priority="4" operator="lessThan">
      <formula>0</formula>
    </cfRule>
  </conditionalFormatting>
  <conditionalFormatting sqref="E249">
    <cfRule type="cellIs" dxfId="37" priority="3" operator="lessThan">
      <formula>0</formula>
    </cfRule>
  </conditionalFormatting>
  <conditionalFormatting sqref="F249">
    <cfRule type="cellIs" dxfId="36" priority="2" operator="lessThan">
      <formula>0</formula>
    </cfRule>
  </conditionalFormatting>
  <conditionalFormatting sqref="D249">
    <cfRule type="cellIs" dxfId="35"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5"/>
  <sheetViews>
    <sheetView workbookViewId="0">
      <selection sqref="A1:G1"/>
    </sheetView>
  </sheetViews>
  <sheetFormatPr defaultRowHeight="15"/>
  <cols>
    <col min="1" max="1" width="30.140625" bestFit="1" customWidth="1"/>
    <col min="2" max="2" width="18.28515625" customWidth="1"/>
    <col min="3" max="3" width="14.85546875" bestFit="1" customWidth="1"/>
    <col min="4" max="4" width="14" customWidth="1"/>
    <col min="5" max="5" width="17.42578125" customWidth="1"/>
    <col min="6" max="6" width="14.140625" bestFit="1" customWidth="1"/>
    <col min="7" max="7" width="10.85546875" bestFit="1" customWidth="1"/>
  </cols>
  <sheetData>
    <row r="1" spans="1:17">
      <c r="A1" s="415" t="s">
        <v>36</v>
      </c>
      <c r="B1" s="415"/>
      <c r="C1" s="415"/>
      <c r="D1" s="415"/>
      <c r="E1" s="415"/>
      <c r="F1" s="415"/>
      <c r="G1" s="415"/>
      <c r="I1" s="36"/>
      <c r="J1" s="36"/>
      <c r="K1" s="36"/>
      <c r="L1" s="36"/>
      <c r="M1" s="36"/>
      <c r="N1" s="36"/>
      <c r="O1" s="36"/>
      <c r="P1" s="35"/>
      <c r="Q1" s="35"/>
    </row>
    <row r="2" spans="1:17">
      <c r="A2" s="6" t="s">
        <v>37</v>
      </c>
      <c r="I2" s="36"/>
      <c r="J2" s="36"/>
      <c r="K2" s="36"/>
      <c r="L2" s="36"/>
      <c r="M2" s="36"/>
      <c r="N2" s="36"/>
      <c r="O2" s="36"/>
      <c r="P2" s="35"/>
      <c r="Q2" s="35"/>
    </row>
    <row r="3" spans="1:17">
      <c r="I3" s="36"/>
      <c r="J3" s="36"/>
      <c r="K3" s="36"/>
      <c r="L3" s="36"/>
      <c r="M3" s="36"/>
      <c r="N3" s="36"/>
      <c r="O3" s="36"/>
      <c r="P3" s="35"/>
      <c r="Q3" s="35"/>
    </row>
    <row r="4" spans="1:17" ht="33.75" customHeight="1">
      <c r="B4" s="282" t="s">
        <v>52</v>
      </c>
      <c r="C4" s="282" t="s">
        <v>99</v>
      </c>
      <c r="D4" s="282" t="s">
        <v>100</v>
      </c>
      <c r="E4" s="282" t="s">
        <v>101</v>
      </c>
      <c r="F4" s="282" t="s">
        <v>102</v>
      </c>
      <c r="G4" s="282" t="s">
        <v>103</v>
      </c>
      <c r="I4" s="36"/>
      <c r="J4" s="36"/>
      <c r="K4" s="36"/>
      <c r="L4" s="36"/>
      <c r="M4" s="36"/>
      <c r="N4" s="36"/>
      <c r="O4" s="36"/>
      <c r="P4" s="35"/>
      <c r="Q4" s="35"/>
    </row>
    <row r="5" spans="1:17">
      <c r="A5" t="s">
        <v>73</v>
      </c>
      <c r="B5" s="20">
        <f>SUM(B6:B55)</f>
        <v>0</v>
      </c>
      <c r="C5" s="20">
        <f t="shared" ref="C5:G5" si="0">SUM(C6:C55)</f>
        <v>0</v>
      </c>
      <c r="D5" s="20">
        <f t="shared" si="0"/>
        <v>0</v>
      </c>
      <c r="E5" s="20">
        <f t="shared" si="0"/>
        <v>0</v>
      </c>
      <c r="F5" s="20">
        <f t="shared" si="0"/>
        <v>0</v>
      </c>
      <c r="G5" s="20">
        <f t="shared" si="0"/>
        <v>0</v>
      </c>
      <c r="I5" s="35"/>
      <c r="J5" s="35"/>
      <c r="K5" s="35"/>
      <c r="L5" s="35"/>
      <c r="M5" s="35"/>
      <c r="N5" s="35"/>
      <c r="O5" s="35"/>
      <c r="P5" s="35"/>
      <c r="Q5" s="35"/>
    </row>
    <row r="6" spans="1:17">
      <c r="A6" s="12" t="s">
        <v>104</v>
      </c>
      <c r="B6" s="290">
        <v>0</v>
      </c>
      <c r="C6" s="290"/>
      <c r="D6" s="290"/>
      <c r="E6" s="290"/>
      <c r="F6" s="290"/>
      <c r="G6" s="290"/>
      <c r="I6" s="35"/>
      <c r="J6" s="35"/>
      <c r="K6" s="35"/>
      <c r="L6" s="35"/>
      <c r="M6" s="35"/>
      <c r="N6" s="35"/>
      <c r="O6" s="35"/>
      <c r="P6" s="35"/>
      <c r="Q6" s="35"/>
    </row>
    <row r="7" spans="1:17">
      <c r="A7" s="12" t="s">
        <v>104</v>
      </c>
      <c r="B7" s="290"/>
      <c r="C7" s="290"/>
      <c r="D7" s="290"/>
      <c r="E7" s="290"/>
      <c r="F7" s="290"/>
      <c r="G7" s="290"/>
      <c r="I7" s="35"/>
      <c r="J7" s="35"/>
      <c r="K7" s="35"/>
      <c r="L7" s="35"/>
      <c r="M7" s="35"/>
      <c r="N7" s="35"/>
      <c r="O7" s="35"/>
      <c r="P7" s="35"/>
      <c r="Q7" s="35"/>
    </row>
    <row r="8" spans="1:17">
      <c r="A8" s="12" t="s">
        <v>104</v>
      </c>
      <c r="B8" s="290"/>
      <c r="C8" s="290"/>
      <c r="D8" s="290"/>
      <c r="E8" s="290"/>
      <c r="F8" s="290"/>
      <c r="G8" s="290"/>
      <c r="I8" s="35"/>
      <c r="J8" s="35"/>
      <c r="K8" s="35"/>
      <c r="L8" s="35"/>
      <c r="M8" s="35"/>
      <c r="N8" s="35"/>
      <c r="O8" s="35"/>
      <c r="P8" s="35"/>
      <c r="Q8" s="35"/>
    </row>
    <row r="9" spans="1:17">
      <c r="A9" s="12" t="s">
        <v>104</v>
      </c>
      <c r="B9" s="290"/>
      <c r="C9" s="290"/>
      <c r="D9" s="290"/>
      <c r="E9" s="290"/>
      <c r="F9" s="290"/>
      <c r="G9" s="290"/>
      <c r="I9" s="35"/>
      <c r="J9" s="35"/>
      <c r="K9" s="35"/>
      <c r="L9" s="35"/>
      <c r="M9" s="35"/>
      <c r="N9" s="35"/>
      <c r="O9" s="35"/>
      <c r="P9" s="35"/>
      <c r="Q9" s="35"/>
    </row>
    <row r="10" spans="1:17">
      <c r="A10" s="12" t="s">
        <v>104</v>
      </c>
      <c r="B10" s="290"/>
      <c r="C10" s="290"/>
      <c r="D10" s="290"/>
      <c r="E10" s="290"/>
      <c r="F10" s="290"/>
      <c r="G10" s="290"/>
      <c r="I10" s="35"/>
      <c r="J10" s="35"/>
      <c r="K10" s="35"/>
      <c r="L10" s="35"/>
      <c r="M10" s="35"/>
      <c r="N10" s="35"/>
      <c r="O10" s="35"/>
      <c r="P10" s="35"/>
      <c r="Q10" s="35"/>
    </row>
    <row r="11" spans="1:17">
      <c r="A11" s="12" t="s">
        <v>104</v>
      </c>
      <c r="B11" s="290"/>
      <c r="C11" s="290"/>
      <c r="D11" s="290"/>
      <c r="E11" s="290"/>
      <c r="F11" s="290"/>
      <c r="G11" s="290"/>
      <c r="I11" s="35"/>
      <c r="J11" s="35"/>
      <c r="K11" s="35"/>
      <c r="L11" s="35"/>
      <c r="M11" s="35"/>
      <c r="N11" s="35"/>
      <c r="O11" s="35"/>
      <c r="P11" s="35"/>
      <c r="Q11" s="35"/>
    </row>
    <row r="12" spans="1:17">
      <c r="A12" s="12" t="s">
        <v>104</v>
      </c>
      <c r="B12" s="290"/>
      <c r="C12" s="290"/>
      <c r="D12" s="290"/>
      <c r="E12" s="290"/>
      <c r="F12" s="290"/>
      <c r="G12" s="290"/>
      <c r="I12" s="35"/>
      <c r="J12" s="35"/>
      <c r="K12" s="35"/>
      <c r="L12" s="35"/>
      <c r="M12" s="35"/>
      <c r="N12" s="35"/>
      <c r="O12" s="35"/>
      <c r="P12" s="35"/>
      <c r="Q12" s="35"/>
    </row>
    <row r="13" spans="1:17">
      <c r="A13" s="12" t="s">
        <v>104</v>
      </c>
      <c r="B13" s="290"/>
      <c r="C13" s="290"/>
      <c r="D13" s="290"/>
      <c r="E13" s="290"/>
      <c r="F13" s="290"/>
      <c r="G13" s="290"/>
      <c r="I13" s="35"/>
      <c r="J13" s="35"/>
      <c r="K13" s="35"/>
      <c r="L13" s="35"/>
      <c r="M13" s="35"/>
      <c r="N13" s="35"/>
      <c r="O13" s="35"/>
      <c r="P13" s="35"/>
      <c r="Q13" s="35"/>
    </row>
    <row r="14" spans="1:17">
      <c r="A14" s="12" t="s">
        <v>104</v>
      </c>
      <c r="B14" s="290"/>
      <c r="C14" s="290"/>
      <c r="D14" s="290"/>
      <c r="E14" s="290"/>
      <c r="F14" s="290"/>
      <c r="G14" s="290"/>
      <c r="I14" s="35"/>
      <c r="J14" s="35"/>
      <c r="K14" s="35"/>
      <c r="L14" s="35"/>
      <c r="M14" s="35"/>
      <c r="N14" s="35"/>
      <c r="O14" s="35"/>
      <c r="P14" s="35"/>
      <c r="Q14" s="35"/>
    </row>
    <row r="15" spans="1:17">
      <c r="A15" s="12" t="s">
        <v>104</v>
      </c>
      <c r="B15" s="290"/>
      <c r="C15" s="290"/>
      <c r="D15" s="290"/>
      <c r="E15" s="290"/>
      <c r="F15" s="290"/>
      <c r="G15" s="290"/>
      <c r="I15" s="35"/>
      <c r="J15" s="35"/>
      <c r="K15" s="35"/>
      <c r="L15" s="35"/>
      <c r="M15" s="35"/>
      <c r="N15" s="35"/>
      <c r="O15" s="35"/>
      <c r="P15" s="35"/>
      <c r="Q15" s="35"/>
    </row>
    <row r="16" spans="1:17">
      <c r="A16" s="12" t="s">
        <v>104</v>
      </c>
      <c r="B16" s="290"/>
      <c r="C16" s="290"/>
      <c r="D16" s="290"/>
      <c r="E16" s="290"/>
      <c r="F16" s="290"/>
      <c r="G16" s="290"/>
      <c r="I16" s="35"/>
      <c r="J16" s="35"/>
      <c r="K16" s="35"/>
      <c r="L16" s="35"/>
      <c r="M16" s="35"/>
      <c r="N16" s="35"/>
      <c r="O16" s="35"/>
      <c r="P16" s="35"/>
      <c r="Q16" s="35"/>
    </row>
    <row r="17" spans="1:17">
      <c r="A17" s="12" t="s">
        <v>104</v>
      </c>
      <c r="B17" s="290"/>
      <c r="C17" s="290"/>
      <c r="D17" s="290"/>
      <c r="E17" s="290"/>
      <c r="F17" s="290"/>
      <c r="G17" s="290"/>
      <c r="I17" s="35"/>
      <c r="J17" s="35"/>
      <c r="K17" s="35"/>
      <c r="L17" s="35"/>
      <c r="M17" s="35"/>
      <c r="N17" s="35"/>
      <c r="O17" s="35"/>
      <c r="P17" s="35"/>
      <c r="Q17" s="35"/>
    </row>
    <row r="18" spans="1:17">
      <c r="A18" s="12" t="s">
        <v>104</v>
      </c>
      <c r="B18" s="290"/>
      <c r="C18" s="290"/>
      <c r="D18" s="290"/>
      <c r="E18" s="290"/>
      <c r="F18" s="290"/>
      <c r="G18" s="290"/>
      <c r="I18" s="35"/>
      <c r="J18" s="35"/>
      <c r="K18" s="35"/>
      <c r="L18" s="35"/>
      <c r="M18" s="35"/>
      <c r="N18" s="35"/>
      <c r="O18" s="35"/>
      <c r="P18" s="35"/>
      <c r="Q18" s="35"/>
    </row>
    <row r="19" spans="1:17">
      <c r="A19" s="12" t="s">
        <v>104</v>
      </c>
      <c r="B19" s="290"/>
      <c r="C19" s="290"/>
      <c r="D19" s="290"/>
      <c r="E19" s="290"/>
      <c r="F19" s="290"/>
      <c r="G19" s="290"/>
      <c r="I19" s="35"/>
      <c r="J19" s="35"/>
      <c r="K19" s="35"/>
      <c r="L19" s="35"/>
      <c r="M19" s="35"/>
      <c r="N19" s="35"/>
      <c r="O19" s="35"/>
      <c r="P19" s="35"/>
      <c r="Q19" s="35"/>
    </row>
    <row r="20" spans="1:17">
      <c r="A20" s="12" t="s">
        <v>104</v>
      </c>
      <c r="B20" s="290"/>
      <c r="C20" s="290"/>
      <c r="D20" s="290"/>
      <c r="E20" s="290"/>
      <c r="F20" s="290"/>
      <c r="G20" s="290"/>
      <c r="I20" s="35"/>
      <c r="J20" s="35"/>
      <c r="K20" s="35"/>
      <c r="L20" s="35"/>
      <c r="M20" s="35"/>
      <c r="N20" s="35"/>
      <c r="O20" s="35"/>
      <c r="P20" s="35"/>
      <c r="Q20" s="35"/>
    </row>
    <row r="21" spans="1:17">
      <c r="A21" s="12" t="s">
        <v>104</v>
      </c>
      <c r="B21" s="290"/>
      <c r="C21" s="290"/>
      <c r="D21" s="290"/>
      <c r="E21" s="290"/>
      <c r="F21" s="290"/>
      <c r="G21" s="290"/>
      <c r="I21" s="35"/>
      <c r="J21" s="35"/>
      <c r="K21" s="35"/>
      <c r="L21" s="35"/>
      <c r="M21" s="35"/>
      <c r="N21" s="35"/>
      <c r="O21" s="35"/>
      <c r="P21" s="35"/>
      <c r="Q21" s="35"/>
    </row>
    <row r="22" spans="1:17">
      <c r="A22" s="12" t="s">
        <v>104</v>
      </c>
      <c r="B22" s="290"/>
      <c r="C22" s="290"/>
      <c r="D22" s="290"/>
      <c r="E22" s="290"/>
      <c r="F22" s="290"/>
      <c r="G22" s="290"/>
      <c r="I22" s="35"/>
      <c r="J22" s="35"/>
      <c r="K22" s="35"/>
      <c r="L22" s="35"/>
      <c r="M22" s="35"/>
      <c r="N22" s="35"/>
      <c r="O22" s="35"/>
      <c r="P22" s="35"/>
      <c r="Q22" s="35"/>
    </row>
    <row r="23" spans="1:17">
      <c r="A23" s="12" t="s">
        <v>104</v>
      </c>
      <c r="B23" s="290"/>
      <c r="C23" s="290"/>
      <c r="D23" s="290"/>
      <c r="E23" s="290"/>
      <c r="F23" s="290"/>
      <c r="G23" s="290"/>
      <c r="I23" s="35"/>
      <c r="J23" s="35"/>
      <c r="K23" s="35"/>
      <c r="L23" s="35"/>
      <c r="M23" s="35"/>
      <c r="N23" s="35"/>
      <c r="O23" s="35"/>
      <c r="P23" s="35"/>
      <c r="Q23" s="35"/>
    </row>
    <row r="24" spans="1:17">
      <c r="A24" s="12" t="s">
        <v>104</v>
      </c>
      <c r="B24" s="290"/>
      <c r="C24" s="290"/>
      <c r="D24" s="290"/>
      <c r="E24" s="290"/>
      <c r="F24" s="290"/>
      <c r="G24" s="290"/>
    </row>
    <row r="25" spans="1:17">
      <c r="A25" s="12" t="s">
        <v>104</v>
      </c>
      <c r="B25" s="290"/>
      <c r="C25" s="290"/>
      <c r="D25" s="290"/>
      <c r="E25" s="290"/>
      <c r="F25" s="290"/>
      <c r="G25" s="290"/>
    </row>
    <row r="26" spans="1:17">
      <c r="A26" s="12" t="s">
        <v>104</v>
      </c>
      <c r="B26" s="290"/>
      <c r="C26" s="290"/>
      <c r="D26" s="290"/>
      <c r="E26" s="290"/>
      <c r="F26" s="290"/>
      <c r="G26" s="290"/>
    </row>
    <row r="27" spans="1:17">
      <c r="A27" s="12" t="s">
        <v>104</v>
      </c>
      <c r="B27" s="290"/>
      <c r="C27" s="290"/>
      <c r="D27" s="290"/>
      <c r="E27" s="290"/>
      <c r="F27" s="290"/>
      <c r="G27" s="290"/>
    </row>
    <row r="28" spans="1:17">
      <c r="A28" s="12" t="s">
        <v>104</v>
      </c>
      <c r="B28" s="290"/>
      <c r="C28" s="290"/>
      <c r="D28" s="290"/>
      <c r="E28" s="290"/>
      <c r="F28" s="290"/>
      <c r="G28" s="290"/>
    </row>
    <row r="29" spans="1:17">
      <c r="A29" s="12" t="s">
        <v>104</v>
      </c>
      <c r="B29" s="290"/>
      <c r="C29" s="290"/>
      <c r="D29" s="290"/>
      <c r="E29" s="290"/>
      <c r="F29" s="290"/>
      <c r="G29" s="290"/>
    </row>
    <row r="30" spans="1:17">
      <c r="A30" s="12" t="s">
        <v>104</v>
      </c>
      <c r="B30" s="290"/>
      <c r="C30" s="290"/>
      <c r="D30" s="290"/>
      <c r="E30" s="290"/>
      <c r="F30" s="290"/>
      <c r="G30" s="290"/>
    </row>
    <row r="31" spans="1:17">
      <c r="A31" s="12" t="s">
        <v>104</v>
      </c>
      <c r="B31" s="290"/>
      <c r="C31" s="290"/>
      <c r="D31" s="290"/>
      <c r="E31" s="290"/>
      <c r="F31" s="290"/>
      <c r="G31" s="290"/>
    </row>
    <row r="32" spans="1:17">
      <c r="A32" s="12" t="s">
        <v>104</v>
      </c>
      <c r="B32" s="290"/>
      <c r="C32" s="290"/>
      <c r="D32" s="290"/>
      <c r="E32" s="290"/>
      <c r="F32" s="290"/>
      <c r="G32" s="290"/>
    </row>
    <row r="33" spans="1:7">
      <c r="A33" s="12" t="s">
        <v>104</v>
      </c>
      <c r="B33" s="290"/>
      <c r="C33" s="290"/>
      <c r="D33" s="290"/>
      <c r="E33" s="290"/>
      <c r="F33" s="290"/>
      <c r="G33" s="290"/>
    </row>
    <row r="34" spans="1:7">
      <c r="A34" s="12" t="s">
        <v>104</v>
      </c>
      <c r="B34" s="290"/>
      <c r="C34" s="290"/>
      <c r="D34" s="290"/>
      <c r="E34" s="290"/>
      <c r="F34" s="290"/>
      <c r="G34" s="290"/>
    </row>
    <row r="35" spans="1:7">
      <c r="A35" s="12" t="s">
        <v>104</v>
      </c>
      <c r="B35" s="290"/>
      <c r="C35" s="290"/>
      <c r="D35" s="290"/>
      <c r="E35" s="290"/>
      <c r="F35" s="290"/>
      <c r="G35" s="290"/>
    </row>
    <row r="36" spans="1:7">
      <c r="A36" s="12" t="s">
        <v>104</v>
      </c>
      <c r="B36" s="290"/>
      <c r="C36" s="290"/>
      <c r="D36" s="290"/>
      <c r="E36" s="290"/>
      <c r="F36" s="290"/>
      <c r="G36" s="290"/>
    </row>
    <row r="37" spans="1:7">
      <c r="A37" s="12" t="s">
        <v>104</v>
      </c>
      <c r="B37" s="290"/>
      <c r="C37" s="290"/>
      <c r="D37" s="290"/>
      <c r="E37" s="290"/>
      <c r="F37" s="290"/>
      <c r="G37" s="290"/>
    </row>
    <row r="38" spans="1:7">
      <c r="A38" s="12" t="s">
        <v>104</v>
      </c>
      <c r="B38" s="290"/>
      <c r="C38" s="290"/>
      <c r="D38" s="290"/>
      <c r="E38" s="290"/>
      <c r="F38" s="290"/>
      <c r="G38" s="290"/>
    </row>
    <row r="39" spans="1:7">
      <c r="A39" s="12" t="s">
        <v>104</v>
      </c>
      <c r="B39" s="290"/>
      <c r="C39" s="290"/>
      <c r="D39" s="290"/>
      <c r="E39" s="290"/>
      <c r="F39" s="290"/>
      <c r="G39" s="290"/>
    </row>
    <row r="40" spans="1:7">
      <c r="A40" s="12" t="s">
        <v>104</v>
      </c>
      <c r="B40" s="290"/>
      <c r="C40" s="290"/>
      <c r="D40" s="290"/>
      <c r="E40" s="290"/>
      <c r="F40" s="290"/>
      <c r="G40" s="290"/>
    </row>
    <row r="41" spans="1:7">
      <c r="A41" s="12" t="s">
        <v>104</v>
      </c>
      <c r="B41" s="290"/>
      <c r="C41" s="290"/>
      <c r="D41" s="290"/>
      <c r="E41" s="290"/>
      <c r="F41" s="290"/>
      <c r="G41" s="290"/>
    </row>
    <row r="42" spans="1:7">
      <c r="A42" s="12" t="s">
        <v>104</v>
      </c>
      <c r="B42" s="290"/>
      <c r="C42" s="290"/>
      <c r="D42" s="290"/>
      <c r="E42" s="290"/>
      <c r="F42" s="290"/>
      <c r="G42" s="290"/>
    </row>
    <row r="43" spans="1:7">
      <c r="A43" s="12" t="s">
        <v>104</v>
      </c>
      <c r="B43" s="290"/>
      <c r="C43" s="290"/>
      <c r="D43" s="290"/>
      <c r="E43" s="290"/>
      <c r="F43" s="290"/>
      <c r="G43" s="290"/>
    </row>
    <row r="44" spans="1:7">
      <c r="A44" s="12" t="s">
        <v>104</v>
      </c>
      <c r="B44" s="290"/>
      <c r="C44" s="290"/>
      <c r="D44" s="290"/>
      <c r="E44" s="290"/>
      <c r="F44" s="290"/>
      <c r="G44" s="290"/>
    </row>
    <row r="45" spans="1:7">
      <c r="A45" s="12" t="s">
        <v>104</v>
      </c>
      <c r="B45" s="290"/>
      <c r="C45" s="290"/>
      <c r="D45" s="290"/>
      <c r="E45" s="290"/>
      <c r="F45" s="290"/>
      <c r="G45" s="290"/>
    </row>
    <row r="46" spans="1:7">
      <c r="A46" s="12" t="s">
        <v>104</v>
      </c>
      <c r="B46" s="290"/>
      <c r="C46" s="290"/>
      <c r="D46" s="290"/>
      <c r="E46" s="290"/>
      <c r="F46" s="290"/>
      <c r="G46" s="290"/>
    </row>
    <row r="47" spans="1:7">
      <c r="A47" s="12" t="s">
        <v>104</v>
      </c>
      <c r="B47" s="290"/>
      <c r="C47" s="290"/>
      <c r="D47" s="290"/>
      <c r="E47" s="290"/>
      <c r="F47" s="290"/>
      <c r="G47" s="290"/>
    </row>
    <row r="48" spans="1:7">
      <c r="A48" s="12" t="s">
        <v>104</v>
      </c>
      <c r="B48" s="290"/>
      <c r="C48" s="290"/>
      <c r="D48" s="290"/>
      <c r="E48" s="290"/>
      <c r="F48" s="290"/>
      <c r="G48" s="290"/>
    </row>
    <row r="49" spans="1:7">
      <c r="A49" s="12" t="s">
        <v>104</v>
      </c>
      <c r="B49" s="290"/>
      <c r="C49" s="290"/>
      <c r="D49" s="290"/>
      <c r="E49" s="290"/>
      <c r="F49" s="290"/>
      <c r="G49" s="290"/>
    </row>
    <row r="50" spans="1:7">
      <c r="A50" s="12" t="s">
        <v>104</v>
      </c>
      <c r="B50" s="290"/>
      <c r="C50" s="290"/>
      <c r="D50" s="290"/>
      <c r="E50" s="290"/>
      <c r="F50" s="290"/>
      <c r="G50" s="290"/>
    </row>
    <row r="51" spans="1:7">
      <c r="A51" s="12" t="s">
        <v>104</v>
      </c>
      <c r="B51" s="290"/>
      <c r="C51" s="290"/>
      <c r="D51" s="290"/>
      <c r="E51" s="290"/>
      <c r="F51" s="290"/>
      <c r="G51" s="290"/>
    </row>
    <row r="52" spans="1:7">
      <c r="A52" s="12" t="s">
        <v>104</v>
      </c>
      <c r="B52" s="290"/>
      <c r="C52" s="290"/>
      <c r="D52" s="290"/>
      <c r="E52" s="290"/>
      <c r="F52" s="290"/>
      <c r="G52" s="290"/>
    </row>
    <row r="53" spans="1:7">
      <c r="A53" s="12" t="s">
        <v>104</v>
      </c>
      <c r="B53" s="290"/>
      <c r="C53" s="290"/>
      <c r="D53" s="290"/>
      <c r="E53" s="290"/>
      <c r="F53" s="290"/>
      <c r="G53" s="290"/>
    </row>
    <row r="54" spans="1:7">
      <c r="A54" s="12" t="s">
        <v>104</v>
      </c>
      <c r="B54" s="290"/>
      <c r="C54" s="290"/>
      <c r="D54" s="290"/>
      <c r="E54" s="290"/>
      <c r="F54" s="290"/>
      <c r="G54" s="290"/>
    </row>
    <row r="55" spans="1:7">
      <c r="A55" s="12" t="s">
        <v>104</v>
      </c>
      <c r="B55" s="290"/>
      <c r="C55" s="290"/>
      <c r="D55" s="290"/>
      <c r="E55" s="290"/>
      <c r="F55" s="290"/>
      <c r="G55" s="290"/>
    </row>
  </sheetData>
  <mergeCells count="1">
    <mergeCell ref="A1:G1"/>
  </mergeCells>
  <hyperlinks>
    <hyperlink ref="A2" location="'Fund Balance Summary'!A1" display="(Return to sheet)"/>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8"/>
  <sheetViews>
    <sheetView workbookViewId="0">
      <selection sqref="A1:C1"/>
    </sheetView>
  </sheetViews>
  <sheetFormatPr defaultRowHeight="15"/>
  <cols>
    <col min="1" max="1" width="49.7109375" bestFit="1" customWidth="1"/>
    <col min="2" max="2" width="17.42578125" customWidth="1"/>
    <col min="3" max="3" width="19" customWidth="1"/>
  </cols>
  <sheetData>
    <row r="1" spans="1:4">
      <c r="A1" s="415" t="s">
        <v>38</v>
      </c>
      <c r="B1" s="415"/>
      <c r="C1" s="415"/>
      <c r="D1" s="8"/>
    </row>
    <row r="2" spans="1:4">
      <c r="A2" s="415" t="s">
        <v>39</v>
      </c>
      <c r="B2" s="415"/>
      <c r="C2" s="415"/>
    </row>
    <row r="3" spans="1:4">
      <c r="A3" s="6" t="s">
        <v>40</v>
      </c>
    </row>
    <row r="5" spans="1:4">
      <c r="A5" t="s">
        <v>41</v>
      </c>
      <c r="B5" s="2"/>
      <c r="C5" s="1">
        <v>0</v>
      </c>
    </row>
    <row r="6" spans="1:4">
      <c r="A6" t="s">
        <v>42</v>
      </c>
      <c r="B6" s="2"/>
      <c r="C6" s="1">
        <v>0</v>
      </c>
    </row>
    <row r="7" spans="1:4">
      <c r="A7" t="s">
        <v>43</v>
      </c>
      <c r="B7" s="2"/>
      <c r="C7" s="10">
        <f>C5-C6</f>
        <v>0</v>
      </c>
    </row>
    <row r="8" spans="1:4">
      <c r="A8" t="s">
        <v>44</v>
      </c>
      <c r="B8" s="2"/>
      <c r="C8" s="2"/>
    </row>
    <row r="9" spans="1:4">
      <c r="A9" s="287" t="s">
        <v>45</v>
      </c>
      <c r="B9" s="1">
        <v>0</v>
      </c>
      <c r="C9" s="2"/>
    </row>
    <row r="10" spans="1:4">
      <c r="A10" s="288" t="s">
        <v>46</v>
      </c>
      <c r="B10" s="1">
        <v>0</v>
      </c>
      <c r="C10" s="2"/>
    </row>
    <row r="11" spans="1:4">
      <c r="A11" s="288" t="s">
        <v>47</v>
      </c>
      <c r="B11" s="1">
        <v>0</v>
      </c>
      <c r="C11" s="2"/>
    </row>
    <row r="12" spans="1:4">
      <c r="A12" s="287" t="s">
        <v>48</v>
      </c>
      <c r="B12" s="1">
        <v>0</v>
      </c>
      <c r="C12" s="2"/>
    </row>
    <row r="13" spans="1:4">
      <c r="A13" s="288" t="s">
        <v>49</v>
      </c>
      <c r="B13" s="1">
        <v>0</v>
      </c>
      <c r="C13" s="2"/>
    </row>
    <row r="14" spans="1:4" ht="17.25">
      <c r="A14" t="s">
        <v>50</v>
      </c>
      <c r="B14" s="2"/>
      <c r="C14" s="9">
        <f>SUM(B9:B13,C7)</f>
        <v>0</v>
      </c>
    </row>
    <row r="15" spans="1:4">
      <c r="B15" s="2"/>
    </row>
    <row r="16" spans="1:4">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X336"/>
  <sheetViews>
    <sheetView workbookViewId="0">
      <pane xSplit="2" ySplit="6" topLeftCell="T7" activePane="bottomRight" state="frozen"/>
      <selection pane="topRight" activeCell="C1" sqref="C1"/>
      <selection pane="bottomLeft" activeCell="A8" sqref="A8"/>
      <selection pane="bottomRight" activeCell="Z7" sqref="Z7"/>
    </sheetView>
  </sheetViews>
  <sheetFormatPr defaultRowHeight="15"/>
  <cols>
    <col min="1" max="1" width="6" style="80" bestFit="1" customWidth="1"/>
    <col min="2" max="2" width="17.28515625" style="80" customWidth="1"/>
    <col min="3" max="3" width="13.28515625" style="80" bestFit="1" customWidth="1"/>
    <col min="4" max="4" width="13.28515625" style="119" customWidth="1"/>
    <col min="5" max="5" width="14.28515625" style="80" bestFit="1" customWidth="1"/>
    <col min="6" max="6" width="11.85546875" style="80" bestFit="1" customWidth="1"/>
    <col min="7" max="7" width="14.28515625" style="80" bestFit="1" customWidth="1"/>
    <col min="8" max="9" width="14.28515625" style="119" customWidth="1"/>
    <col min="10" max="10" width="12" style="119" bestFit="1" customWidth="1"/>
    <col min="11" max="12" width="12" style="80" bestFit="1" customWidth="1"/>
    <col min="13" max="13" width="11" style="80" bestFit="1" customWidth="1"/>
    <col min="14" max="14" width="13.5703125" style="80" bestFit="1" customWidth="1"/>
    <col min="15" max="15" width="10" style="119" bestFit="1" customWidth="1"/>
    <col min="16" max="16" width="7.5703125" style="119" bestFit="1" customWidth="1"/>
    <col min="17" max="17" width="8.5703125" style="80" bestFit="1" customWidth="1"/>
    <col min="18" max="18" width="10.28515625" style="119" customWidth="1"/>
    <col min="19" max="19" width="8.5703125" style="119" customWidth="1"/>
    <col min="20" max="20" width="11" style="80" bestFit="1" customWidth="1"/>
    <col min="21" max="21" width="11" style="119" customWidth="1"/>
    <col min="22" max="22" width="15.28515625" style="80" bestFit="1" customWidth="1"/>
    <col min="23" max="23" width="13.5703125" style="80" bestFit="1" customWidth="1"/>
    <col min="24" max="24" width="13.5703125" style="119" customWidth="1"/>
    <col min="25" max="25" width="10.85546875" style="80" bestFit="1" customWidth="1"/>
    <col min="26" max="26" width="13.28515625" style="80" bestFit="1" customWidth="1"/>
    <col min="27" max="27" width="13.28515625" style="119" customWidth="1"/>
    <col min="28" max="28" width="14.28515625" style="80" bestFit="1" customWidth="1"/>
    <col min="29" max="29" width="15.28515625" style="80" bestFit="1" customWidth="1"/>
    <col min="30" max="30" width="12" style="80" bestFit="1" customWidth="1"/>
    <col min="31" max="31" width="10.28515625" style="80" bestFit="1" customWidth="1"/>
    <col min="32" max="32" width="12.85546875" style="119" bestFit="1" customWidth="1"/>
    <col min="33" max="34" width="10.28515625" style="119" customWidth="1"/>
    <col min="35" max="35" width="9" style="80" bestFit="1" customWidth="1"/>
    <col min="36" max="36" width="10" style="119" bestFit="1" customWidth="1"/>
    <col min="37" max="37" width="11.85546875" style="119" bestFit="1" customWidth="1"/>
    <col min="38" max="40" width="9" style="119" customWidth="1"/>
    <col min="41" max="41" width="10.140625" style="80" bestFit="1" customWidth="1"/>
    <col min="42" max="42" width="10.140625" style="119" customWidth="1"/>
    <col min="43" max="43" width="10.140625" style="80" bestFit="1" customWidth="1"/>
    <col min="44" max="45" width="13.28515625" style="80" bestFit="1" customWidth="1"/>
    <col min="46" max="46" width="10" style="80" bestFit="1" customWidth="1"/>
    <col min="47" max="47" width="11" style="80" bestFit="1" customWidth="1"/>
    <col min="48" max="48" width="14.28515625" style="80" bestFit="1" customWidth="1"/>
    <col min="49" max="49" width="15" style="80" bestFit="1" customWidth="1"/>
    <col min="50" max="50" width="13.42578125" style="80" customWidth="1"/>
    <col min="51" max="16384" width="9.140625" style="80"/>
  </cols>
  <sheetData>
    <row r="1" spans="1:47">
      <c r="A1" s="363">
        <v>1</v>
      </c>
      <c r="B1" s="363">
        <f>1+A1</f>
        <v>2</v>
      </c>
      <c r="C1" s="363">
        <f t="shared" ref="C1" si="0">1+B1</f>
        <v>3</v>
      </c>
      <c r="D1" s="363">
        <f t="shared" ref="D1" si="1">1+C1</f>
        <v>4</v>
      </c>
      <c r="E1" s="363">
        <f t="shared" ref="E1" si="2">1+D1</f>
        <v>5</v>
      </c>
      <c r="F1" s="363">
        <f t="shared" ref="F1" si="3">1+E1</f>
        <v>6</v>
      </c>
      <c r="G1" s="363">
        <f t="shared" ref="G1" si="4">1+F1</f>
        <v>7</v>
      </c>
      <c r="H1" s="363">
        <f t="shared" ref="H1" si="5">1+G1</f>
        <v>8</v>
      </c>
      <c r="I1" s="363">
        <f t="shared" ref="I1" si="6">1+H1</f>
        <v>9</v>
      </c>
      <c r="J1" s="363">
        <f t="shared" ref="J1" si="7">1+I1</f>
        <v>10</v>
      </c>
      <c r="K1" s="363">
        <f t="shared" ref="K1" si="8">1+J1</f>
        <v>11</v>
      </c>
      <c r="L1" s="363">
        <f t="shared" ref="L1" si="9">1+K1</f>
        <v>12</v>
      </c>
      <c r="M1" s="363">
        <f t="shared" ref="M1" si="10">1+L1</f>
        <v>13</v>
      </c>
      <c r="N1" s="363">
        <f t="shared" ref="N1" si="11">1+M1</f>
        <v>14</v>
      </c>
      <c r="O1" s="363">
        <f>1+N1</f>
        <v>15</v>
      </c>
      <c r="P1" s="363">
        <f t="shared" ref="P1" si="12">1+O1</f>
        <v>16</v>
      </c>
      <c r="Q1" s="363">
        <f t="shared" ref="Q1" si="13">1+P1</f>
        <v>17</v>
      </c>
      <c r="R1" s="363">
        <f t="shared" ref="R1" si="14">1+Q1</f>
        <v>18</v>
      </c>
      <c r="S1" s="363">
        <f t="shared" ref="S1" si="15">1+R1</f>
        <v>19</v>
      </c>
      <c r="T1" s="363">
        <f t="shared" ref="T1" si="16">1+S1</f>
        <v>20</v>
      </c>
      <c r="U1" s="363">
        <f t="shared" ref="U1" si="17">1+T1</f>
        <v>21</v>
      </c>
      <c r="V1" s="363">
        <f t="shared" ref="V1" si="18">1+U1</f>
        <v>22</v>
      </c>
      <c r="W1" s="363">
        <f t="shared" ref="W1" si="19">1+V1</f>
        <v>23</v>
      </c>
      <c r="X1" s="363">
        <f t="shared" ref="X1" si="20">1+W1</f>
        <v>24</v>
      </c>
      <c r="Y1" s="363">
        <f t="shared" ref="Y1" si="21">1+X1</f>
        <v>25</v>
      </c>
      <c r="Z1" s="363">
        <f t="shared" ref="Z1" si="22">1+Y1</f>
        <v>26</v>
      </c>
      <c r="AA1" s="363">
        <f t="shared" ref="AA1" si="23">1+Z1</f>
        <v>27</v>
      </c>
      <c r="AB1" s="363">
        <f t="shared" ref="AB1" si="24">1+AA1</f>
        <v>28</v>
      </c>
      <c r="AC1" s="363">
        <f t="shared" ref="AC1" si="25">1+AB1</f>
        <v>29</v>
      </c>
      <c r="AD1" s="363">
        <f t="shared" ref="AD1" si="26">1+AC1</f>
        <v>30</v>
      </c>
      <c r="AE1" s="363">
        <f t="shared" ref="AE1" si="27">1+AD1</f>
        <v>31</v>
      </c>
      <c r="AF1" s="363">
        <f t="shared" ref="AF1" si="28">1+AE1</f>
        <v>32</v>
      </c>
      <c r="AG1" s="363">
        <f t="shared" ref="AG1" si="29">1+AF1</f>
        <v>33</v>
      </c>
      <c r="AH1" s="363">
        <f t="shared" ref="AH1" si="30">1+AG1</f>
        <v>34</v>
      </c>
      <c r="AI1" s="363">
        <f t="shared" ref="AI1" si="31">1+AH1</f>
        <v>35</v>
      </c>
      <c r="AJ1" s="363">
        <f t="shared" ref="AJ1" si="32">1+AI1</f>
        <v>36</v>
      </c>
      <c r="AK1" s="363">
        <f t="shared" ref="AK1" si="33">1+AJ1</f>
        <v>37</v>
      </c>
      <c r="AL1" s="363">
        <f t="shared" ref="AL1" si="34">1+AK1</f>
        <v>38</v>
      </c>
      <c r="AM1" s="363">
        <f t="shared" ref="AM1" si="35">1+AL1</f>
        <v>39</v>
      </c>
      <c r="AN1" s="363">
        <f t="shared" ref="AN1" si="36">1+AM1</f>
        <v>40</v>
      </c>
      <c r="AO1" s="363">
        <f t="shared" ref="AO1" si="37">1+AN1</f>
        <v>41</v>
      </c>
      <c r="AP1" s="363">
        <f t="shared" ref="AP1" si="38">1+AO1</f>
        <v>42</v>
      </c>
      <c r="AQ1" s="363">
        <f t="shared" ref="AQ1" si="39">1+AP1</f>
        <v>43</v>
      </c>
      <c r="AR1" s="363">
        <f t="shared" ref="AR1" si="40">1+AQ1</f>
        <v>44</v>
      </c>
      <c r="AS1" s="363">
        <f>1+AR1</f>
        <v>45</v>
      </c>
      <c r="AT1" s="362" t="s">
        <v>2084</v>
      </c>
      <c r="AU1" s="80" t="s">
        <v>2084</v>
      </c>
    </row>
    <row r="2" spans="1:47">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269">
        <v>46</v>
      </c>
      <c r="AU2" s="77">
        <v>47</v>
      </c>
    </row>
    <row r="3" spans="1:47" ht="30" customHeight="1">
      <c r="A3" s="238"/>
      <c r="B3" s="238"/>
      <c r="C3" s="364" t="s">
        <v>1218</v>
      </c>
      <c r="D3" s="262" t="s">
        <v>1222</v>
      </c>
      <c r="E3" s="262" t="s">
        <v>1219</v>
      </c>
      <c r="F3" s="262" t="s">
        <v>1701</v>
      </c>
      <c r="G3" s="239" t="s">
        <v>1187</v>
      </c>
      <c r="H3" s="238"/>
      <c r="I3" s="238"/>
      <c r="J3" s="239" t="s">
        <v>1670</v>
      </c>
      <c r="K3" s="239" t="s">
        <v>1188</v>
      </c>
      <c r="L3" s="239" t="s">
        <v>1189</v>
      </c>
      <c r="M3" s="239" t="s">
        <v>1190</v>
      </c>
      <c r="N3" s="239" t="s">
        <v>1191</v>
      </c>
      <c r="O3" s="262" t="s">
        <v>1192</v>
      </c>
      <c r="P3" s="262" t="s">
        <v>1193</v>
      </c>
      <c r="Q3" s="262">
        <v>4159</v>
      </c>
      <c r="R3" s="238"/>
      <c r="S3" s="238"/>
      <c r="T3" s="263" t="s">
        <v>2086</v>
      </c>
      <c r="U3" s="238"/>
      <c r="V3" s="238"/>
      <c r="W3" s="262">
        <v>4126</v>
      </c>
      <c r="X3" s="238"/>
      <c r="Y3" s="238"/>
      <c r="Z3" s="262" t="s">
        <v>1195</v>
      </c>
      <c r="AA3" s="262" t="s">
        <v>1200</v>
      </c>
      <c r="AB3" s="262" t="s">
        <v>1196</v>
      </c>
      <c r="AC3" s="262" t="s">
        <v>1197</v>
      </c>
      <c r="AD3" s="262" t="s">
        <v>1194</v>
      </c>
      <c r="AE3" s="262" t="s">
        <v>1199</v>
      </c>
      <c r="AF3" s="262" t="s">
        <v>2071</v>
      </c>
      <c r="AG3" s="365"/>
      <c r="AH3" s="365"/>
      <c r="AI3" s="239"/>
      <c r="AJ3" s="262" t="s">
        <v>1201</v>
      </c>
      <c r="AK3" s="262" t="s">
        <v>2078</v>
      </c>
      <c r="AL3" s="365"/>
      <c r="AM3" s="365"/>
      <c r="AN3" s="239"/>
      <c r="AO3" s="262" t="s">
        <v>1202</v>
      </c>
      <c r="AP3" s="262" t="s">
        <v>1205</v>
      </c>
      <c r="AQ3" s="366" t="s">
        <v>1203</v>
      </c>
      <c r="AR3" s="366" t="s">
        <v>1204</v>
      </c>
      <c r="AS3" s="370" t="s">
        <v>2087</v>
      </c>
      <c r="AU3" s="77"/>
    </row>
    <row r="4" spans="1:47" ht="30" customHeight="1">
      <c r="A4" s="238"/>
      <c r="B4" s="238"/>
      <c r="C4" s="239" t="s">
        <v>1220</v>
      </c>
      <c r="D4" s="239" t="s">
        <v>1230</v>
      </c>
      <c r="E4" s="239" t="s">
        <v>1221</v>
      </c>
      <c r="F4" s="239" t="s">
        <v>1221</v>
      </c>
      <c r="G4" s="263" t="s">
        <v>1214</v>
      </c>
      <c r="H4" s="262" t="s">
        <v>1198</v>
      </c>
      <c r="I4" s="263"/>
      <c r="J4" s="263" t="s">
        <v>1671</v>
      </c>
      <c r="K4" s="263" t="s">
        <v>1672</v>
      </c>
      <c r="L4" s="263" t="s">
        <v>1215</v>
      </c>
      <c r="M4" s="263" t="s">
        <v>1216</v>
      </c>
      <c r="N4" s="263" t="s">
        <v>1217</v>
      </c>
      <c r="O4" s="238" t="s">
        <v>1689</v>
      </c>
      <c r="P4" s="239" t="s">
        <v>757</v>
      </c>
      <c r="Q4" s="239" t="s">
        <v>756</v>
      </c>
      <c r="R4" s="239" t="s">
        <v>2068</v>
      </c>
      <c r="S4" s="239" t="s">
        <v>758</v>
      </c>
      <c r="T4" s="239" t="s">
        <v>2069</v>
      </c>
      <c r="U4" s="239" t="s">
        <v>2068</v>
      </c>
      <c r="V4" s="239" t="s">
        <v>758</v>
      </c>
      <c r="W4" s="239" t="s">
        <v>759</v>
      </c>
      <c r="X4" s="239" t="s">
        <v>2068</v>
      </c>
      <c r="Y4" s="239" t="s">
        <v>758</v>
      </c>
      <c r="Z4" s="239" t="s">
        <v>760</v>
      </c>
      <c r="AA4" s="239" t="s">
        <v>1229</v>
      </c>
      <c r="AB4" s="239" t="s">
        <v>1225</v>
      </c>
      <c r="AC4" s="239" t="s">
        <v>1226</v>
      </c>
      <c r="AD4" s="239" t="s">
        <v>1224</v>
      </c>
      <c r="AE4" s="239" t="s">
        <v>1227</v>
      </c>
      <c r="AF4" s="239" t="s">
        <v>2072</v>
      </c>
      <c r="AG4" s="239" t="s">
        <v>2073</v>
      </c>
      <c r="AH4" s="239" t="s">
        <v>2074</v>
      </c>
      <c r="AI4" s="367" t="s">
        <v>1228</v>
      </c>
      <c r="AJ4" s="239" t="s">
        <v>1229</v>
      </c>
      <c r="AK4" s="239" t="s">
        <v>2079</v>
      </c>
      <c r="AL4" s="239" t="s">
        <v>2073</v>
      </c>
      <c r="AM4" s="239" t="s">
        <v>2074</v>
      </c>
      <c r="AN4" s="367" t="s">
        <v>1229</v>
      </c>
      <c r="AO4" s="238">
        <v>1400</v>
      </c>
      <c r="AP4" s="238">
        <v>5400</v>
      </c>
      <c r="AQ4" s="238">
        <v>1600</v>
      </c>
      <c r="AR4" s="238">
        <v>3600</v>
      </c>
      <c r="AS4" s="238"/>
      <c r="AT4" s="361" t="s">
        <v>2083</v>
      </c>
      <c r="AU4" s="361" t="s">
        <v>2089</v>
      </c>
    </row>
    <row r="5" spans="1:47">
      <c r="A5" s="238"/>
      <c r="B5" s="238"/>
      <c r="C5" s="368" t="s">
        <v>1223</v>
      </c>
      <c r="D5" s="368" t="s">
        <v>1223</v>
      </c>
      <c r="E5" s="368" t="s">
        <v>1702</v>
      </c>
      <c r="F5" s="368" t="s">
        <v>1703</v>
      </c>
      <c r="G5" s="369" t="s">
        <v>751</v>
      </c>
      <c r="H5" s="239">
        <v>3121</v>
      </c>
      <c r="I5" s="369" t="s">
        <v>1206</v>
      </c>
      <c r="J5" s="369" t="s">
        <v>752</v>
      </c>
      <c r="K5" s="369" t="s">
        <v>752</v>
      </c>
      <c r="L5" s="369" t="s">
        <v>753</v>
      </c>
      <c r="M5" s="369" t="s">
        <v>754</v>
      </c>
      <c r="N5" s="369" t="s">
        <v>755</v>
      </c>
      <c r="O5" s="239" t="s">
        <v>1207</v>
      </c>
      <c r="P5" s="239" t="s">
        <v>1207</v>
      </c>
      <c r="Q5" s="238"/>
      <c r="R5" s="239" t="s">
        <v>750</v>
      </c>
      <c r="S5" s="239" t="s">
        <v>750</v>
      </c>
      <c r="T5" s="239" t="s">
        <v>1231</v>
      </c>
      <c r="U5" s="239" t="s">
        <v>2070</v>
      </c>
      <c r="V5" s="239" t="s">
        <v>2070</v>
      </c>
      <c r="W5" s="238"/>
      <c r="X5" s="239" t="s">
        <v>2088</v>
      </c>
      <c r="Y5" s="239" t="s">
        <v>2088</v>
      </c>
      <c r="Z5" s="239" t="s">
        <v>762</v>
      </c>
      <c r="AA5" s="239" t="s">
        <v>749</v>
      </c>
      <c r="AB5" s="239" t="s">
        <v>749</v>
      </c>
      <c r="AC5" s="239" t="s">
        <v>761</v>
      </c>
      <c r="AD5" s="239" t="s">
        <v>761</v>
      </c>
      <c r="AE5" s="369"/>
      <c r="AF5" s="369" t="s">
        <v>2075</v>
      </c>
      <c r="AG5" s="369" t="s">
        <v>2076</v>
      </c>
      <c r="AH5" s="369" t="s">
        <v>2077</v>
      </c>
      <c r="AI5" s="369"/>
      <c r="AJ5" s="239" t="s">
        <v>763</v>
      </c>
      <c r="AK5" s="369" t="s">
        <v>2075</v>
      </c>
      <c r="AL5" s="369" t="s">
        <v>2076</v>
      </c>
      <c r="AM5" s="369" t="s">
        <v>2077</v>
      </c>
      <c r="AN5" s="238" t="s">
        <v>764</v>
      </c>
      <c r="AO5" s="238"/>
      <c r="AP5" s="238"/>
      <c r="AQ5" s="238"/>
      <c r="AR5" s="238"/>
      <c r="AS5" s="238"/>
      <c r="AT5" s="360" t="s">
        <v>65</v>
      </c>
      <c r="AU5" s="357" t="s">
        <v>2080</v>
      </c>
    </row>
    <row r="6" spans="1:47">
      <c r="A6" s="238" t="s">
        <v>765</v>
      </c>
      <c r="B6" s="238" t="s">
        <v>766</v>
      </c>
      <c r="C6" s="264">
        <f t="shared" ref="C6:N6" si="41">SUM(C7:C328)</f>
        <v>1881252.4099999997</v>
      </c>
      <c r="D6" s="264">
        <f t="shared" si="41"/>
        <v>0</v>
      </c>
      <c r="E6" s="264">
        <f t="shared" si="41"/>
        <v>14472333.680000013</v>
      </c>
      <c r="F6" s="264">
        <f t="shared" si="41"/>
        <v>8071733.2800000003</v>
      </c>
      <c r="G6" s="264">
        <f t="shared" si="41"/>
        <v>1458109071.9899993</v>
      </c>
      <c r="H6" s="264">
        <f t="shared" si="41"/>
        <v>312146552.66000003</v>
      </c>
      <c r="I6" s="264">
        <f t="shared" si="41"/>
        <v>101604320.32999994</v>
      </c>
      <c r="J6" s="264">
        <f t="shared" si="41"/>
        <v>126381270.88999997</v>
      </c>
      <c r="K6" s="264">
        <f t="shared" si="41"/>
        <v>315700587.81000018</v>
      </c>
      <c r="L6" s="264">
        <f t="shared" si="41"/>
        <v>217074114.09</v>
      </c>
      <c r="M6" s="264">
        <f t="shared" si="41"/>
        <v>32651330.370000005</v>
      </c>
      <c r="N6" s="264">
        <f t="shared" si="41"/>
        <v>605322690.88999999</v>
      </c>
      <c r="O6" s="238">
        <v>4.7100000000000003E-2</v>
      </c>
      <c r="P6" s="238">
        <v>0.16739999999999999</v>
      </c>
      <c r="Q6" s="264">
        <f t="shared" ref="Q6:AF6" si="42">SUM(Q7:Q328)</f>
        <v>298519.94</v>
      </c>
      <c r="R6" s="264">
        <f t="shared" si="42"/>
        <v>27680.066000000006</v>
      </c>
      <c r="S6" s="266">
        <f t="shared" si="42"/>
        <v>12650.63</v>
      </c>
      <c r="T6" s="264">
        <f t="shared" si="42"/>
        <v>13197076.74</v>
      </c>
      <c r="U6" s="264">
        <f t="shared" si="42"/>
        <v>432570.75900000043</v>
      </c>
      <c r="V6" s="264">
        <f t="shared" si="42"/>
        <v>513202.94000000006</v>
      </c>
      <c r="W6" s="264">
        <f t="shared" si="42"/>
        <v>2407846.39</v>
      </c>
      <c r="X6" s="264">
        <f t="shared" si="42"/>
        <v>99260.47</v>
      </c>
      <c r="Y6" s="264">
        <f t="shared" si="42"/>
        <v>146363.42399999974</v>
      </c>
      <c r="Z6" s="264">
        <f t="shared" si="42"/>
        <v>650000.00000000012</v>
      </c>
      <c r="AA6" s="264">
        <f t="shared" si="42"/>
        <v>4569688.75</v>
      </c>
      <c r="AB6" s="264">
        <f t="shared" si="42"/>
        <v>19750107.010000009</v>
      </c>
      <c r="AC6" s="264">
        <f t="shared" si="42"/>
        <v>93300722.14000003</v>
      </c>
      <c r="AD6" s="264">
        <f t="shared" si="42"/>
        <v>484190690.86000019</v>
      </c>
      <c r="AE6" s="265">
        <f t="shared" si="42"/>
        <v>53207.879999999976</v>
      </c>
      <c r="AF6" s="264">
        <f t="shared" si="42"/>
        <v>442739706.28999996</v>
      </c>
      <c r="AG6" s="265"/>
      <c r="AH6" s="265"/>
      <c r="AI6" s="240">
        <v>743.27</v>
      </c>
      <c r="AJ6" s="265">
        <f>SUM(AJ7:AJ328)</f>
        <v>10609.710000000005</v>
      </c>
      <c r="AK6" s="264">
        <f>SUM(AK7:AK328)</f>
        <v>85450067.530000001</v>
      </c>
      <c r="AL6" s="265"/>
      <c r="AM6" s="265"/>
      <c r="AN6" s="240">
        <v>712.8</v>
      </c>
      <c r="AO6" s="264">
        <f>SUM(AO7:AO328)</f>
        <v>655350.80000000016</v>
      </c>
      <c r="AP6" s="264">
        <f>SUM(AP7:AP328)</f>
        <v>768887.73</v>
      </c>
      <c r="AQ6" s="264">
        <f>SUM(AQ7:AQ328)</f>
        <v>0</v>
      </c>
      <c r="AR6" s="264">
        <f>SUM(AR7:AR328)</f>
        <v>0</v>
      </c>
      <c r="AS6" s="264">
        <f>SUM(AS7:AS328)</f>
        <v>37721540.800000012</v>
      </c>
      <c r="AT6" s="371">
        <v>4431745.6099999975</v>
      </c>
      <c r="AU6" s="372">
        <f>SUM(AU7:AU328)</f>
        <v>75285526.840000004</v>
      </c>
    </row>
    <row r="7" spans="1:47">
      <c r="A7" s="238" t="s">
        <v>299</v>
      </c>
      <c r="B7" s="238" t="s">
        <v>1272</v>
      </c>
      <c r="C7" s="266">
        <v>0</v>
      </c>
      <c r="D7" s="266">
        <v>0</v>
      </c>
      <c r="E7" s="266">
        <v>106665.9</v>
      </c>
      <c r="F7" s="266">
        <v>0</v>
      </c>
      <c r="G7" s="266">
        <v>4312335.3899999997</v>
      </c>
      <c r="H7" s="266">
        <v>1031995.4</v>
      </c>
      <c r="I7" s="266">
        <v>202401.87</v>
      </c>
      <c r="J7" s="266">
        <v>861310.51</v>
      </c>
      <c r="K7" s="266">
        <v>1387730.53</v>
      </c>
      <c r="L7" s="266">
        <v>604470.53</v>
      </c>
      <c r="M7" s="266">
        <v>91567.89</v>
      </c>
      <c r="N7" s="266">
        <v>1173628.98</v>
      </c>
      <c r="O7" s="123">
        <v>2.52E-2</v>
      </c>
      <c r="P7" s="123">
        <v>0.1492</v>
      </c>
      <c r="Q7" s="266">
        <v>0</v>
      </c>
      <c r="R7" s="266">
        <v>0</v>
      </c>
      <c r="S7" s="266">
        <v>0</v>
      </c>
      <c r="T7" s="266">
        <v>414135.41</v>
      </c>
      <c r="U7" s="266">
        <v>21861.400000000023</v>
      </c>
      <c r="V7" s="266">
        <v>16745.23</v>
      </c>
      <c r="W7" s="266">
        <v>0</v>
      </c>
      <c r="X7" s="266">
        <v>0</v>
      </c>
      <c r="Y7" s="266">
        <v>0</v>
      </c>
      <c r="Z7" s="266">
        <v>180.04</v>
      </c>
      <c r="AA7" s="266">
        <v>50879.1</v>
      </c>
      <c r="AB7" s="266">
        <v>192439.61</v>
      </c>
      <c r="AC7" s="266">
        <v>548443.34</v>
      </c>
      <c r="AD7" s="266">
        <v>1978927.18</v>
      </c>
      <c r="AE7" s="237">
        <v>237.99</v>
      </c>
      <c r="AF7" s="266">
        <v>1857132.72</v>
      </c>
      <c r="AG7" s="237">
        <f t="shared" ref="AG7:AG70" si="43">IFERROR(AF7/AE7,0)</f>
        <v>7803.4065296861208</v>
      </c>
      <c r="AH7" s="237">
        <f t="shared" ref="AH7:AH70" si="44">IFERROR(AD7/AE7,0)</f>
        <v>8315.1694609017177</v>
      </c>
      <c r="AI7" s="237">
        <f t="shared" ref="AI7:AI70" si="45">AH7-AG7</f>
        <v>511.76293121559684</v>
      </c>
      <c r="AJ7" s="237">
        <v>66.62</v>
      </c>
      <c r="AK7" s="266">
        <v>502050.44</v>
      </c>
      <c r="AL7" s="237">
        <f t="shared" ref="AL7:AL70" si="46">IFERROR(AK7/AJ7,0)</f>
        <v>7536.0318222755923</v>
      </c>
      <c r="AM7" s="237">
        <f t="shared" ref="AM7:AM70" si="47">IFERROR(AC7/AJ7,0)</f>
        <v>8232.4127889522661</v>
      </c>
      <c r="AN7" s="237">
        <f t="shared" ref="AN7:AN70" si="48">AM7-AL7</f>
        <v>696.38096667667378</v>
      </c>
      <c r="AO7" s="266">
        <v>1898.94</v>
      </c>
      <c r="AP7" s="266">
        <v>0</v>
      </c>
      <c r="AQ7" s="266">
        <v>0</v>
      </c>
      <c r="AR7" s="266">
        <v>0</v>
      </c>
      <c r="AS7" s="358">
        <v>111699.55</v>
      </c>
      <c r="AT7" s="371">
        <v>9625.910000000018</v>
      </c>
      <c r="AU7" s="373">
        <v>221517.12</v>
      </c>
    </row>
    <row r="8" spans="1:47">
      <c r="A8" s="238" t="s">
        <v>427</v>
      </c>
      <c r="B8" s="238" t="s">
        <v>1273</v>
      </c>
      <c r="C8" s="266">
        <v>0</v>
      </c>
      <c r="D8" s="266">
        <v>0</v>
      </c>
      <c r="E8" s="266">
        <v>0</v>
      </c>
      <c r="F8" s="266">
        <v>0</v>
      </c>
      <c r="G8" s="266">
        <v>614068.54</v>
      </c>
      <c r="H8" s="266">
        <v>116284.31</v>
      </c>
      <c r="I8" s="266">
        <v>95626.94</v>
      </c>
      <c r="J8" s="266">
        <v>0</v>
      </c>
      <c r="K8" s="266">
        <v>106296.31</v>
      </c>
      <c r="L8" s="266">
        <v>0</v>
      </c>
      <c r="M8" s="266">
        <v>18160.2</v>
      </c>
      <c r="N8" s="266">
        <v>355012.64</v>
      </c>
      <c r="O8" s="123">
        <v>4.3999999999999997E-2</v>
      </c>
      <c r="P8" s="123">
        <v>0.20530000000000001</v>
      </c>
      <c r="Q8" s="266">
        <v>0</v>
      </c>
      <c r="R8" s="266">
        <v>0</v>
      </c>
      <c r="S8" s="266">
        <v>0</v>
      </c>
      <c r="T8" s="266">
        <v>0</v>
      </c>
      <c r="U8" s="266">
        <v>0</v>
      </c>
      <c r="V8" s="266">
        <v>0</v>
      </c>
      <c r="W8" s="266">
        <v>0</v>
      </c>
      <c r="X8" s="266">
        <v>0</v>
      </c>
      <c r="Y8" s="266">
        <v>0</v>
      </c>
      <c r="Z8" s="266">
        <v>705.88</v>
      </c>
      <c r="AA8" s="266">
        <v>14310.29</v>
      </c>
      <c r="AB8" s="266">
        <v>0</v>
      </c>
      <c r="AC8" s="266">
        <v>218368.24</v>
      </c>
      <c r="AD8" s="266">
        <v>406037.97</v>
      </c>
      <c r="AE8" s="237">
        <v>46.27</v>
      </c>
      <c r="AF8" s="266">
        <v>368198.76</v>
      </c>
      <c r="AG8" s="237">
        <f t="shared" si="43"/>
        <v>7957.6131402636693</v>
      </c>
      <c r="AH8" s="237">
        <f t="shared" si="44"/>
        <v>8775.4045818024624</v>
      </c>
      <c r="AI8" s="237">
        <f t="shared" si="45"/>
        <v>817.79144153879315</v>
      </c>
      <c r="AJ8" s="237">
        <v>25.99</v>
      </c>
      <c r="AK8" s="266">
        <v>199681.08</v>
      </c>
      <c r="AL8" s="237">
        <f t="shared" si="46"/>
        <v>7682.9965371296648</v>
      </c>
      <c r="AM8" s="237">
        <f t="shared" si="47"/>
        <v>8402.0100038476339</v>
      </c>
      <c r="AN8" s="237">
        <f t="shared" si="48"/>
        <v>719.0134667179691</v>
      </c>
      <c r="AO8" s="266">
        <v>0</v>
      </c>
      <c r="AP8" s="266">
        <v>0</v>
      </c>
      <c r="AQ8" s="266">
        <v>0</v>
      </c>
      <c r="AR8" s="266">
        <v>0</v>
      </c>
      <c r="AS8" s="358">
        <v>0</v>
      </c>
      <c r="AT8" s="371">
        <v>0</v>
      </c>
      <c r="AU8" s="373">
        <v>39549.07</v>
      </c>
    </row>
    <row r="9" spans="1:47">
      <c r="A9" s="238" t="s">
        <v>449</v>
      </c>
      <c r="B9" s="238" t="s">
        <v>1274</v>
      </c>
      <c r="C9" s="266">
        <v>0</v>
      </c>
      <c r="D9" s="266">
        <v>0</v>
      </c>
      <c r="E9" s="266">
        <v>0</v>
      </c>
      <c r="F9" s="266">
        <v>0</v>
      </c>
      <c r="G9" s="266">
        <v>99137.29</v>
      </c>
      <c r="H9" s="266">
        <v>10970.3</v>
      </c>
      <c r="I9" s="266">
        <v>0</v>
      </c>
      <c r="J9" s="266">
        <v>0</v>
      </c>
      <c r="K9" s="266">
        <v>19739.34</v>
      </c>
      <c r="L9" s="266">
        <v>0</v>
      </c>
      <c r="M9" s="266">
        <v>2566.12</v>
      </c>
      <c r="N9" s="266">
        <v>178269.03</v>
      </c>
      <c r="O9" s="123">
        <v>3.3599999999999998E-2</v>
      </c>
      <c r="P9" s="123">
        <v>0.3</v>
      </c>
      <c r="Q9" s="266">
        <v>0</v>
      </c>
      <c r="R9" s="266">
        <v>0</v>
      </c>
      <c r="S9" s="266">
        <v>0</v>
      </c>
      <c r="T9" s="266">
        <v>0</v>
      </c>
      <c r="U9" s="266">
        <v>0</v>
      </c>
      <c r="V9" s="266">
        <v>0</v>
      </c>
      <c r="W9" s="266">
        <v>0</v>
      </c>
      <c r="X9" s="266">
        <v>0</v>
      </c>
      <c r="Y9" s="266">
        <v>0</v>
      </c>
      <c r="Z9" s="266">
        <v>0</v>
      </c>
      <c r="AA9" s="266">
        <v>0</v>
      </c>
      <c r="AB9" s="266">
        <v>3050.26</v>
      </c>
      <c r="AC9" s="266">
        <v>0</v>
      </c>
      <c r="AD9" s="266">
        <v>34400.69</v>
      </c>
      <c r="AE9" s="237">
        <v>3.36</v>
      </c>
      <c r="AF9" s="266">
        <v>26836.84</v>
      </c>
      <c r="AG9" s="237">
        <f t="shared" si="43"/>
        <v>7987.1547619047624</v>
      </c>
      <c r="AH9" s="237">
        <f t="shared" si="44"/>
        <v>10238.300595238095</v>
      </c>
      <c r="AI9" s="237">
        <f t="shared" si="45"/>
        <v>2251.145833333333</v>
      </c>
      <c r="AJ9" s="237">
        <v>0</v>
      </c>
      <c r="AK9" s="266">
        <v>0</v>
      </c>
      <c r="AL9" s="237">
        <f t="shared" si="46"/>
        <v>0</v>
      </c>
      <c r="AM9" s="237">
        <f t="shared" si="47"/>
        <v>0</v>
      </c>
      <c r="AN9" s="237">
        <f t="shared" si="48"/>
        <v>0</v>
      </c>
      <c r="AO9" s="266">
        <v>0</v>
      </c>
      <c r="AP9" s="266">
        <v>0</v>
      </c>
      <c r="AQ9" s="266">
        <v>0</v>
      </c>
      <c r="AR9" s="266">
        <v>0</v>
      </c>
      <c r="AS9" s="358">
        <v>28679.1</v>
      </c>
      <c r="AT9" s="371">
        <v>0</v>
      </c>
      <c r="AU9" s="373">
        <v>13204.449999999999</v>
      </c>
    </row>
    <row r="10" spans="1:47">
      <c r="A10" s="238" t="s">
        <v>551</v>
      </c>
      <c r="B10" s="238" t="s">
        <v>1275</v>
      </c>
      <c r="C10" s="266">
        <v>0</v>
      </c>
      <c r="D10" s="266">
        <v>0</v>
      </c>
      <c r="E10" s="266">
        <v>3133.75</v>
      </c>
      <c r="F10" s="266">
        <v>1825.88</v>
      </c>
      <c r="G10" s="266">
        <v>3404641.77</v>
      </c>
      <c r="H10" s="266">
        <v>620208.01</v>
      </c>
      <c r="I10" s="266">
        <v>275655.88</v>
      </c>
      <c r="J10" s="266">
        <v>18967.25</v>
      </c>
      <c r="K10" s="266">
        <v>477553.47</v>
      </c>
      <c r="L10" s="266">
        <v>84738.77</v>
      </c>
      <c r="M10" s="266">
        <v>81137.72</v>
      </c>
      <c r="N10" s="266">
        <v>1042484.05</v>
      </c>
      <c r="O10" s="123">
        <v>4.7800000000000002E-2</v>
      </c>
      <c r="P10" s="123">
        <v>0.16619999999999999</v>
      </c>
      <c r="Q10" s="266">
        <v>0</v>
      </c>
      <c r="R10" s="266">
        <v>0</v>
      </c>
      <c r="S10" s="266">
        <v>0</v>
      </c>
      <c r="T10" s="266">
        <v>0</v>
      </c>
      <c r="U10" s="266">
        <v>0</v>
      </c>
      <c r="V10" s="266">
        <v>0</v>
      </c>
      <c r="W10" s="266">
        <v>0</v>
      </c>
      <c r="X10" s="266">
        <v>0</v>
      </c>
      <c r="Y10" s="266">
        <v>0</v>
      </c>
      <c r="Z10" s="266">
        <v>0</v>
      </c>
      <c r="AA10" s="266">
        <v>3255.66</v>
      </c>
      <c r="AB10" s="266">
        <v>0</v>
      </c>
      <c r="AC10" s="266">
        <v>43695.75</v>
      </c>
      <c r="AD10" s="266">
        <v>875094.21</v>
      </c>
      <c r="AE10" s="237">
        <v>96.18</v>
      </c>
      <c r="AF10" s="266">
        <v>813144.96</v>
      </c>
      <c r="AG10" s="237">
        <f t="shared" si="43"/>
        <v>8454.4079850280705</v>
      </c>
      <c r="AH10" s="237">
        <f t="shared" si="44"/>
        <v>9098.5049906425447</v>
      </c>
      <c r="AI10" s="237">
        <f t="shared" si="45"/>
        <v>644.09700561447426</v>
      </c>
      <c r="AJ10" s="237">
        <v>4.88</v>
      </c>
      <c r="AK10" s="266">
        <v>39769.61</v>
      </c>
      <c r="AL10" s="237">
        <f t="shared" si="46"/>
        <v>8149.5102459016398</v>
      </c>
      <c r="AM10" s="237">
        <f t="shared" si="47"/>
        <v>8954.0471311475412</v>
      </c>
      <c r="AN10" s="237">
        <f t="shared" si="48"/>
        <v>804.53688524590143</v>
      </c>
      <c r="AO10" s="266">
        <v>42000</v>
      </c>
      <c r="AP10" s="266">
        <v>0</v>
      </c>
      <c r="AQ10" s="266">
        <v>0</v>
      </c>
      <c r="AR10" s="266">
        <v>0</v>
      </c>
      <c r="AS10" s="358">
        <v>0</v>
      </c>
      <c r="AT10" s="371">
        <v>0</v>
      </c>
      <c r="AU10" s="373">
        <v>175788.77999999997</v>
      </c>
    </row>
    <row r="11" spans="1:47">
      <c r="A11" s="238" t="s">
        <v>575</v>
      </c>
      <c r="B11" s="238" t="s">
        <v>1276</v>
      </c>
      <c r="C11" s="266">
        <v>0</v>
      </c>
      <c r="D11" s="266">
        <v>0</v>
      </c>
      <c r="E11" s="266">
        <v>0</v>
      </c>
      <c r="F11" s="266">
        <v>729.51</v>
      </c>
      <c r="G11" s="266">
        <v>8096908.7999999998</v>
      </c>
      <c r="H11" s="266">
        <v>2261327.5499999998</v>
      </c>
      <c r="I11" s="266">
        <v>459218.06</v>
      </c>
      <c r="J11" s="266">
        <v>0</v>
      </c>
      <c r="K11" s="266">
        <v>1293523.3899999999</v>
      </c>
      <c r="L11" s="266">
        <v>510021.1</v>
      </c>
      <c r="M11" s="266">
        <v>179901.3</v>
      </c>
      <c r="N11" s="266">
        <v>3608030.61</v>
      </c>
      <c r="O11" s="123">
        <v>2.9499999999999998E-2</v>
      </c>
      <c r="P11" s="123">
        <v>0.12089999999999999</v>
      </c>
      <c r="Q11" s="266">
        <v>0</v>
      </c>
      <c r="R11" s="266">
        <v>0</v>
      </c>
      <c r="S11" s="266">
        <v>0</v>
      </c>
      <c r="T11" s="266">
        <v>0</v>
      </c>
      <c r="U11" s="266">
        <v>0</v>
      </c>
      <c r="V11" s="266">
        <v>0</v>
      </c>
      <c r="W11" s="266">
        <v>0</v>
      </c>
      <c r="X11" s="266">
        <v>0</v>
      </c>
      <c r="Y11" s="266">
        <v>0</v>
      </c>
      <c r="Z11" s="266">
        <v>0</v>
      </c>
      <c r="AA11" s="266">
        <v>54346.080000000002</v>
      </c>
      <c r="AB11" s="266">
        <v>6656.8</v>
      </c>
      <c r="AC11" s="266">
        <v>386077.56</v>
      </c>
      <c r="AD11" s="266">
        <v>2961465.58</v>
      </c>
      <c r="AE11" s="237">
        <v>309.99</v>
      </c>
      <c r="AF11" s="266">
        <v>2721540.69</v>
      </c>
      <c r="AG11" s="237">
        <f t="shared" si="43"/>
        <v>8779.446724087873</v>
      </c>
      <c r="AH11" s="237">
        <f t="shared" si="44"/>
        <v>9553.4229491273909</v>
      </c>
      <c r="AI11" s="237">
        <f t="shared" si="45"/>
        <v>773.97622503951789</v>
      </c>
      <c r="AJ11" s="237">
        <v>41.61</v>
      </c>
      <c r="AK11" s="266">
        <v>353648.41</v>
      </c>
      <c r="AL11" s="237">
        <f t="shared" si="46"/>
        <v>8499.1206440759433</v>
      </c>
      <c r="AM11" s="237">
        <f t="shared" si="47"/>
        <v>9278.4801730353283</v>
      </c>
      <c r="AN11" s="237">
        <f t="shared" si="48"/>
        <v>779.35952895938499</v>
      </c>
      <c r="AO11" s="266">
        <v>0</v>
      </c>
      <c r="AP11" s="266">
        <v>0</v>
      </c>
      <c r="AQ11" s="266">
        <v>0</v>
      </c>
      <c r="AR11" s="266">
        <v>0</v>
      </c>
      <c r="AS11" s="358">
        <v>181203.75</v>
      </c>
      <c r="AT11" s="371">
        <v>10462.94000000009</v>
      </c>
      <c r="AU11" s="373">
        <v>399146.57</v>
      </c>
    </row>
    <row r="12" spans="1:47">
      <c r="A12" s="238" t="s">
        <v>2065</v>
      </c>
      <c r="B12" s="238" t="s">
        <v>2066</v>
      </c>
      <c r="C12" s="266">
        <v>0</v>
      </c>
      <c r="D12" s="266">
        <v>0</v>
      </c>
      <c r="E12" s="266">
        <v>0</v>
      </c>
      <c r="F12" s="266">
        <v>0</v>
      </c>
      <c r="G12" s="266">
        <v>955.34</v>
      </c>
      <c r="H12" s="266">
        <v>396.13</v>
      </c>
      <c r="I12" s="266">
        <v>0</v>
      </c>
      <c r="J12" s="266">
        <v>0</v>
      </c>
      <c r="K12" s="266">
        <v>0</v>
      </c>
      <c r="L12" s="266">
        <v>0</v>
      </c>
      <c r="M12" s="266">
        <v>0</v>
      </c>
      <c r="N12" s="266">
        <v>44186.31</v>
      </c>
      <c r="O12" s="123">
        <v>0.08</v>
      </c>
      <c r="P12" s="123">
        <v>0.1</v>
      </c>
      <c r="Q12" s="266">
        <v>0</v>
      </c>
      <c r="R12" s="266">
        <v>0</v>
      </c>
      <c r="S12" s="266">
        <v>0</v>
      </c>
      <c r="T12" s="266">
        <v>0</v>
      </c>
      <c r="U12" s="266">
        <v>0</v>
      </c>
      <c r="V12" s="266">
        <v>0</v>
      </c>
      <c r="W12" s="266">
        <v>0</v>
      </c>
      <c r="X12" s="266">
        <v>0</v>
      </c>
      <c r="Y12" s="266">
        <v>0</v>
      </c>
      <c r="Z12" s="266">
        <v>0</v>
      </c>
      <c r="AA12" s="266">
        <v>0</v>
      </c>
      <c r="AB12" s="266">
        <v>0</v>
      </c>
      <c r="AC12" s="266">
        <v>0</v>
      </c>
      <c r="AD12" s="266">
        <v>0</v>
      </c>
      <c r="AE12" s="237">
        <v>0</v>
      </c>
      <c r="AF12" s="266">
        <v>0</v>
      </c>
      <c r="AG12" s="237">
        <f t="shared" si="43"/>
        <v>0</v>
      </c>
      <c r="AH12" s="237">
        <f t="shared" si="44"/>
        <v>0</v>
      </c>
      <c r="AI12" s="237">
        <f t="shared" si="45"/>
        <v>0</v>
      </c>
      <c r="AJ12" s="237">
        <v>0</v>
      </c>
      <c r="AK12" s="266">
        <v>0</v>
      </c>
      <c r="AL12" s="237">
        <f t="shared" si="46"/>
        <v>0</v>
      </c>
      <c r="AM12" s="237">
        <f t="shared" si="47"/>
        <v>0</v>
      </c>
      <c r="AN12" s="237">
        <f t="shared" si="48"/>
        <v>0</v>
      </c>
      <c r="AO12" s="266">
        <v>0</v>
      </c>
      <c r="AP12" s="266">
        <v>0</v>
      </c>
      <c r="AQ12" s="266">
        <v>0</v>
      </c>
      <c r="AR12" s="266">
        <v>0</v>
      </c>
      <c r="AS12" s="358">
        <v>0</v>
      </c>
      <c r="AT12" s="371">
        <v>0</v>
      </c>
      <c r="AU12" s="373">
        <v>1169.1200000000001</v>
      </c>
    </row>
    <row r="13" spans="1:47">
      <c r="A13" s="238" t="s">
        <v>177</v>
      </c>
      <c r="B13" s="238" t="s">
        <v>1277</v>
      </c>
      <c r="C13" s="266">
        <v>0</v>
      </c>
      <c r="D13" s="266">
        <v>0</v>
      </c>
      <c r="E13" s="266">
        <v>1224.74</v>
      </c>
      <c r="F13" s="266">
        <v>0</v>
      </c>
      <c r="G13" s="266">
        <v>727740.63</v>
      </c>
      <c r="H13" s="266">
        <v>124221.6</v>
      </c>
      <c r="I13" s="266">
        <v>22004.639999999999</v>
      </c>
      <c r="J13" s="266">
        <v>0</v>
      </c>
      <c r="K13" s="266">
        <v>121804.37</v>
      </c>
      <c r="L13" s="266">
        <v>0</v>
      </c>
      <c r="M13" s="266">
        <v>16882.830000000002</v>
      </c>
      <c r="N13" s="266">
        <v>280057.31</v>
      </c>
      <c r="O13" s="123">
        <v>3.2800000000000003E-2</v>
      </c>
      <c r="P13" s="123">
        <v>0.2291</v>
      </c>
      <c r="Q13" s="266">
        <v>0</v>
      </c>
      <c r="R13" s="266">
        <v>0</v>
      </c>
      <c r="S13" s="266">
        <v>0</v>
      </c>
      <c r="T13" s="266">
        <v>0</v>
      </c>
      <c r="U13" s="266">
        <v>0</v>
      </c>
      <c r="V13" s="266">
        <v>0</v>
      </c>
      <c r="W13" s="266">
        <v>0</v>
      </c>
      <c r="X13" s="266">
        <v>0</v>
      </c>
      <c r="Y13" s="266">
        <v>0</v>
      </c>
      <c r="Z13" s="266">
        <v>0</v>
      </c>
      <c r="AA13" s="266">
        <v>64.05</v>
      </c>
      <c r="AB13" s="266">
        <v>0</v>
      </c>
      <c r="AC13" s="266">
        <v>27256.28</v>
      </c>
      <c r="AD13" s="266">
        <v>452051.1</v>
      </c>
      <c r="AE13" s="237">
        <v>54.1</v>
      </c>
      <c r="AF13" s="266">
        <v>422076.82</v>
      </c>
      <c r="AG13" s="237">
        <f t="shared" si="43"/>
        <v>7801.7896487985208</v>
      </c>
      <c r="AH13" s="237">
        <f t="shared" si="44"/>
        <v>8355.8428835489831</v>
      </c>
      <c r="AI13" s="237">
        <f t="shared" si="45"/>
        <v>554.05323475046225</v>
      </c>
      <c r="AJ13" s="237">
        <v>3.31</v>
      </c>
      <c r="AK13" s="266">
        <v>24890.41</v>
      </c>
      <c r="AL13" s="237">
        <f t="shared" si="46"/>
        <v>7519.7613293051354</v>
      </c>
      <c r="AM13" s="237">
        <f t="shared" si="47"/>
        <v>8234.5256797583079</v>
      </c>
      <c r="AN13" s="237">
        <f t="shared" si="48"/>
        <v>714.76435045317248</v>
      </c>
      <c r="AO13" s="266">
        <v>7300.07</v>
      </c>
      <c r="AP13" s="266">
        <v>0</v>
      </c>
      <c r="AQ13" s="266">
        <v>0</v>
      </c>
      <c r="AR13" s="266">
        <v>0</v>
      </c>
      <c r="AS13" s="358">
        <v>26134.68</v>
      </c>
      <c r="AT13" s="371">
        <v>588.37000000000262</v>
      </c>
      <c r="AU13" s="373">
        <v>37704.5</v>
      </c>
    </row>
    <row r="14" spans="1:47">
      <c r="A14" s="238" t="s">
        <v>98</v>
      </c>
      <c r="B14" s="238" t="s">
        <v>1278</v>
      </c>
      <c r="C14" s="266">
        <v>0</v>
      </c>
      <c r="D14" s="266">
        <v>0</v>
      </c>
      <c r="E14" s="266">
        <v>505003.77</v>
      </c>
      <c r="F14" s="266">
        <v>261765.69</v>
      </c>
      <c r="G14" s="266">
        <v>21387147.129999999</v>
      </c>
      <c r="H14" s="266">
        <v>4582731.29</v>
      </c>
      <c r="I14" s="266">
        <v>1627599.8</v>
      </c>
      <c r="J14" s="266">
        <v>3099710.29</v>
      </c>
      <c r="K14" s="266">
        <v>6487704.1399999997</v>
      </c>
      <c r="L14" s="266">
        <v>6511428</v>
      </c>
      <c r="M14" s="266">
        <v>542463.09</v>
      </c>
      <c r="N14" s="266">
        <v>8942118.1199999992</v>
      </c>
      <c r="O14" s="123">
        <v>3.5700000000000003E-2</v>
      </c>
      <c r="P14" s="123">
        <v>0.121</v>
      </c>
      <c r="Q14" s="266">
        <v>0</v>
      </c>
      <c r="R14" s="266">
        <v>0</v>
      </c>
      <c r="S14" s="266">
        <v>0</v>
      </c>
      <c r="T14" s="266">
        <v>0</v>
      </c>
      <c r="U14" s="266">
        <v>0</v>
      </c>
      <c r="V14" s="266">
        <v>0</v>
      </c>
      <c r="W14" s="266">
        <v>0</v>
      </c>
      <c r="X14" s="266">
        <v>0</v>
      </c>
      <c r="Y14" s="266">
        <v>0</v>
      </c>
      <c r="Z14" s="266">
        <v>1295.3900000000001</v>
      </c>
      <c r="AA14" s="266">
        <v>98918.92</v>
      </c>
      <c r="AB14" s="266">
        <v>399820.52</v>
      </c>
      <c r="AC14" s="266">
        <v>1624955.45</v>
      </c>
      <c r="AD14" s="266">
        <v>7368302.4100000001</v>
      </c>
      <c r="AE14" s="237">
        <v>752.08</v>
      </c>
      <c r="AF14" s="266">
        <v>6602906.2599999998</v>
      </c>
      <c r="AG14" s="237">
        <f t="shared" si="43"/>
        <v>8779.5264599510683</v>
      </c>
      <c r="AH14" s="237">
        <f t="shared" si="44"/>
        <v>9797.2322226358901</v>
      </c>
      <c r="AI14" s="237">
        <f t="shared" si="45"/>
        <v>1017.7057626848218</v>
      </c>
      <c r="AJ14" s="237">
        <v>175.16</v>
      </c>
      <c r="AK14" s="266">
        <v>1488645.64</v>
      </c>
      <c r="AL14" s="237">
        <f t="shared" si="46"/>
        <v>8498.7762046129246</v>
      </c>
      <c r="AM14" s="237">
        <f t="shared" si="47"/>
        <v>9276.9779059145931</v>
      </c>
      <c r="AN14" s="237">
        <f t="shared" si="48"/>
        <v>778.20170130166844</v>
      </c>
      <c r="AO14" s="266">
        <v>0</v>
      </c>
      <c r="AP14" s="266">
        <v>0</v>
      </c>
      <c r="AQ14" s="266">
        <v>0</v>
      </c>
      <c r="AR14" s="266">
        <v>0</v>
      </c>
      <c r="AS14" s="358">
        <v>1385552.39</v>
      </c>
      <c r="AT14" s="371">
        <v>13096.360000000102</v>
      </c>
      <c r="AU14" s="373">
        <v>1282819.8699999999</v>
      </c>
    </row>
    <row r="15" spans="1:47">
      <c r="A15" s="238" t="s">
        <v>379</v>
      </c>
      <c r="B15" s="238" t="s">
        <v>1279</v>
      </c>
      <c r="C15" s="266">
        <v>0</v>
      </c>
      <c r="D15" s="266">
        <v>0</v>
      </c>
      <c r="E15" s="266">
        <v>1341.62</v>
      </c>
      <c r="F15" s="266">
        <v>0</v>
      </c>
      <c r="G15" s="266">
        <v>5234305.01</v>
      </c>
      <c r="H15" s="266">
        <v>703645.57</v>
      </c>
      <c r="I15" s="266">
        <v>136629.18</v>
      </c>
      <c r="J15" s="266">
        <v>0</v>
      </c>
      <c r="K15" s="266">
        <v>167319.24</v>
      </c>
      <c r="L15" s="266">
        <v>105532.79</v>
      </c>
      <c r="M15" s="266">
        <v>119860.62</v>
      </c>
      <c r="N15" s="266">
        <v>1436881.67</v>
      </c>
      <c r="O15" s="123">
        <v>4.5699999999999998E-2</v>
      </c>
      <c r="P15" s="123">
        <v>0.1875</v>
      </c>
      <c r="Q15" s="266">
        <v>0</v>
      </c>
      <c r="R15" s="266">
        <v>0</v>
      </c>
      <c r="S15" s="266">
        <v>0</v>
      </c>
      <c r="T15" s="266">
        <v>0</v>
      </c>
      <c r="U15" s="266">
        <v>0</v>
      </c>
      <c r="V15" s="266">
        <v>0</v>
      </c>
      <c r="W15" s="266">
        <v>0</v>
      </c>
      <c r="X15" s="266">
        <v>0</v>
      </c>
      <c r="Y15" s="266">
        <v>0</v>
      </c>
      <c r="Z15" s="266">
        <v>4281.3599999999997</v>
      </c>
      <c r="AA15" s="266">
        <v>73278.78</v>
      </c>
      <c r="AB15" s="266">
        <v>229953.66</v>
      </c>
      <c r="AC15" s="266">
        <v>870374.41</v>
      </c>
      <c r="AD15" s="266">
        <v>2580336.0099999998</v>
      </c>
      <c r="AE15" s="237">
        <v>275.04000000000002</v>
      </c>
      <c r="AF15" s="266">
        <v>2414836.94</v>
      </c>
      <c r="AG15" s="237">
        <f t="shared" si="43"/>
        <v>8779.9481529959266</v>
      </c>
      <c r="AH15" s="237">
        <f t="shared" si="44"/>
        <v>9381.6754290285025</v>
      </c>
      <c r="AI15" s="237">
        <f t="shared" si="45"/>
        <v>601.7272760325759</v>
      </c>
      <c r="AJ15" s="237">
        <v>93.83</v>
      </c>
      <c r="AK15" s="266">
        <v>797577.44</v>
      </c>
      <c r="AL15" s="237">
        <f t="shared" si="46"/>
        <v>8500.2391559202806</v>
      </c>
      <c r="AM15" s="237">
        <f t="shared" si="47"/>
        <v>9276.0781200042638</v>
      </c>
      <c r="AN15" s="237">
        <f t="shared" si="48"/>
        <v>775.83896408398323</v>
      </c>
      <c r="AO15" s="266">
        <v>0</v>
      </c>
      <c r="AP15" s="266">
        <v>0</v>
      </c>
      <c r="AQ15" s="266">
        <v>0</v>
      </c>
      <c r="AR15" s="266">
        <v>0</v>
      </c>
      <c r="AS15" s="358">
        <v>33330.33</v>
      </c>
      <c r="AT15" s="371">
        <v>0</v>
      </c>
      <c r="AU15" s="373">
        <v>251833.88999999998</v>
      </c>
    </row>
    <row r="16" spans="1:47">
      <c r="A16" s="238" t="s">
        <v>227</v>
      </c>
      <c r="B16" s="238" t="s">
        <v>1280</v>
      </c>
      <c r="C16" s="266">
        <v>0</v>
      </c>
      <c r="D16" s="266">
        <v>0</v>
      </c>
      <c r="E16" s="266">
        <v>153799.20000000001</v>
      </c>
      <c r="F16" s="266">
        <v>0</v>
      </c>
      <c r="G16" s="266">
        <v>17405062.670000002</v>
      </c>
      <c r="H16" s="266">
        <v>3298732.79</v>
      </c>
      <c r="I16" s="266">
        <v>684539.14</v>
      </c>
      <c r="J16" s="266">
        <v>0</v>
      </c>
      <c r="K16" s="266">
        <v>2654508.0099999998</v>
      </c>
      <c r="L16" s="266">
        <v>1446789.47</v>
      </c>
      <c r="M16" s="266">
        <v>372203.27</v>
      </c>
      <c r="N16" s="266">
        <v>10522277.439999999</v>
      </c>
      <c r="O16" s="123">
        <v>2.41E-2</v>
      </c>
      <c r="P16" s="123">
        <v>0.152</v>
      </c>
      <c r="Q16" s="266">
        <v>0</v>
      </c>
      <c r="R16" s="266">
        <v>0</v>
      </c>
      <c r="S16" s="266">
        <v>0</v>
      </c>
      <c r="T16" s="266">
        <v>0</v>
      </c>
      <c r="U16" s="266">
        <v>0</v>
      </c>
      <c r="V16" s="266">
        <v>0</v>
      </c>
      <c r="W16" s="266">
        <v>0</v>
      </c>
      <c r="X16" s="266">
        <v>0</v>
      </c>
      <c r="Y16" s="266">
        <v>0</v>
      </c>
      <c r="Z16" s="266">
        <v>12746.39</v>
      </c>
      <c r="AA16" s="266">
        <v>27451.18</v>
      </c>
      <c r="AB16" s="266">
        <v>612908.82999999996</v>
      </c>
      <c r="AC16" s="266">
        <v>470662.21</v>
      </c>
      <c r="AD16" s="266">
        <v>7565754.4500000002</v>
      </c>
      <c r="AE16" s="237">
        <v>871.61</v>
      </c>
      <c r="AF16" s="266">
        <v>7085155.9299999997</v>
      </c>
      <c r="AG16" s="237">
        <f t="shared" si="43"/>
        <v>8128.8144124092196</v>
      </c>
      <c r="AH16" s="237">
        <f t="shared" si="44"/>
        <v>8680.2061128256901</v>
      </c>
      <c r="AI16" s="237">
        <f t="shared" si="45"/>
        <v>551.39170041647048</v>
      </c>
      <c r="AJ16" s="237">
        <v>54.87</v>
      </c>
      <c r="AK16" s="266">
        <v>431098.6</v>
      </c>
      <c r="AL16" s="237">
        <f t="shared" si="46"/>
        <v>7856.7268088208493</v>
      </c>
      <c r="AM16" s="237">
        <f t="shared" si="47"/>
        <v>8577.7694550756332</v>
      </c>
      <c r="AN16" s="237">
        <f t="shared" si="48"/>
        <v>721.0426462547839</v>
      </c>
      <c r="AO16" s="266">
        <v>0</v>
      </c>
      <c r="AP16" s="266">
        <v>0</v>
      </c>
      <c r="AQ16" s="266">
        <v>0</v>
      </c>
      <c r="AR16" s="266">
        <v>0</v>
      </c>
      <c r="AS16" s="358">
        <v>0</v>
      </c>
      <c r="AT16" s="371">
        <v>180656.74</v>
      </c>
      <c r="AU16" s="373">
        <v>735047.54</v>
      </c>
    </row>
    <row r="17" spans="1:47">
      <c r="A17" s="238" t="s">
        <v>357</v>
      </c>
      <c r="B17" s="238" t="s">
        <v>1281</v>
      </c>
      <c r="C17" s="266">
        <v>0</v>
      </c>
      <c r="D17" s="266">
        <v>0</v>
      </c>
      <c r="E17" s="266">
        <v>234379.83</v>
      </c>
      <c r="F17" s="266">
        <v>15241.9</v>
      </c>
      <c r="G17" s="266">
        <v>21699195.82</v>
      </c>
      <c r="H17" s="266">
        <v>3518419.66</v>
      </c>
      <c r="I17" s="266">
        <v>2005871.86</v>
      </c>
      <c r="J17" s="266">
        <v>158820.82999999999</v>
      </c>
      <c r="K17" s="266">
        <v>2518618.09</v>
      </c>
      <c r="L17" s="266">
        <v>5797052.0999999996</v>
      </c>
      <c r="M17" s="266">
        <v>652721.62</v>
      </c>
      <c r="N17" s="266">
        <v>10352159.380000001</v>
      </c>
      <c r="O17" s="123">
        <v>3.9800000000000002E-2</v>
      </c>
      <c r="P17" s="123">
        <v>0.14410000000000001</v>
      </c>
      <c r="Q17" s="266">
        <v>0</v>
      </c>
      <c r="R17" s="266">
        <v>0</v>
      </c>
      <c r="S17" s="266">
        <v>0</v>
      </c>
      <c r="T17" s="266">
        <v>0</v>
      </c>
      <c r="U17" s="266">
        <v>0</v>
      </c>
      <c r="V17" s="266">
        <v>0</v>
      </c>
      <c r="W17" s="266">
        <v>0</v>
      </c>
      <c r="X17" s="266">
        <v>0</v>
      </c>
      <c r="Y17" s="266">
        <v>0</v>
      </c>
      <c r="Z17" s="266">
        <v>0</v>
      </c>
      <c r="AA17" s="266">
        <v>0</v>
      </c>
      <c r="AB17" s="266">
        <v>24663.69</v>
      </c>
      <c r="AC17" s="266">
        <v>1830707.68</v>
      </c>
      <c r="AD17" s="266">
        <v>7931945.8099999996</v>
      </c>
      <c r="AE17" s="237">
        <v>810.18</v>
      </c>
      <c r="AF17" s="266">
        <v>7112983.9800000004</v>
      </c>
      <c r="AG17" s="237">
        <f t="shared" si="43"/>
        <v>8779.5107013256329</v>
      </c>
      <c r="AH17" s="237">
        <f t="shared" si="44"/>
        <v>9790.3500580117998</v>
      </c>
      <c r="AI17" s="237">
        <f t="shared" si="45"/>
        <v>1010.8393566861669</v>
      </c>
      <c r="AJ17" s="237">
        <v>197.34</v>
      </c>
      <c r="AK17" s="266">
        <v>1677093.02</v>
      </c>
      <c r="AL17" s="237">
        <f t="shared" si="46"/>
        <v>8498.4950846255197</v>
      </c>
      <c r="AM17" s="237">
        <f t="shared" si="47"/>
        <v>9276.9214553562379</v>
      </c>
      <c r="AN17" s="237">
        <f t="shared" si="48"/>
        <v>778.42637073071819</v>
      </c>
      <c r="AO17" s="266">
        <v>0</v>
      </c>
      <c r="AP17" s="266">
        <v>0</v>
      </c>
      <c r="AQ17" s="266">
        <v>0</v>
      </c>
      <c r="AR17" s="266">
        <v>0</v>
      </c>
      <c r="AS17" s="358">
        <v>389445.32</v>
      </c>
      <c r="AT17" s="371">
        <v>69719.280000000144</v>
      </c>
      <c r="AU17" s="373">
        <v>1402931.35</v>
      </c>
    </row>
    <row r="18" spans="1:47">
      <c r="A18" s="238" t="s">
        <v>674</v>
      </c>
      <c r="B18" s="238" t="s">
        <v>1282</v>
      </c>
      <c r="C18" s="266">
        <v>0</v>
      </c>
      <c r="D18" s="266">
        <v>0</v>
      </c>
      <c r="E18" s="266">
        <v>255841.09</v>
      </c>
      <c r="F18" s="266">
        <v>21277.14</v>
      </c>
      <c r="G18" s="266">
        <v>16694650.98</v>
      </c>
      <c r="H18" s="266">
        <v>3156690.95</v>
      </c>
      <c r="I18" s="266">
        <v>1398154.19</v>
      </c>
      <c r="J18" s="266">
        <v>794201.33</v>
      </c>
      <c r="K18" s="266">
        <v>2653730.46</v>
      </c>
      <c r="L18" s="266">
        <v>1428468.22</v>
      </c>
      <c r="M18" s="266">
        <v>350894.32</v>
      </c>
      <c r="N18" s="266">
        <v>4175996.65</v>
      </c>
      <c r="O18" s="123">
        <v>1.95E-2</v>
      </c>
      <c r="P18" s="123">
        <v>0.14050000000000001</v>
      </c>
      <c r="Q18" s="266">
        <v>0</v>
      </c>
      <c r="R18" s="266">
        <v>0</v>
      </c>
      <c r="S18" s="266">
        <v>0</v>
      </c>
      <c r="T18" s="266">
        <v>0</v>
      </c>
      <c r="U18" s="266">
        <v>0</v>
      </c>
      <c r="V18" s="266">
        <v>0</v>
      </c>
      <c r="W18" s="266">
        <v>0</v>
      </c>
      <c r="X18" s="266">
        <v>0</v>
      </c>
      <c r="Y18" s="266">
        <v>0</v>
      </c>
      <c r="Z18" s="266">
        <v>1389.8</v>
      </c>
      <c r="AA18" s="266">
        <v>0</v>
      </c>
      <c r="AB18" s="266">
        <v>0</v>
      </c>
      <c r="AC18" s="266">
        <v>459438.17</v>
      </c>
      <c r="AD18" s="266">
        <v>5239900.6399999997</v>
      </c>
      <c r="AE18" s="237">
        <v>543.88</v>
      </c>
      <c r="AF18" s="266">
        <v>4598064.1900000004</v>
      </c>
      <c r="AG18" s="237">
        <f t="shared" si="43"/>
        <v>8454.1887732588075</v>
      </c>
      <c r="AH18" s="237">
        <f t="shared" si="44"/>
        <v>9634.2955063616973</v>
      </c>
      <c r="AI18" s="237">
        <f t="shared" si="45"/>
        <v>1180.1067331028898</v>
      </c>
      <c r="AJ18" s="237">
        <v>51.47</v>
      </c>
      <c r="AK18" s="266">
        <v>420835.87</v>
      </c>
      <c r="AL18" s="237">
        <f t="shared" si="46"/>
        <v>8176.3332038080434</v>
      </c>
      <c r="AM18" s="237">
        <f t="shared" si="47"/>
        <v>8926.3293180493492</v>
      </c>
      <c r="AN18" s="237">
        <f t="shared" si="48"/>
        <v>749.9961142413058</v>
      </c>
      <c r="AO18" s="266">
        <v>0</v>
      </c>
      <c r="AP18" s="266">
        <v>0</v>
      </c>
      <c r="AQ18" s="266">
        <v>0</v>
      </c>
      <c r="AR18" s="266">
        <v>0</v>
      </c>
      <c r="AS18" s="358">
        <v>809859.55</v>
      </c>
      <c r="AT18" s="371">
        <v>0</v>
      </c>
      <c r="AU18" s="373">
        <v>781204.3600000001</v>
      </c>
    </row>
    <row r="19" spans="1:47">
      <c r="A19" s="238" t="s">
        <v>167</v>
      </c>
      <c r="B19" s="238" t="s">
        <v>1283</v>
      </c>
      <c r="C19" s="266">
        <v>1259.6300000000001</v>
      </c>
      <c r="D19" s="266">
        <v>0</v>
      </c>
      <c r="E19" s="266">
        <v>0</v>
      </c>
      <c r="F19" s="266">
        <v>0</v>
      </c>
      <c r="G19" s="266">
        <v>8533</v>
      </c>
      <c r="H19" s="266">
        <v>830.04</v>
      </c>
      <c r="I19" s="266">
        <v>0</v>
      </c>
      <c r="J19" s="266">
        <v>0</v>
      </c>
      <c r="K19" s="266">
        <v>0</v>
      </c>
      <c r="L19" s="266">
        <v>0</v>
      </c>
      <c r="M19" s="266">
        <v>476.95</v>
      </c>
      <c r="N19" s="266">
        <v>58549.96</v>
      </c>
      <c r="O19" s="123">
        <v>3.8699999999999998E-2</v>
      </c>
      <c r="P19" s="123">
        <v>0.34620000000000001</v>
      </c>
      <c r="Q19" s="266">
        <v>0</v>
      </c>
      <c r="R19" s="266">
        <v>0</v>
      </c>
      <c r="S19" s="266">
        <v>0</v>
      </c>
      <c r="T19" s="266">
        <v>0</v>
      </c>
      <c r="U19" s="266">
        <v>0</v>
      </c>
      <c r="V19" s="266">
        <v>0</v>
      </c>
      <c r="W19" s="266">
        <v>0</v>
      </c>
      <c r="X19" s="266">
        <v>0</v>
      </c>
      <c r="Y19" s="266">
        <v>0</v>
      </c>
      <c r="Z19" s="266">
        <v>0</v>
      </c>
      <c r="AA19" s="266">
        <v>0</v>
      </c>
      <c r="AB19" s="266">
        <v>0</v>
      </c>
      <c r="AC19" s="266">
        <v>0</v>
      </c>
      <c r="AD19" s="266">
        <v>0</v>
      </c>
      <c r="AE19" s="237">
        <v>0</v>
      </c>
      <c r="AF19" s="266">
        <v>0</v>
      </c>
      <c r="AG19" s="237">
        <f t="shared" si="43"/>
        <v>0</v>
      </c>
      <c r="AH19" s="237">
        <f t="shared" si="44"/>
        <v>0</v>
      </c>
      <c r="AI19" s="237">
        <f t="shared" si="45"/>
        <v>0</v>
      </c>
      <c r="AJ19" s="237">
        <v>0</v>
      </c>
      <c r="AK19" s="266">
        <v>0</v>
      </c>
      <c r="AL19" s="237">
        <f t="shared" si="46"/>
        <v>0</v>
      </c>
      <c r="AM19" s="237">
        <f t="shared" si="47"/>
        <v>0</v>
      </c>
      <c r="AN19" s="237">
        <f t="shared" si="48"/>
        <v>0</v>
      </c>
      <c r="AO19" s="266">
        <v>2.44</v>
      </c>
      <c r="AP19" s="266">
        <v>0</v>
      </c>
      <c r="AQ19" s="266">
        <v>0</v>
      </c>
      <c r="AR19" s="266">
        <v>0</v>
      </c>
      <c r="AS19" s="358">
        <v>1465.22</v>
      </c>
      <c r="AT19" s="371">
        <v>15.17999999999995</v>
      </c>
      <c r="AU19" s="373">
        <v>2290.9499999999998</v>
      </c>
    </row>
    <row r="20" spans="1:47">
      <c r="A20" s="238" t="s">
        <v>530</v>
      </c>
      <c r="B20" s="238" t="s">
        <v>1284</v>
      </c>
      <c r="C20" s="266">
        <v>0</v>
      </c>
      <c r="D20" s="266">
        <v>0</v>
      </c>
      <c r="E20" s="266">
        <v>455405.43</v>
      </c>
      <c r="F20" s="266">
        <v>106781.28</v>
      </c>
      <c r="G20" s="266">
        <v>26341034.120000001</v>
      </c>
      <c r="H20" s="266">
        <v>6912062.2800000003</v>
      </c>
      <c r="I20" s="266">
        <v>1426993.63</v>
      </c>
      <c r="J20" s="266">
        <v>2306270.9700000002</v>
      </c>
      <c r="K20" s="266">
        <v>6003133.9699999997</v>
      </c>
      <c r="L20" s="266">
        <v>1672069.11</v>
      </c>
      <c r="M20" s="266">
        <v>559708.75</v>
      </c>
      <c r="N20" s="266">
        <v>15083894.58</v>
      </c>
      <c r="O20" s="123">
        <v>4.19E-2</v>
      </c>
      <c r="P20" s="123">
        <v>0.15609999999999999</v>
      </c>
      <c r="Q20" s="266">
        <v>0</v>
      </c>
      <c r="R20" s="266">
        <v>0</v>
      </c>
      <c r="S20" s="266">
        <v>0</v>
      </c>
      <c r="T20" s="266">
        <v>0</v>
      </c>
      <c r="U20" s="266">
        <v>0</v>
      </c>
      <c r="V20" s="266">
        <v>0</v>
      </c>
      <c r="W20" s="266">
        <v>0</v>
      </c>
      <c r="X20" s="266">
        <v>0</v>
      </c>
      <c r="Y20" s="266">
        <v>0</v>
      </c>
      <c r="Z20" s="266">
        <v>22668.18</v>
      </c>
      <c r="AA20" s="266">
        <v>186417.96</v>
      </c>
      <c r="AB20" s="266">
        <v>295452.94</v>
      </c>
      <c r="AC20" s="266">
        <v>2001459.85</v>
      </c>
      <c r="AD20" s="266">
        <v>8584949.9399999995</v>
      </c>
      <c r="AE20" s="237">
        <v>1008.49</v>
      </c>
      <c r="AF20" s="266">
        <v>7869709.8600000003</v>
      </c>
      <c r="AG20" s="237">
        <f t="shared" si="43"/>
        <v>7803.4584973574356</v>
      </c>
      <c r="AH20" s="237">
        <f t="shared" si="44"/>
        <v>8512.6773096411453</v>
      </c>
      <c r="AI20" s="237">
        <f t="shared" si="45"/>
        <v>709.21881228370967</v>
      </c>
      <c r="AJ20" s="237">
        <v>243.16</v>
      </c>
      <c r="AK20" s="266">
        <v>1832690.22</v>
      </c>
      <c r="AL20" s="237">
        <f t="shared" si="46"/>
        <v>7536.9724461260075</v>
      </c>
      <c r="AM20" s="237">
        <f t="shared" si="47"/>
        <v>8231.0406728080288</v>
      </c>
      <c r="AN20" s="237">
        <f t="shared" si="48"/>
        <v>694.0682266820213</v>
      </c>
      <c r="AO20" s="266">
        <v>0</v>
      </c>
      <c r="AP20" s="266">
        <v>0</v>
      </c>
      <c r="AQ20" s="266">
        <v>0</v>
      </c>
      <c r="AR20" s="266">
        <v>0</v>
      </c>
      <c r="AS20" s="358">
        <v>1219446.6299999999</v>
      </c>
      <c r="AT20" s="371">
        <v>138866.75</v>
      </c>
      <c r="AU20" s="373">
        <v>1285710.29</v>
      </c>
    </row>
    <row r="21" spans="1:47">
      <c r="A21" s="238" t="s">
        <v>401</v>
      </c>
      <c r="B21" s="238" t="s">
        <v>1285</v>
      </c>
      <c r="C21" s="266">
        <v>0</v>
      </c>
      <c r="D21" s="266">
        <v>0</v>
      </c>
      <c r="E21" s="266">
        <v>0</v>
      </c>
      <c r="F21" s="266">
        <v>0</v>
      </c>
      <c r="G21" s="266">
        <v>143386.71</v>
      </c>
      <c r="H21" s="266">
        <v>15967.13</v>
      </c>
      <c r="I21" s="266">
        <v>0</v>
      </c>
      <c r="J21" s="266">
        <v>0</v>
      </c>
      <c r="K21" s="266">
        <v>0</v>
      </c>
      <c r="L21" s="266">
        <v>0</v>
      </c>
      <c r="M21" s="266">
        <v>0</v>
      </c>
      <c r="N21" s="266">
        <v>204128</v>
      </c>
      <c r="O21" s="123">
        <v>0.11799999999999999</v>
      </c>
      <c r="P21" s="123">
        <v>0.30590000000000001</v>
      </c>
      <c r="Q21" s="266">
        <v>0</v>
      </c>
      <c r="R21" s="266">
        <v>0</v>
      </c>
      <c r="S21" s="266">
        <v>0</v>
      </c>
      <c r="T21" s="266">
        <v>0</v>
      </c>
      <c r="U21" s="266">
        <v>0</v>
      </c>
      <c r="V21" s="266">
        <v>0</v>
      </c>
      <c r="W21" s="266">
        <v>0</v>
      </c>
      <c r="X21" s="266">
        <v>0</v>
      </c>
      <c r="Y21" s="266">
        <v>0</v>
      </c>
      <c r="Z21" s="266">
        <v>136.13</v>
      </c>
      <c r="AA21" s="266">
        <v>0</v>
      </c>
      <c r="AB21" s="266">
        <v>0</v>
      </c>
      <c r="AC21" s="266">
        <v>0</v>
      </c>
      <c r="AD21" s="266">
        <v>0</v>
      </c>
      <c r="AE21" s="237">
        <v>0</v>
      </c>
      <c r="AF21" s="266">
        <v>0</v>
      </c>
      <c r="AG21" s="237">
        <f t="shared" si="43"/>
        <v>0</v>
      </c>
      <c r="AH21" s="237">
        <f t="shared" si="44"/>
        <v>0</v>
      </c>
      <c r="AI21" s="237">
        <f t="shared" si="45"/>
        <v>0</v>
      </c>
      <c r="AJ21" s="237">
        <v>0</v>
      </c>
      <c r="AK21" s="266">
        <v>0</v>
      </c>
      <c r="AL21" s="237">
        <f t="shared" si="46"/>
        <v>0</v>
      </c>
      <c r="AM21" s="237">
        <f t="shared" si="47"/>
        <v>0</v>
      </c>
      <c r="AN21" s="237">
        <f t="shared" si="48"/>
        <v>0</v>
      </c>
      <c r="AO21" s="266">
        <v>0</v>
      </c>
      <c r="AP21" s="266">
        <v>0</v>
      </c>
      <c r="AQ21" s="266">
        <v>0</v>
      </c>
      <c r="AR21" s="266">
        <v>0</v>
      </c>
      <c r="AS21" s="358">
        <v>21177.95</v>
      </c>
      <c r="AT21" s="371">
        <v>289.88999999999942</v>
      </c>
      <c r="AU21" s="373">
        <v>13241.37</v>
      </c>
    </row>
    <row r="22" spans="1:47">
      <c r="A22" s="238" t="s">
        <v>678</v>
      </c>
      <c r="B22" s="238" t="s">
        <v>1286</v>
      </c>
      <c r="C22" s="266">
        <v>0</v>
      </c>
      <c r="D22" s="266">
        <v>0</v>
      </c>
      <c r="E22" s="266">
        <v>7618.19</v>
      </c>
      <c r="F22" s="266">
        <v>11133.15</v>
      </c>
      <c r="G22" s="266">
        <v>3677705.16</v>
      </c>
      <c r="H22" s="266">
        <v>595911.35</v>
      </c>
      <c r="I22" s="266">
        <v>254621.63</v>
      </c>
      <c r="J22" s="266">
        <v>323344.18</v>
      </c>
      <c r="K22" s="266">
        <v>719073.99</v>
      </c>
      <c r="L22" s="266">
        <v>159777.60999999999</v>
      </c>
      <c r="M22" s="266">
        <v>69451.06</v>
      </c>
      <c r="N22" s="266">
        <v>1277837.05</v>
      </c>
      <c r="O22" s="123">
        <v>2.98E-2</v>
      </c>
      <c r="P22" s="123">
        <v>0.17180000000000001</v>
      </c>
      <c r="Q22" s="266">
        <v>0</v>
      </c>
      <c r="R22" s="266">
        <v>0</v>
      </c>
      <c r="S22" s="266">
        <v>0</v>
      </c>
      <c r="T22" s="266">
        <v>0</v>
      </c>
      <c r="U22" s="266">
        <v>0</v>
      </c>
      <c r="V22" s="266">
        <v>0</v>
      </c>
      <c r="W22" s="266">
        <v>0</v>
      </c>
      <c r="X22" s="266">
        <v>0</v>
      </c>
      <c r="Y22" s="266">
        <v>0</v>
      </c>
      <c r="Z22" s="266">
        <v>2544.67</v>
      </c>
      <c r="AA22" s="266">
        <v>3847.22</v>
      </c>
      <c r="AB22" s="266">
        <v>0</v>
      </c>
      <c r="AC22" s="266">
        <v>147043.41</v>
      </c>
      <c r="AD22" s="266">
        <v>780190.78</v>
      </c>
      <c r="AE22" s="237">
        <v>78.099999999999994</v>
      </c>
      <c r="AF22" s="266">
        <v>672493.64</v>
      </c>
      <c r="AG22" s="237">
        <f t="shared" si="43"/>
        <v>8610.674007682459</v>
      </c>
      <c r="AH22" s="237">
        <f t="shared" si="44"/>
        <v>9989.6386683738801</v>
      </c>
      <c r="AI22" s="237">
        <f t="shared" si="45"/>
        <v>1378.9646606914212</v>
      </c>
      <c r="AJ22" s="237">
        <v>16.13</v>
      </c>
      <c r="AK22" s="266">
        <v>134438.92000000001</v>
      </c>
      <c r="AL22" s="237">
        <f t="shared" si="46"/>
        <v>8334.7129572225676</v>
      </c>
      <c r="AM22" s="237">
        <f t="shared" si="47"/>
        <v>9116.1444513329207</v>
      </c>
      <c r="AN22" s="237">
        <f t="shared" si="48"/>
        <v>781.43149411035301</v>
      </c>
      <c r="AO22" s="266">
        <v>0</v>
      </c>
      <c r="AP22" s="266">
        <v>0</v>
      </c>
      <c r="AQ22" s="266">
        <v>0</v>
      </c>
      <c r="AR22" s="266">
        <v>0</v>
      </c>
      <c r="AS22" s="358">
        <v>0</v>
      </c>
      <c r="AT22" s="371">
        <v>0</v>
      </c>
      <c r="AU22" s="373">
        <v>159782.18</v>
      </c>
    </row>
    <row r="23" spans="1:47">
      <c r="A23" s="238" t="s">
        <v>431</v>
      </c>
      <c r="B23" s="238" t="s">
        <v>1287</v>
      </c>
      <c r="C23" s="266">
        <v>0</v>
      </c>
      <c r="D23" s="266">
        <v>0</v>
      </c>
      <c r="E23" s="266">
        <v>2250.7399999999998</v>
      </c>
      <c r="F23" s="266">
        <v>2314.5100000000002</v>
      </c>
      <c r="G23" s="266">
        <v>114841.04</v>
      </c>
      <c r="H23" s="266">
        <v>33622.14</v>
      </c>
      <c r="I23" s="266">
        <v>11075.58</v>
      </c>
      <c r="J23" s="266">
        <v>26516.54</v>
      </c>
      <c r="K23" s="266">
        <v>30427.26</v>
      </c>
      <c r="L23" s="266">
        <v>0</v>
      </c>
      <c r="M23" s="266">
        <v>2479.9699999999998</v>
      </c>
      <c r="N23" s="266">
        <v>147118.94</v>
      </c>
      <c r="O23" s="123">
        <v>0.09</v>
      </c>
      <c r="P23" s="123">
        <v>0.29480000000000001</v>
      </c>
      <c r="Q23" s="266">
        <v>0</v>
      </c>
      <c r="R23" s="266">
        <v>0</v>
      </c>
      <c r="S23" s="266">
        <v>0</v>
      </c>
      <c r="T23" s="266">
        <v>0</v>
      </c>
      <c r="U23" s="266">
        <v>0</v>
      </c>
      <c r="V23" s="266">
        <v>0</v>
      </c>
      <c r="W23" s="266">
        <v>0</v>
      </c>
      <c r="X23" s="266">
        <v>0</v>
      </c>
      <c r="Y23" s="266">
        <v>0</v>
      </c>
      <c r="Z23" s="266">
        <v>116.37</v>
      </c>
      <c r="AA23" s="266">
        <v>0</v>
      </c>
      <c r="AB23" s="266">
        <v>0</v>
      </c>
      <c r="AC23" s="266">
        <v>0</v>
      </c>
      <c r="AD23" s="266">
        <v>0</v>
      </c>
      <c r="AE23" s="237">
        <v>0</v>
      </c>
      <c r="AF23" s="266">
        <v>0</v>
      </c>
      <c r="AG23" s="237">
        <f t="shared" si="43"/>
        <v>0</v>
      </c>
      <c r="AH23" s="237">
        <f t="shared" si="44"/>
        <v>0</v>
      </c>
      <c r="AI23" s="237">
        <f t="shared" si="45"/>
        <v>0</v>
      </c>
      <c r="AJ23" s="237">
        <v>0</v>
      </c>
      <c r="AK23" s="266">
        <v>0</v>
      </c>
      <c r="AL23" s="237">
        <f t="shared" si="46"/>
        <v>0</v>
      </c>
      <c r="AM23" s="237">
        <f t="shared" si="47"/>
        <v>0</v>
      </c>
      <c r="AN23" s="237">
        <f t="shared" si="48"/>
        <v>0</v>
      </c>
      <c r="AO23" s="266">
        <v>0</v>
      </c>
      <c r="AP23" s="266">
        <v>0</v>
      </c>
      <c r="AQ23" s="266">
        <v>0</v>
      </c>
      <c r="AR23" s="266">
        <v>0</v>
      </c>
      <c r="AS23" s="358">
        <v>15649.99</v>
      </c>
      <c r="AT23" s="371">
        <v>0</v>
      </c>
      <c r="AU23" s="373">
        <v>6854.0899999999992</v>
      </c>
    </row>
    <row r="24" spans="1:47">
      <c r="A24" s="238" t="s">
        <v>377</v>
      </c>
      <c r="B24" s="238" t="s">
        <v>1288</v>
      </c>
      <c r="C24" s="266">
        <v>0</v>
      </c>
      <c r="D24" s="266">
        <v>0</v>
      </c>
      <c r="E24" s="266">
        <v>208451.9</v>
      </c>
      <c r="F24" s="266">
        <v>461.23</v>
      </c>
      <c r="G24" s="266">
        <v>7456434</v>
      </c>
      <c r="H24" s="266">
        <v>1432529.19</v>
      </c>
      <c r="I24" s="266">
        <v>840673.98</v>
      </c>
      <c r="J24" s="266">
        <v>1401022.71</v>
      </c>
      <c r="K24" s="266">
        <v>2239274.41</v>
      </c>
      <c r="L24" s="266">
        <v>732018.81</v>
      </c>
      <c r="M24" s="266">
        <v>158268.97</v>
      </c>
      <c r="N24" s="266">
        <v>2205718.61</v>
      </c>
      <c r="O24" s="123">
        <v>6.6100000000000006E-2</v>
      </c>
      <c r="P24" s="123">
        <v>0.18690000000000001</v>
      </c>
      <c r="Q24" s="266">
        <v>0</v>
      </c>
      <c r="R24" s="266">
        <v>0</v>
      </c>
      <c r="S24" s="266">
        <v>0</v>
      </c>
      <c r="T24" s="266">
        <v>0</v>
      </c>
      <c r="U24" s="266">
        <v>0</v>
      </c>
      <c r="V24" s="266">
        <v>0</v>
      </c>
      <c r="W24" s="266">
        <v>0</v>
      </c>
      <c r="X24" s="266">
        <v>0</v>
      </c>
      <c r="Y24" s="266">
        <v>0</v>
      </c>
      <c r="Z24" s="266">
        <v>788.21</v>
      </c>
      <c r="AA24" s="266">
        <v>100590.14</v>
      </c>
      <c r="AB24" s="266">
        <v>99156.03</v>
      </c>
      <c r="AC24" s="266">
        <v>1045764.6</v>
      </c>
      <c r="AD24" s="266">
        <v>2891887.05</v>
      </c>
      <c r="AE24" s="237">
        <v>303.35000000000002</v>
      </c>
      <c r="AF24" s="266">
        <v>2663212.58</v>
      </c>
      <c r="AG24" s="237">
        <f t="shared" si="43"/>
        <v>8779.3393110268662</v>
      </c>
      <c r="AH24" s="237">
        <f t="shared" si="44"/>
        <v>9533.1697708917072</v>
      </c>
      <c r="AI24" s="237">
        <f t="shared" si="45"/>
        <v>753.83045986484103</v>
      </c>
      <c r="AJ24" s="237">
        <v>112.73</v>
      </c>
      <c r="AK24" s="266">
        <v>958107.65</v>
      </c>
      <c r="AL24" s="237">
        <f t="shared" si="46"/>
        <v>8499.1364321830915</v>
      </c>
      <c r="AM24" s="237">
        <f t="shared" si="47"/>
        <v>9276.719595493656</v>
      </c>
      <c r="AN24" s="237">
        <f t="shared" si="48"/>
        <v>777.58316331056449</v>
      </c>
      <c r="AO24" s="266">
        <v>0</v>
      </c>
      <c r="AP24" s="266">
        <v>75000</v>
      </c>
      <c r="AQ24" s="266">
        <v>0</v>
      </c>
      <c r="AR24" s="266">
        <v>0</v>
      </c>
      <c r="AS24" s="358">
        <v>269733.07</v>
      </c>
      <c r="AT24" s="371">
        <v>22186.539999999979</v>
      </c>
      <c r="AU24" s="373">
        <v>383717.68</v>
      </c>
    </row>
    <row r="25" spans="1:47">
      <c r="A25" s="238" t="s">
        <v>481</v>
      </c>
      <c r="B25" s="238" t="s">
        <v>1289</v>
      </c>
      <c r="C25" s="266">
        <v>0</v>
      </c>
      <c r="D25" s="266">
        <v>0</v>
      </c>
      <c r="E25" s="266">
        <v>52314.239999999998</v>
      </c>
      <c r="F25" s="266">
        <v>25026.59</v>
      </c>
      <c r="G25" s="266">
        <v>926841.05</v>
      </c>
      <c r="H25" s="266">
        <v>169730.83</v>
      </c>
      <c r="I25" s="266">
        <v>133896.26999999999</v>
      </c>
      <c r="J25" s="266">
        <v>263257.71000000002</v>
      </c>
      <c r="K25" s="266">
        <v>528899.97</v>
      </c>
      <c r="L25" s="266">
        <v>613918.30000000005</v>
      </c>
      <c r="M25" s="266">
        <v>26421.15</v>
      </c>
      <c r="N25" s="266">
        <v>208806.56</v>
      </c>
      <c r="O25" s="123">
        <v>5.5199999999999999E-2</v>
      </c>
      <c r="P25" s="123">
        <v>0.1981</v>
      </c>
      <c r="Q25" s="266">
        <v>0</v>
      </c>
      <c r="R25" s="266">
        <v>0</v>
      </c>
      <c r="S25" s="266">
        <v>0</v>
      </c>
      <c r="T25" s="266">
        <v>0</v>
      </c>
      <c r="U25" s="266">
        <v>0</v>
      </c>
      <c r="V25" s="266">
        <v>0</v>
      </c>
      <c r="W25" s="266">
        <v>0</v>
      </c>
      <c r="X25" s="266">
        <v>0</v>
      </c>
      <c r="Y25" s="266">
        <v>0</v>
      </c>
      <c r="Z25" s="266">
        <v>0</v>
      </c>
      <c r="AA25" s="266">
        <v>0</v>
      </c>
      <c r="AB25" s="266">
        <v>0</v>
      </c>
      <c r="AC25" s="266">
        <v>0</v>
      </c>
      <c r="AD25" s="266">
        <v>593565.36</v>
      </c>
      <c r="AE25" s="237">
        <v>69.349999999999994</v>
      </c>
      <c r="AF25" s="266">
        <v>541215.52</v>
      </c>
      <c r="AG25" s="237">
        <f t="shared" si="43"/>
        <v>7804.1170872386456</v>
      </c>
      <c r="AH25" s="237">
        <f t="shared" si="44"/>
        <v>8558.9813987022353</v>
      </c>
      <c r="AI25" s="237">
        <f t="shared" si="45"/>
        <v>754.86431146358973</v>
      </c>
      <c r="AJ25" s="237">
        <v>0</v>
      </c>
      <c r="AK25" s="266">
        <v>0</v>
      </c>
      <c r="AL25" s="237">
        <f t="shared" si="46"/>
        <v>0</v>
      </c>
      <c r="AM25" s="237">
        <f t="shared" si="47"/>
        <v>0</v>
      </c>
      <c r="AN25" s="237">
        <f t="shared" si="48"/>
        <v>0</v>
      </c>
      <c r="AO25" s="266">
        <v>0</v>
      </c>
      <c r="AP25" s="266">
        <v>0</v>
      </c>
      <c r="AQ25" s="266">
        <v>0</v>
      </c>
      <c r="AR25" s="266">
        <v>0</v>
      </c>
      <c r="AS25" s="358">
        <v>25822.02</v>
      </c>
      <c r="AT25" s="371">
        <v>0</v>
      </c>
      <c r="AU25" s="373">
        <v>66863.81</v>
      </c>
    </row>
    <row r="26" spans="1:47">
      <c r="A26" s="238" t="s">
        <v>249</v>
      </c>
      <c r="B26" s="238" t="s">
        <v>1290</v>
      </c>
      <c r="C26" s="266">
        <v>0</v>
      </c>
      <c r="D26" s="266">
        <v>0</v>
      </c>
      <c r="E26" s="266">
        <v>20182.43</v>
      </c>
      <c r="F26" s="266">
        <v>22634.34</v>
      </c>
      <c r="G26" s="266">
        <v>628558.15</v>
      </c>
      <c r="H26" s="266">
        <v>77095.94</v>
      </c>
      <c r="I26" s="266">
        <v>18175.98</v>
      </c>
      <c r="J26" s="266">
        <v>232258.16</v>
      </c>
      <c r="K26" s="266">
        <v>480159.15</v>
      </c>
      <c r="L26" s="266">
        <v>587258.73</v>
      </c>
      <c r="M26" s="266">
        <v>21365.84</v>
      </c>
      <c r="N26" s="266">
        <v>200388.56</v>
      </c>
      <c r="O26" s="123">
        <v>3.7999999999999999E-2</v>
      </c>
      <c r="P26" s="123">
        <v>0.22489999999999999</v>
      </c>
      <c r="Q26" s="266">
        <v>0</v>
      </c>
      <c r="R26" s="266">
        <v>0</v>
      </c>
      <c r="S26" s="266">
        <v>0</v>
      </c>
      <c r="T26" s="266">
        <v>0</v>
      </c>
      <c r="U26" s="266">
        <v>0</v>
      </c>
      <c r="V26" s="266">
        <v>0</v>
      </c>
      <c r="W26" s="266">
        <v>0</v>
      </c>
      <c r="X26" s="266">
        <v>0</v>
      </c>
      <c r="Y26" s="266">
        <v>0</v>
      </c>
      <c r="Z26" s="266">
        <v>0</v>
      </c>
      <c r="AA26" s="266">
        <v>0</v>
      </c>
      <c r="AB26" s="266">
        <v>0</v>
      </c>
      <c r="AC26" s="266">
        <v>0</v>
      </c>
      <c r="AD26" s="266">
        <v>253231.54</v>
      </c>
      <c r="AE26" s="237">
        <v>30.73</v>
      </c>
      <c r="AF26" s="266">
        <v>239664.81</v>
      </c>
      <c r="AG26" s="237">
        <f t="shared" si="43"/>
        <v>7799.0501138952159</v>
      </c>
      <c r="AH26" s="237">
        <f t="shared" si="44"/>
        <v>8240.5317279531409</v>
      </c>
      <c r="AI26" s="237">
        <f t="shared" si="45"/>
        <v>441.48161405792507</v>
      </c>
      <c r="AJ26" s="237">
        <v>0</v>
      </c>
      <c r="AK26" s="266">
        <v>0</v>
      </c>
      <c r="AL26" s="237">
        <f t="shared" si="46"/>
        <v>0</v>
      </c>
      <c r="AM26" s="237">
        <f t="shared" si="47"/>
        <v>0</v>
      </c>
      <c r="AN26" s="237">
        <f t="shared" si="48"/>
        <v>0</v>
      </c>
      <c r="AO26" s="266">
        <v>0</v>
      </c>
      <c r="AP26" s="266">
        <v>0</v>
      </c>
      <c r="AQ26" s="266">
        <v>0</v>
      </c>
      <c r="AR26" s="266">
        <v>0</v>
      </c>
      <c r="AS26" s="358">
        <v>30543.03</v>
      </c>
      <c r="AT26" s="371">
        <v>0</v>
      </c>
      <c r="AU26" s="373">
        <v>55379.88</v>
      </c>
    </row>
    <row r="27" spans="1:47">
      <c r="A27" s="238" t="s">
        <v>333</v>
      </c>
      <c r="B27" s="238" t="s">
        <v>1291</v>
      </c>
      <c r="C27" s="266">
        <v>0</v>
      </c>
      <c r="D27" s="266">
        <v>0</v>
      </c>
      <c r="E27" s="266">
        <v>1908.16</v>
      </c>
      <c r="F27" s="266">
        <v>0</v>
      </c>
      <c r="G27" s="266">
        <v>137762.54999999999</v>
      </c>
      <c r="H27" s="266">
        <v>6921.4</v>
      </c>
      <c r="I27" s="266">
        <v>9907.91</v>
      </c>
      <c r="J27" s="266">
        <v>21365.84</v>
      </c>
      <c r="K27" s="266">
        <v>36341.01</v>
      </c>
      <c r="L27" s="266">
        <v>0</v>
      </c>
      <c r="M27" s="266">
        <v>1907.66</v>
      </c>
      <c r="N27" s="266">
        <v>97584.92</v>
      </c>
      <c r="O27" s="123">
        <v>0.10299999999999999</v>
      </c>
      <c r="P27" s="123">
        <v>0.5444</v>
      </c>
      <c r="Q27" s="266">
        <v>0</v>
      </c>
      <c r="R27" s="266">
        <v>0</v>
      </c>
      <c r="S27" s="266">
        <v>0</v>
      </c>
      <c r="T27" s="266">
        <v>0</v>
      </c>
      <c r="U27" s="266">
        <v>0</v>
      </c>
      <c r="V27" s="266">
        <v>0</v>
      </c>
      <c r="W27" s="266">
        <v>0</v>
      </c>
      <c r="X27" s="266">
        <v>0</v>
      </c>
      <c r="Y27" s="266">
        <v>0</v>
      </c>
      <c r="Z27" s="266">
        <v>91.12</v>
      </c>
      <c r="AA27" s="266">
        <v>0</v>
      </c>
      <c r="AB27" s="266">
        <v>0</v>
      </c>
      <c r="AC27" s="266">
        <v>0</v>
      </c>
      <c r="AD27" s="266">
        <v>0</v>
      </c>
      <c r="AE27" s="237">
        <v>0</v>
      </c>
      <c r="AF27" s="266">
        <v>0</v>
      </c>
      <c r="AG27" s="237">
        <f t="shared" si="43"/>
        <v>0</v>
      </c>
      <c r="AH27" s="237">
        <f t="shared" si="44"/>
        <v>0</v>
      </c>
      <c r="AI27" s="237">
        <f t="shared" si="45"/>
        <v>0</v>
      </c>
      <c r="AJ27" s="237">
        <v>0</v>
      </c>
      <c r="AK27" s="266">
        <v>0</v>
      </c>
      <c r="AL27" s="237">
        <f t="shared" si="46"/>
        <v>0</v>
      </c>
      <c r="AM27" s="237">
        <f t="shared" si="47"/>
        <v>0</v>
      </c>
      <c r="AN27" s="237">
        <f t="shared" si="48"/>
        <v>0</v>
      </c>
      <c r="AO27" s="266">
        <v>0</v>
      </c>
      <c r="AP27" s="266">
        <v>0</v>
      </c>
      <c r="AQ27" s="266">
        <v>0</v>
      </c>
      <c r="AR27" s="266">
        <v>0</v>
      </c>
      <c r="AS27" s="358">
        <v>10754.66</v>
      </c>
      <c r="AT27" s="371">
        <v>580.96</v>
      </c>
      <c r="AU27" s="373">
        <v>5049.0400000000009</v>
      </c>
    </row>
    <row r="28" spans="1:47">
      <c r="A28" s="238" t="s">
        <v>548</v>
      </c>
      <c r="B28" s="238" t="s">
        <v>1292</v>
      </c>
      <c r="C28" s="266">
        <v>0</v>
      </c>
      <c r="D28" s="266">
        <v>0</v>
      </c>
      <c r="E28" s="266">
        <v>62604.959999999999</v>
      </c>
      <c r="F28" s="266">
        <v>9363.11</v>
      </c>
      <c r="G28" s="266">
        <v>5191958.71</v>
      </c>
      <c r="H28" s="266">
        <v>946761.76</v>
      </c>
      <c r="I28" s="266">
        <v>114885.62</v>
      </c>
      <c r="J28" s="266">
        <v>468295.2</v>
      </c>
      <c r="K28" s="266">
        <v>1264937.8500000001</v>
      </c>
      <c r="L28" s="266">
        <v>1271913.79</v>
      </c>
      <c r="M28" s="266">
        <v>111693.31</v>
      </c>
      <c r="N28" s="266">
        <v>2078284.4</v>
      </c>
      <c r="O28" s="123">
        <v>3.5799999999999998E-2</v>
      </c>
      <c r="P28" s="123">
        <v>0.16089999999999999</v>
      </c>
      <c r="Q28" s="266">
        <v>0</v>
      </c>
      <c r="R28" s="266">
        <v>0</v>
      </c>
      <c r="S28" s="266">
        <v>0</v>
      </c>
      <c r="T28" s="266">
        <v>0</v>
      </c>
      <c r="U28" s="266">
        <v>0</v>
      </c>
      <c r="V28" s="266">
        <v>0</v>
      </c>
      <c r="W28" s="266">
        <v>0</v>
      </c>
      <c r="X28" s="266">
        <v>0</v>
      </c>
      <c r="Y28" s="266">
        <v>0</v>
      </c>
      <c r="Z28" s="266">
        <v>0</v>
      </c>
      <c r="AA28" s="266">
        <v>58501.79</v>
      </c>
      <c r="AB28" s="266">
        <v>209021.06</v>
      </c>
      <c r="AC28" s="266">
        <v>559304.87</v>
      </c>
      <c r="AD28" s="266">
        <v>2393939.16</v>
      </c>
      <c r="AE28" s="237">
        <v>252.24</v>
      </c>
      <c r="AF28" s="266">
        <v>2214688.31</v>
      </c>
      <c r="AG28" s="237">
        <f t="shared" si="43"/>
        <v>8780.0836901363782</v>
      </c>
      <c r="AH28" s="237">
        <f t="shared" si="44"/>
        <v>9490.7197906755482</v>
      </c>
      <c r="AI28" s="237">
        <f t="shared" si="45"/>
        <v>710.63610053917</v>
      </c>
      <c r="AJ28" s="237">
        <v>60.29</v>
      </c>
      <c r="AK28" s="266">
        <v>512443.33</v>
      </c>
      <c r="AL28" s="237">
        <f t="shared" si="46"/>
        <v>8499.6405705755515</v>
      </c>
      <c r="AM28" s="237">
        <f t="shared" si="47"/>
        <v>9276.9094377176971</v>
      </c>
      <c r="AN28" s="237">
        <f t="shared" si="48"/>
        <v>777.26886714214561</v>
      </c>
      <c r="AO28" s="266">
        <v>0</v>
      </c>
      <c r="AP28" s="266">
        <v>0</v>
      </c>
      <c r="AQ28" s="266">
        <v>0</v>
      </c>
      <c r="AR28" s="266">
        <v>0</v>
      </c>
      <c r="AS28" s="358">
        <v>483521.41</v>
      </c>
      <c r="AT28" s="371">
        <v>0</v>
      </c>
      <c r="AU28" s="373">
        <v>266280.18999999994</v>
      </c>
    </row>
    <row r="29" spans="1:47">
      <c r="A29" s="238" t="s">
        <v>225</v>
      </c>
      <c r="B29" s="238" t="s">
        <v>1293</v>
      </c>
      <c r="C29" s="266">
        <v>0</v>
      </c>
      <c r="D29" s="266">
        <v>0</v>
      </c>
      <c r="E29" s="266">
        <v>0</v>
      </c>
      <c r="F29" s="266">
        <v>0</v>
      </c>
      <c r="G29" s="266">
        <v>8594267.2100000009</v>
      </c>
      <c r="H29" s="266">
        <v>1441145.58</v>
      </c>
      <c r="I29" s="266">
        <v>268633.37</v>
      </c>
      <c r="J29" s="266">
        <v>0</v>
      </c>
      <c r="K29" s="266">
        <v>675972.09</v>
      </c>
      <c r="L29" s="266">
        <v>404575.93</v>
      </c>
      <c r="M29" s="266">
        <v>225183.54</v>
      </c>
      <c r="N29" s="266">
        <v>3463172.95</v>
      </c>
      <c r="O29" s="123">
        <v>4.2500000000000003E-2</v>
      </c>
      <c r="P29" s="123">
        <v>0.14019999999999999</v>
      </c>
      <c r="Q29" s="266">
        <v>0</v>
      </c>
      <c r="R29" s="266">
        <v>0</v>
      </c>
      <c r="S29" s="266">
        <v>0</v>
      </c>
      <c r="T29" s="266">
        <v>0</v>
      </c>
      <c r="U29" s="266">
        <v>0</v>
      </c>
      <c r="V29" s="266">
        <v>0</v>
      </c>
      <c r="W29" s="266">
        <v>0</v>
      </c>
      <c r="X29" s="266">
        <v>0</v>
      </c>
      <c r="Y29" s="266">
        <v>0</v>
      </c>
      <c r="Z29" s="266">
        <v>0</v>
      </c>
      <c r="AA29" s="266">
        <v>24980.07</v>
      </c>
      <c r="AB29" s="266">
        <v>308306.44</v>
      </c>
      <c r="AC29" s="266">
        <v>275097.8</v>
      </c>
      <c r="AD29" s="266">
        <v>3584757.52</v>
      </c>
      <c r="AE29" s="237">
        <v>398.77</v>
      </c>
      <c r="AF29" s="266">
        <v>3371248.44</v>
      </c>
      <c r="AG29" s="237">
        <f t="shared" si="43"/>
        <v>8454.1175113473928</v>
      </c>
      <c r="AH29" s="237">
        <f t="shared" si="44"/>
        <v>8989.5366251222513</v>
      </c>
      <c r="AI29" s="237">
        <f t="shared" si="45"/>
        <v>535.41911377485849</v>
      </c>
      <c r="AJ29" s="237">
        <v>30.81</v>
      </c>
      <c r="AK29" s="266">
        <v>252008.62</v>
      </c>
      <c r="AL29" s="237">
        <f t="shared" si="46"/>
        <v>8179.4423888347937</v>
      </c>
      <c r="AM29" s="237">
        <f t="shared" si="47"/>
        <v>8928.8477766958786</v>
      </c>
      <c r="AN29" s="237">
        <f t="shared" si="48"/>
        <v>749.40538786108482</v>
      </c>
      <c r="AO29" s="266">
        <v>0</v>
      </c>
      <c r="AP29" s="266">
        <v>0</v>
      </c>
      <c r="AQ29" s="266">
        <v>0</v>
      </c>
      <c r="AR29" s="266">
        <v>0</v>
      </c>
      <c r="AS29" s="358">
        <v>14381.35</v>
      </c>
      <c r="AT29" s="371">
        <v>0</v>
      </c>
      <c r="AU29" s="373">
        <v>459024.76999999996</v>
      </c>
    </row>
    <row r="30" spans="1:47">
      <c r="A30" s="238" t="s">
        <v>211</v>
      </c>
      <c r="B30" s="238" t="s">
        <v>1294</v>
      </c>
      <c r="C30" s="266">
        <v>0</v>
      </c>
      <c r="D30" s="266">
        <v>0</v>
      </c>
      <c r="E30" s="266">
        <v>19748.849999999999</v>
      </c>
      <c r="F30" s="266">
        <v>6541.62</v>
      </c>
      <c r="G30" s="266">
        <v>701982.42</v>
      </c>
      <c r="H30" s="266">
        <v>112541.21</v>
      </c>
      <c r="I30" s="266">
        <v>45870.35</v>
      </c>
      <c r="J30" s="266">
        <v>138782.59</v>
      </c>
      <c r="K30" s="266">
        <v>218141.44</v>
      </c>
      <c r="L30" s="266">
        <v>0</v>
      </c>
      <c r="M30" s="266">
        <v>0</v>
      </c>
      <c r="N30" s="266">
        <v>275921.74</v>
      </c>
      <c r="O30" s="123">
        <v>0.1137</v>
      </c>
      <c r="P30" s="123">
        <v>0.26729999999999998</v>
      </c>
      <c r="Q30" s="266">
        <v>0</v>
      </c>
      <c r="R30" s="266">
        <v>0</v>
      </c>
      <c r="S30" s="266">
        <v>0</v>
      </c>
      <c r="T30" s="266">
        <v>0</v>
      </c>
      <c r="U30" s="266">
        <v>0</v>
      </c>
      <c r="V30" s="266">
        <v>0</v>
      </c>
      <c r="W30" s="266">
        <v>0</v>
      </c>
      <c r="X30" s="266">
        <v>0</v>
      </c>
      <c r="Y30" s="266">
        <v>0</v>
      </c>
      <c r="Z30" s="266">
        <v>0</v>
      </c>
      <c r="AA30" s="266">
        <v>0</v>
      </c>
      <c r="AB30" s="266">
        <v>0</v>
      </c>
      <c r="AC30" s="266">
        <v>0</v>
      </c>
      <c r="AD30" s="266">
        <v>85798.66</v>
      </c>
      <c r="AE30" s="237">
        <v>9.7799999999999994</v>
      </c>
      <c r="AF30" s="266">
        <v>76438.89</v>
      </c>
      <c r="AG30" s="237">
        <f t="shared" si="43"/>
        <v>7815.8374233128843</v>
      </c>
      <c r="AH30" s="237">
        <f t="shared" si="44"/>
        <v>8772.8691206543972</v>
      </c>
      <c r="AI30" s="237">
        <f t="shared" si="45"/>
        <v>957.03169734151288</v>
      </c>
      <c r="AJ30" s="237">
        <v>0</v>
      </c>
      <c r="AK30" s="266">
        <v>0</v>
      </c>
      <c r="AL30" s="237">
        <f t="shared" si="46"/>
        <v>0</v>
      </c>
      <c r="AM30" s="237">
        <f t="shared" si="47"/>
        <v>0</v>
      </c>
      <c r="AN30" s="237">
        <f t="shared" si="48"/>
        <v>0</v>
      </c>
      <c r="AO30" s="266">
        <v>0</v>
      </c>
      <c r="AP30" s="266">
        <v>0</v>
      </c>
      <c r="AQ30" s="266">
        <v>0</v>
      </c>
      <c r="AR30" s="266">
        <v>0</v>
      </c>
      <c r="AS30" s="358">
        <v>0</v>
      </c>
      <c r="AT30" s="371">
        <v>21186.09</v>
      </c>
      <c r="AU30" s="373">
        <v>45131.519999999997</v>
      </c>
    </row>
    <row r="31" spans="1:47">
      <c r="A31" s="238" t="s">
        <v>514</v>
      </c>
      <c r="B31" s="238" t="s">
        <v>1295</v>
      </c>
      <c r="C31" s="266">
        <v>0</v>
      </c>
      <c r="D31" s="266">
        <v>0</v>
      </c>
      <c r="E31" s="266">
        <v>0</v>
      </c>
      <c r="F31" s="266">
        <v>0</v>
      </c>
      <c r="G31" s="266">
        <v>282830.81</v>
      </c>
      <c r="H31" s="266">
        <v>20562.560000000001</v>
      </c>
      <c r="I31" s="266">
        <v>0</v>
      </c>
      <c r="J31" s="266">
        <v>0</v>
      </c>
      <c r="K31" s="266">
        <v>35255.25</v>
      </c>
      <c r="L31" s="266">
        <v>0</v>
      </c>
      <c r="M31" s="266">
        <v>5391.98</v>
      </c>
      <c r="N31" s="266">
        <v>117976.52</v>
      </c>
      <c r="O31" s="123">
        <v>6.1400000000000003E-2</v>
      </c>
      <c r="P31" s="123">
        <v>0.31340000000000001</v>
      </c>
      <c r="Q31" s="266">
        <v>0</v>
      </c>
      <c r="R31" s="266">
        <v>0</v>
      </c>
      <c r="S31" s="266">
        <v>0</v>
      </c>
      <c r="T31" s="266">
        <v>0</v>
      </c>
      <c r="U31" s="266">
        <v>0</v>
      </c>
      <c r="V31" s="266">
        <v>0</v>
      </c>
      <c r="W31" s="266">
        <v>0</v>
      </c>
      <c r="X31" s="266">
        <v>0</v>
      </c>
      <c r="Y31" s="266">
        <v>0</v>
      </c>
      <c r="Z31" s="266">
        <v>0</v>
      </c>
      <c r="AA31" s="266">
        <v>0</v>
      </c>
      <c r="AB31" s="266">
        <v>0</v>
      </c>
      <c r="AC31" s="266">
        <v>0</v>
      </c>
      <c r="AD31" s="266">
        <v>0</v>
      </c>
      <c r="AE31" s="237">
        <v>0</v>
      </c>
      <c r="AF31" s="266">
        <v>0</v>
      </c>
      <c r="AG31" s="237">
        <f t="shared" si="43"/>
        <v>0</v>
      </c>
      <c r="AH31" s="237">
        <f t="shared" si="44"/>
        <v>0</v>
      </c>
      <c r="AI31" s="237">
        <f t="shared" si="45"/>
        <v>0</v>
      </c>
      <c r="AJ31" s="237">
        <v>0</v>
      </c>
      <c r="AK31" s="266">
        <v>0</v>
      </c>
      <c r="AL31" s="237">
        <f t="shared" si="46"/>
        <v>0</v>
      </c>
      <c r="AM31" s="237">
        <f t="shared" si="47"/>
        <v>0</v>
      </c>
      <c r="AN31" s="237">
        <f t="shared" si="48"/>
        <v>0</v>
      </c>
      <c r="AO31" s="266">
        <v>0</v>
      </c>
      <c r="AP31" s="266">
        <v>0</v>
      </c>
      <c r="AQ31" s="266">
        <v>0</v>
      </c>
      <c r="AR31" s="266">
        <v>0</v>
      </c>
      <c r="AS31" s="358">
        <v>238.84</v>
      </c>
      <c r="AT31" s="371">
        <v>691.28999999999905</v>
      </c>
      <c r="AU31" s="373">
        <v>12579.119999999999</v>
      </c>
    </row>
    <row r="32" spans="1:47">
      <c r="A32" s="238" t="s">
        <v>201</v>
      </c>
      <c r="B32" s="238" t="s">
        <v>1296</v>
      </c>
      <c r="C32" s="266">
        <v>0</v>
      </c>
      <c r="D32" s="266">
        <v>0</v>
      </c>
      <c r="E32" s="266">
        <v>3620.84</v>
      </c>
      <c r="F32" s="266">
        <v>0</v>
      </c>
      <c r="G32" s="266">
        <v>1171072.75</v>
      </c>
      <c r="H32" s="266">
        <v>229623.79</v>
      </c>
      <c r="I32" s="266">
        <v>48618.11</v>
      </c>
      <c r="J32" s="266">
        <v>0</v>
      </c>
      <c r="K32" s="266">
        <v>320201.5</v>
      </c>
      <c r="L32" s="266">
        <v>275108</v>
      </c>
      <c r="M32" s="266">
        <v>35864.089999999997</v>
      </c>
      <c r="N32" s="266">
        <v>940333.39</v>
      </c>
      <c r="O32" s="123">
        <v>3.1600000000000003E-2</v>
      </c>
      <c r="P32" s="123">
        <v>0.16489999999999999</v>
      </c>
      <c r="Q32" s="266">
        <v>0</v>
      </c>
      <c r="R32" s="266">
        <v>0</v>
      </c>
      <c r="S32" s="266">
        <v>0</v>
      </c>
      <c r="T32" s="266">
        <v>0</v>
      </c>
      <c r="U32" s="266">
        <v>0</v>
      </c>
      <c r="V32" s="266">
        <v>0</v>
      </c>
      <c r="W32" s="266">
        <v>0</v>
      </c>
      <c r="X32" s="266">
        <v>0</v>
      </c>
      <c r="Y32" s="266">
        <v>0</v>
      </c>
      <c r="Z32" s="266">
        <v>1487.5</v>
      </c>
      <c r="AA32" s="266">
        <v>0</v>
      </c>
      <c r="AB32" s="266">
        <v>0</v>
      </c>
      <c r="AC32" s="266">
        <v>364724.16</v>
      </c>
      <c r="AD32" s="266">
        <v>901740</v>
      </c>
      <c r="AE32" s="237">
        <v>103.09</v>
      </c>
      <c r="AF32" s="266">
        <v>804370.06</v>
      </c>
      <c r="AG32" s="237">
        <f t="shared" si="43"/>
        <v>7802.6002522068102</v>
      </c>
      <c r="AH32" s="237">
        <f t="shared" si="44"/>
        <v>8747.1141720826454</v>
      </c>
      <c r="AI32" s="237">
        <f t="shared" si="45"/>
        <v>944.5139198758352</v>
      </c>
      <c r="AJ32" s="237">
        <v>44.32</v>
      </c>
      <c r="AK32" s="266">
        <v>334019.40999999997</v>
      </c>
      <c r="AL32" s="237">
        <f t="shared" si="46"/>
        <v>7536.5390342960281</v>
      </c>
      <c r="AM32" s="237">
        <f t="shared" si="47"/>
        <v>8229.3357400722016</v>
      </c>
      <c r="AN32" s="237">
        <f t="shared" si="48"/>
        <v>692.79670577617344</v>
      </c>
      <c r="AO32" s="266">
        <v>2119.9499999999998</v>
      </c>
      <c r="AP32" s="266">
        <v>0</v>
      </c>
      <c r="AQ32" s="266">
        <v>0</v>
      </c>
      <c r="AR32" s="266">
        <v>0</v>
      </c>
      <c r="AS32" s="358">
        <v>0</v>
      </c>
      <c r="AT32" s="371">
        <v>37553.340000000004</v>
      </c>
      <c r="AU32" s="373">
        <v>75844.11</v>
      </c>
    </row>
    <row r="33" spans="1:47">
      <c r="A33" s="238" t="s">
        <v>199</v>
      </c>
      <c r="B33" s="238" t="s">
        <v>1297</v>
      </c>
      <c r="C33" s="266">
        <v>0</v>
      </c>
      <c r="D33" s="266">
        <v>0</v>
      </c>
      <c r="E33" s="266">
        <v>7282.91</v>
      </c>
      <c r="F33" s="266">
        <v>0</v>
      </c>
      <c r="G33" s="266">
        <v>1905767.08</v>
      </c>
      <c r="H33" s="266">
        <v>228350.91</v>
      </c>
      <c r="I33" s="266">
        <v>62467.06</v>
      </c>
      <c r="J33" s="266">
        <v>0</v>
      </c>
      <c r="K33" s="266">
        <v>439002.82</v>
      </c>
      <c r="L33" s="266">
        <v>339061.78</v>
      </c>
      <c r="M33" s="266">
        <v>44808.29</v>
      </c>
      <c r="N33" s="266">
        <v>478704.07</v>
      </c>
      <c r="O33" s="123">
        <v>3.4000000000000002E-2</v>
      </c>
      <c r="P33" s="123">
        <v>0.15709999999999999</v>
      </c>
      <c r="Q33" s="266">
        <v>0</v>
      </c>
      <c r="R33" s="266">
        <v>0</v>
      </c>
      <c r="S33" s="266">
        <v>0</v>
      </c>
      <c r="T33" s="266">
        <v>0</v>
      </c>
      <c r="U33" s="266">
        <v>0</v>
      </c>
      <c r="V33" s="266">
        <v>0</v>
      </c>
      <c r="W33" s="266">
        <v>0</v>
      </c>
      <c r="X33" s="266">
        <v>0</v>
      </c>
      <c r="Y33" s="266">
        <v>0</v>
      </c>
      <c r="Z33" s="266">
        <v>0</v>
      </c>
      <c r="AA33" s="266">
        <v>14975.36</v>
      </c>
      <c r="AB33" s="266">
        <v>17988.599999999999</v>
      </c>
      <c r="AC33" s="266">
        <v>426302.08</v>
      </c>
      <c r="AD33" s="266">
        <v>1031988.27</v>
      </c>
      <c r="AE33" s="237">
        <v>119.01</v>
      </c>
      <c r="AF33" s="266">
        <v>947209.63</v>
      </c>
      <c r="AG33" s="237">
        <f t="shared" si="43"/>
        <v>7959.0759600033607</v>
      </c>
      <c r="AH33" s="237">
        <f t="shared" si="44"/>
        <v>8671.4416435593648</v>
      </c>
      <c r="AI33" s="237">
        <f t="shared" si="45"/>
        <v>712.36568355600411</v>
      </c>
      <c r="AJ33" s="237">
        <v>50.72</v>
      </c>
      <c r="AK33" s="266">
        <v>390102.31</v>
      </c>
      <c r="AL33" s="237">
        <f t="shared" si="46"/>
        <v>7691.2916009463725</v>
      </c>
      <c r="AM33" s="237">
        <f t="shared" si="47"/>
        <v>8405.0094637223974</v>
      </c>
      <c r="AN33" s="237">
        <f t="shared" si="48"/>
        <v>713.71786277602496</v>
      </c>
      <c r="AO33" s="266">
        <v>288.74</v>
      </c>
      <c r="AP33" s="266">
        <v>0</v>
      </c>
      <c r="AQ33" s="266">
        <v>0</v>
      </c>
      <c r="AR33" s="266">
        <v>0</v>
      </c>
      <c r="AS33" s="358">
        <v>51681.7</v>
      </c>
      <c r="AT33" s="371">
        <v>0</v>
      </c>
      <c r="AU33" s="373">
        <v>101689.51000000001</v>
      </c>
    </row>
    <row r="34" spans="1:47">
      <c r="A34" s="238" t="s">
        <v>239</v>
      </c>
      <c r="B34" s="238" t="s">
        <v>1298</v>
      </c>
      <c r="C34" s="266">
        <v>0</v>
      </c>
      <c r="D34" s="266">
        <v>0</v>
      </c>
      <c r="E34" s="266">
        <v>6969.45</v>
      </c>
      <c r="F34" s="266">
        <v>0</v>
      </c>
      <c r="G34" s="266">
        <v>1970702.78</v>
      </c>
      <c r="H34" s="266">
        <v>411613.64</v>
      </c>
      <c r="I34" s="266">
        <v>111246.72</v>
      </c>
      <c r="J34" s="266">
        <v>268694.55</v>
      </c>
      <c r="K34" s="266">
        <v>442959.68</v>
      </c>
      <c r="L34" s="266">
        <v>46396.99</v>
      </c>
      <c r="M34" s="266">
        <v>39297.870000000003</v>
      </c>
      <c r="N34" s="266">
        <v>882879.16</v>
      </c>
      <c r="O34" s="123">
        <v>3.3700000000000001E-2</v>
      </c>
      <c r="P34" s="123">
        <v>0.1981</v>
      </c>
      <c r="Q34" s="266">
        <v>0</v>
      </c>
      <c r="R34" s="266">
        <v>0</v>
      </c>
      <c r="S34" s="266">
        <v>0</v>
      </c>
      <c r="T34" s="266">
        <v>0</v>
      </c>
      <c r="U34" s="266">
        <v>0</v>
      </c>
      <c r="V34" s="266">
        <v>0</v>
      </c>
      <c r="W34" s="266">
        <v>0</v>
      </c>
      <c r="X34" s="266">
        <v>0</v>
      </c>
      <c r="Y34" s="266">
        <v>0</v>
      </c>
      <c r="Z34" s="266">
        <v>1656.56</v>
      </c>
      <c r="AA34" s="266">
        <v>0</v>
      </c>
      <c r="AB34" s="266">
        <v>35408.550000000003</v>
      </c>
      <c r="AC34" s="266">
        <v>0</v>
      </c>
      <c r="AD34" s="266">
        <v>669120.51</v>
      </c>
      <c r="AE34" s="237">
        <v>76.95</v>
      </c>
      <c r="AF34" s="266">
        <v>600519.03</v>
      </c>
      <c r="AG34" s="237">
        <f t="shared" si="43"/>
        <v>7804.0159844054579</v>
      </c>
      <c r="AH34" s="237">
        <f t="shared" si="44"/>
        <v>8695.5231968810913</v>
      </c>
      <c r="AI34" s="237">
        <f t="shared" si="45"/>
        <v>891.50721247563342</v>
      </c>
      <c r="AJ34" s="237">
        <v>0</v>
      </c>
      <c r="AK34" s="266">
        <v>0</v>
      </c>
      <c r="AL34" s="237">
        <f t="shared" si="46"/>
        <v>0</v>
      </c>
      <c r="AM34" s="237">
        <f t="shared" si="47"/>
        <v>0</v>
      </c>
      <c r="AN34" s="237">
        <f t="shared" si="48"/>
        <v>0</v>
      </c>
      <c r="AO34" s="266">
        <v>0</v>
      </c>
      <c r="AP34" s="266">
        <v>0</v>
      </c>
      <c r="AQ34" s="266">
        <v>0</v>
      </c>
      <c r="AR34" s="266">
        <v>0</v>
      </c>
      <c r="AS34" s="358">
        <v>80100.38</v>
      </c>
      <c r="AT34" s="371">
        <v>10674.570000000003</v>
      </c>
      <c r="AU34" s="373">
        <v>90980.56</v>
      </c>
    </row>
    <row r="35" spans="1:47">
      <c r="A35" s="238" t="s">
        <v>403</v>
      </c>
      <c r="B35" s="238" t="s">
        <v>1299</v>
      </c>
      <c r="C35" s="266">
        <v>0</v>
      </c>
      <c r="D35" s="266">
        <v>0</v>
      </c>
      <c r="E35" s="266">
        <v>2170.3200000000002</v>
      </c>
      <c r="F35" s="266">
        <v>0</v>
      </c>
      <c r="G35" s="266">
        <v>0</v>
      </c>
      <c r="H35" s="266">
        <v>0</v>
      </c>
      <c r="I35" s="266">
        <v>0</v>
      </c>
      <c r="J35" s="266">
        <v>0</v>
      </c>
      <c r="K35" s="266">
        <v>18061.5</v>
      </c>
      <c r="L35" s="266">
        <v>0</v>
      </c>
      <c r="M35" s="266">
        <v>2368.73</v>
      </c>
      <c r="N35" s="266">
        <v>114828.75</v>
      </c>
      <c r="O35" s="123">
        <v>0.16750000000000001</v>
      </c>
      <c r="P35" s="123">
        <v>0.3155</v>
      </c>
      <c r="Q35" s="266">
        <v>0</v>
      </c>
      <c r="R35" s="266">
        <v>0</v>
      </c>
      <c r="S35" s="266">
        <v>0</v>
      </c>
      <c r="T35" s="266">
        <v>0</v>
      </c>
      <c r="U35" s="266">
        <v>0</v>
      </c>
      <c r="V35" s="266">
        <v>0</v>
      </c>
      <c r="W35" s="266">
        <v>0</v>
      </c>
      <c r="X35" s="266">
        <v>0</v>
      </c>
      <c r="Y35" s="266">
        <v>0</v>
      </c>
      <c r="Z35" s="266">
        <v>0</v>
      </c>
      <c r="AA35" s="266">
        <v>0</v>
      </c>
      <c r="AB35" s="266">
        <v>0</v>
      </c>
      <c r="AC35" s="266">
        <v>0</v>
      </c>
      <c r="AD35" s="266">
        <v>0</v>
      </c>
      <c r="AE35" s="237">
        <v>0</v>
      </c>
      <c r="AF35" s="266">
        <v>0</v>
      </c>
      <c r="AG35" s="237">
        <f t="shared" si="43"/>
        <v>0</v>
      </c>
      <c r="AH35" s="237">
        <f t="shared" si="44"/>
        <v>0</v>
      </c>
      <c r="AI35" s="237">
        <f t="shared" si="45"/>
        <v>0</v>
      </c>
      <c r="AJ35" s="237">
        <v>0</v>
      </c>
      <c r="AK35" s="266">
        <v>0</v>
      </c>
      <c r="AL35" s="237">
        <f t="shared" si="46"/>
        <v>0</v>
      </c>
      <c r="AM35" s="237">
        <f t="shared" si="47"/>
        <v>0</v>
      </c>
      <c r="AN35" s="237">
        <f t="shared" si="48"/>
        <v>0</v>
      </c>
      <c r="AO35" s="266">
        <v>0</v>
      </c>
      <c r="AP35" s="266">
        <v>0</v>
      </c>
      <c r="AQ35" s="266">
        <v>0</v>
      </c>
      <c r="AR35" s="266">
        <v>0</v>
      </c>
      <c r="AS35" s="358">
        <v>15936.18</v>
      </c>
      <c r="AT35" s="371">
        <v>0</v>
      </c>
      <c r="AU35" s="373">
        <v>5277.8600000000006</v>
      </c>
    </row>
    <row r="36" spans="1:47">
      <c r="A36" s="238" t="s">
        <v>383</v>
      </c>
      <c r="B36" s="238" t="s">
        <v>1300</v>
      </c>
      <c r="C36" s="266">
        <v>0</v>
      </c>
      <c r="D36" s="266">
        <v>0</v>
      </c>
      <c r="E36" s="266">
        <v>147964.92000000001</v>
      </c>
      <c r="F36" s="266">
        <v>0</v>
      </c>
      <c r="G36" s="266">
        <v>18540373.390000001</v>
      </c>
      <c r="H36" s="266">
        <v>4285057.8899999997</v>
      </c>
      <c r="I36" s="266">
        <v>1587650.36</v>
      </c>
      <c r="J36" s="266">
        <v>0</v>
      </c>
      <c r="K36" s="266">
        <v>3017154.35</v>
      </c>
      <c r="L36" s="266">
        <v>696841.21</v>
      </c>
      <c r="M36" s="266">
        <v>369515.03</v>
      </c>
      <c r="N36" s="266">
        <v>5550999.2199999997</v>
      </c>
      <c r="O36" s="123">
        <v>4.1599999999999998E-2</v>
      </c>
      <c r="P36" s="123">
        <v>0.1487</v>
      </c>
      <c r="Q36" s="266">
        <v>0</v>
      </c>
      <c r="R36" s="266">
        <v>0</v>
      </c>
      <c r="S36" s="266">
        <v>0</v>
      </c>
      <c r="T36" s="266">
        <v>0</v>
      </c>
      <c r="U36" s="266">
        <v>0</v>
      </c>
      <c r="V36" s="266">
        <v>0</v>
      </c>
      <c r="W36" s="266">
        <v>0</v>
      </c>
      <c r="X36" s="266">
        <v>0</v>
      </c>
      <c r="Y36" s="266">
        <v>0</v>
      </c>
      <c r="Z36" s="266">
        <v>12634.42</v>
      </c>
      <c r="AA36" s="266">
        <v>110238.86</v>
      </c>
      <c r="AB36" s="266">
        <v>238983.6</v>
      </c>
      <c r="AC36" s="266">
        <v>1030626.62</v>
      </c>
      <c r="AD36" s="266">
        <v>5343035.25</v>
      </c>
      <c r="AE36" s="237">
        <v>555.41</v>
      </c>
      <c r="AF36" s="266">
        <v>4876296.3099999996</v>
      </c>
      <c r="AG36" s="237">
        <f t="shared" si="43"/>
        <v>8779.633622008967</v>
      </c>
      <c r="AH36" s="237">
        <f t="shared" si="44"/>
        <v>9619.9838857780742</v>
      </c>
      <c r="AI36" s="237">
        <f t="shared" si="45"/>
        <v>840.35026376910719</v>
      </c>
      <c r="AJ36" s="237">
        <v>111.09</v>
      </c>
      <c r="AK36" s="266">
        <v>944227.19</v>
      </c>
      <c r="AL36" s="237">
        <f t="shared" si="46"/>
        <v>8499.6596453326129</v>
      </c>
      <c r="AM36" s="237">
        <f t="shared" si="47"/>
        <v>9277.4022864344224</v>
      </c>
      <c r="AN36" s="237">
        <f t="shared" si="48"/>
        <v>777.74264110180957</v>
      </c>
      <c r="AO36" s="266">
        <v>11113.39</v>
      </c>
      <c r="AP36" s="266">
        <v>0</v>
      </c>
      <c r="AQ36" s="266">
        <v>0</v>
      </c>
      <c r="AR36" s="266">
        <v>0</v>
      </c>
      <c r="AS36" s="358">
        <v>0</v>
      </c>
      <c r="AT36" s="371">
        <v>98218.450000000012</v>
      </c>
      <c r="AU36" s="373">
        <v>827753.23</v>
      </c>
    </row>
    <row r="37" spans="1:47">
      <c r="A37" s="238" t="s">
        <v>607</v>
      </c>
      <c r="B37" s="238" t="s">
        <v>1301</v>
      </c>
      <c r="C37" s="266">
        <v>0</v>
      </c>
      <c r="D37" s="266">
        <v>0</v>
      </c>
      <c r="E37" s="266">
        <v>162368.72</v>
      </c>
      <c r="F37" s="266">
        <v>27299.74</v>
      </c>
      <c r="G37" s="266">
        <v>19191385.09</v>
      </c>
      <c r="H37" s="266">
        <v>4916488.95</v>
      </c>
      <c r="I37" s="266">
        <v>1991021.74</v>
      </c>
      <c r="J37" s="266">
        <v>873805.72</v>
      </c>
      <c r="K37" s="266">
        <v>3247035.72</v>
      </c>
      <c r="L37" s="266">
        <v>731968.71</v>
      </c>
      <c r="M37" s="266">
        <v>389163.55</v>
      </c>
      <c r="N37" s="266">
        <v>6591664.1699999999</v>
      </c>
      <c r="O37" s="123">
        <v>4.1300000000000003E-2</v>
      </c>
      <c r="P37" s="123">
        <v>0.1368</v>
      </c>
      <c r="Q37" s="266">
        <v>0</v>
      </c>
      <c r="R37" s="266">
        <v>0</v>
      </c>
      <c r="S37" s="266">
        <v>0</v>
      </c>
      <c r="T37" s="266">
        <v>0</v>
      </c>
      <c r="U37" s="266">
        <v>0</v>
      </c>
      <c r="V37" s="266">
        <v>0</v>
      </c>
      <c r="W37" s="266">
        <v>0</v>
      </c>
      <c r="X37" s="266">
        <v>0</v>
      </c>
      <c r="Y37" s="266">
        <v>0</v>
      </c>
      <c r="Z37" s="266">
        <v>16324.07</v>
      </c>
      <c r="AA37" s="266">
        <v>924.59</v>
      </c>
      <c r="AB37" s="266">
        <v>90318.35</v>
      </c>
      <c r="AC37" s="266">
        <v>184391.49</v>
      </c>
      <c r="AD37" s="266">
        <v>3904667.97</v>
      </c>
      <c r="AE37" s="237">
        <v>463.57</v>
      </c>
      <c r="AF37" s="266">
        <v>3617333.35</v>
      </c>
      <c r="AG37" s="237">
        <f t="shared" si="43"/>
        <v>7803.2084690553747</v>
      </c>
      <c r="AH37" s="237">
        <f t="shared" si="44"/>
        <v>8423.0385270832885</v>
      </c>
      <c r="AI37" s="237">
        <f t="shared" si="45"/>
        <v>619.83005802791376</v>
      </c>
      <c r="AJ37" s="237">
        <v>22.4</v>
      </c>
      <c r="AK37" s="266">
        <v>168619.05</v>
      </c>
      <c r="AL37" s="237">
        <f t="shared" si="46"/>
        <v>7527.6361607142853</v>
      </c>
      <c r="AM37" s="237">
        <f t="shared" si="47"/>
        <v>8231.762946428571</v>
      </c>
      <c r="AN37" s="237">
        <f t="shared" si="48"/>
        <v>704.12678571428569</v>
      </c>
      <c r="AO37" s="266">
        <v>0</v>
      </c>
      <c r="AP37" s="266">
        <v>0</v>
      </c>
      <c r="AQ37" s="266">
        <v>0</v>
      </c>
      <c r="AR37" s="266">
        <v>0</v>
      </c>
      <c r="AS37" s="358">
        <v>34992.449999999997</v>
      </c>
      <c r="AT37" s="371">
        <v>0</v>
      </c>
      <c r="AU37" s="373">
        <v>876722.45999999985</v>
      </c>
    </row>
    <row r="38" spans="1:47">
      <c r="A38" s="238" t="s">
        <v>443</v>
      </c>
      <c r="B38" s="238" t="s">
        <v>1302</v>
      </c>
      <c r="C38" s="266">
        <v>0</v>
      </c>
      <c r="D38" s="266">
        <v>0</v>
      </c>
      <c r="E38" s="266">
        <v>120766.22</v>
      </c>
      <c r="F38" s="266">
        <v>93244.92</v>
      </c>
      <c r="G38" s="266">
        <v>4573491.74</v>
      </c>
      <c r="H38" s="266">
        <v>1110368.43</v>
      </c>
      <c r="I38" s="266">
        <v>375262.83</v>
      </c>
      <c r="J38" s="266">
        <v>956979.88</v>
      </c>
      <c r="K38" s="266">
        <v>1514494.83</v>
      </c>
      <c r="L38" s="266">
        <v>647219.36</v>
      </c>
      <c r="M38" s="266">
        <v>95287.84</v>
      </c>
      <c r="N38" s="266">
        <v>1967039.34</v>
      </c>
      <c r="O38" s="123">
        <v>2.3900000000000001E-2</v>
      </c>
      <c r="P38" s="123">
        <v>0.15759999999999999</v>
      </c>
      <c r="Q38" s="266">
        <v>0</v>
      </c>
      <c r="R38" s="266">
        <v>0</v>
      </c>
      <c r="S38" s="266">
        <v>0</v>
      </c>
      <c r="T38" s="266">
        <v>0</v>
      </c>
      <c r="U38" s="266">
        <v>0</v>
      </c>
      <c r="V38" s="266">
        <v>0</v>
      </c>
      <c r="W38" s="266">
        <v>0</v>
      </c>
      <c r="X38" s="266">
        <v>0</v>
      </c>
      <c r="Y38" s="266">
        <v>0</v>
      </c>
      <c r="Z38" s="266">
        <v>1082.42</v>
      </c>
      <c r="AA38" s="266">
        <v>6006.84</v>
      </c>
      <c r="AB38" s="266">
        <v>0</v>
      </c>
      <c r="AC38" s="266">
        <v>456368.13</v>
      </c>
      <c r="AD38" s="266">
        <v>1389380.94</v>
      </c>
      <c r="AE38" s="237">
        <v>161.6</v>
      </c>
      <c r="AF38" s="266">
        <v>1260887.75</v>
      </c>
      <c r="AG38" s="237">
        <f t="shared" si="43"/>
        <v>7802.5232054455446</v>
      </c>
      <c r="AH38" s="237">
        <f t="shared" si="44"/>
        <v>8597.6543316831685</v>
      </c>
      <c r="AI38" s="237">
        <f t="shared" si="45"/>
        <v>795.1311262376239</v>
      </c>
      <c r="AJ38" s="237">
        <v>55.44</v>
      </c>
      <c r="AK38" s="266">
        <v>417882.25</v>
      </c>
      <c r="AL38" s="237">
        <f t="shared" si="46"/>
        <v>7537.5586219336219</v>
      </c>
      <c r="AM38" s="237">
        <f t="shared" si="47"/>
        <v>8231.7483766233763</v>
      </c>
      <c r="AN38" s="237">
        <f t="shared" si="48"/>
        <v>694.18975468975441</v>
      </c>
      <c r="AO38" s="266">
        <v>0</v>
      </c>
      <c r="AP38" s="266">
        <v>0</v>
      </c>
      <c r="AQ38" s="266">
        <v>0</v>
      </c>
      <c r="AR38" s="266">
        <v>0</v>
      </c>
      <c r="AS38" s="358">
        <v>376383.13</v>
      </c>
      <c r="AT38" s="371">
        <v>2863.3300000000163</v>
      </c>
      <c r="AU38" s="373">
        <v>224913.62</v>
      </c>
    </row>
    <row r="39" spans="1:47">
      <c r="A39" s="238" t="s">
        <v>439</v>
      </c>
      <c r="B39" s="238" t="s">
        <v>1303</v>
      </c>
      <c r="C39" s="266">
        <v>0</v>
      </c>
      <c r="D39" s="266">
        <v>0</v>
      </c>
      <c r="E39" s="266">
        <v>77514.02</v>
      </c>
      <c r="F39" s="266">
        <v>0</v>
      </c>
      <c r="G39" s="266">
        <v>3751638.43</v>
      </c>
      <c r="H39" s="266">
        <v>925640.27</v>
      </c>
      <c r="I39" s="266">
        <v>149362.73000000001</v>
      </c>
      <c r="J39" s="266">
        <v>387285.76000000001</v>
      </c>
      <c r="K39" s="266">
        <v>857871.52</v>
      </c>
      <c r="L39" s="266">
        <v>231816.44</v>
      </c>
      <c r="M39" s="266">
        <v>84484.36</v>
      </c>
      <c r="N39" s="266">
        <v>1279630.95</v>
      </c>
      <c r="O39" s="123">
        <v>2.2499999999999999E-2</v>
      </c>
      <c r="P39" s="123">
        <v>0.1605</v>
      </c>
      <c r="Q39" s="266">
        <v>151641.16</v>
      </c>
      <c r="R39" s="266">
        <v>13869.452000000003</v>
      </c>
      <c r="S39" s="266">
        <v>6341.19</v>
      </c>
      <c r="T39" s="266">
        <v>2568356.0100000002</v>
      </c>
      <c r="U39" s="266">
        <v>92623.000000000233</v>
      </c>
      <c r="V39" s="266">
        <v>95915.569999999992</v>
      </c>
      <c r="W39" s="266">
        <v>0</v>
      </c>
      <c r="X39" s="266">
        <v>0</v>
      </c>
      <c r="Y39" s="266">
        <v>0</v>
      </c>
      <c r="Z39" s="266">
        <v>0</v>
      </c>
      <c r="AA39" s="266">
        <v>0</v>
      </c>
      <c r="AB39" s="266">
        <v>90467.93</v>
      </c>
      <c r="AC39" s="266">
        <v>0</v>
      </c>
      <c r="AD39" s="266">
        <v>1619720.22</v>
      </c>
      <c r="AE39" s="237">
        <v>181.51</v>
      </c>
      <c r="AF39" s="266">
        <v>1444740.47</v>
      </c>
      <c r="AG39" s="237">
        <f t="shared" si="43"/>
        <v>7959.5640460580689</v>
      </c>
      <c r="AH39" s="237">
        <f t="shared" si="44"/>
        <v>8923.5866894385981</v>
      </c>
      <c r="AI39" s="237">
        <f t="shared" si="45"/>
        <v>964.02264338052919</v>
      </c>
      <c r="AJ39" s="237">
        <v>0</v>
      </c>
      <c r="AK39" s="266">
        <v>0</v>
      </c>
      <c r="AL39" s="237">
        <f t="shared" si="46"/>
        <v>0</v>
      </c>
      <c r="AM39" s="237">
        <f t="shared" si="47"/>
        <v>0</v>
      </c>
      <c r="AN39" s="237">
        <f t="shared" si="48"/>
        <v>0</v>
      </c>
      <c r="AO39" s="266">
        <v>0</v>
      </c>
      <c r="AP39" s="266">
        <v>0</v>
      </c>
      <c r="AQ39" s="266">
        <v>0</v>
      </c>
      <c r="AR39" s="266">
        <v>0</v>
      </c>
      <c r="AS39" s="358">
        <v>0</v>
      </c>
      <c r="AT39" s="371">
        <v>0</v>
      </c>
      <c r="AU39" s="373">
        <v>190269.51</v>
      </c>
    </row>
    <row r="40" spans="1:47">
      <c r="A40" s="238" t="s">
        <v>611</v>
      </c>
      <c r="B40" s="238" t="s">
        <v>1304</v>
      </c>
      <c r="C40" s="266">
        <v>0</v>
      </c>
      <c r="D40" s="266">
        <v>0</v>
      </c>
      <c r="E40" s="266">
        <v>0</v>
      </c>
      <c r="F40" s="266">
        <v>0</v>
      </c>
      <c r="G40" s="266">
        <v>6607560.4699999997</v>
      </c>
      <c r="H40" s="266">
        <v>1645536.75</v>
      </c>
      <c r="I40" s="266">
        <v>790846.25</v>
      </c>
      <c r="J40" s="266">
        <v>561044.12</v>
      </c>
      <c r="K40" s="266">
        <v>1482446.06</v>
      </c>
      <c r="L40" s="266">
        <v>335349.24</v>
      </c>
      <c r="M40" s="266">
        <v>137638</v>
      </c>
      <c r="N40" s="266">
        <v>2919815.26</v>
      </c>
      <c r="O40" s="123">
        <v>3.04E-2</v>
      </c>
      <c r="P40" s="123">
        <v>0.1658</v>
      </c>
      <c r="Q40" s="266">
        <v>0</v>
      </c>
      <c r="R40" s="266">
        <v>0</v>
      </c>
      <c r="S40" s="266">
        <v>0</v>
      </c>
      <c r="T40" s="266">
        <v>0</v>
      </c>
      <c r="U40" s="266">
        <v>0</v>
      </c>
      <c r="V40" s="266">
        <v>0</v>
      </c>
      <c r="W40" s="266">
        <v>0</v>
      </c>
      <c r="X40" s="266">
        <v>0</v>
      </c>
      <c r="Y40" s="266">
        <v>0</v>
      </c>
      <c r="Z40" s="266">
        <v>0</v>
      </c>
      <c r="AA40" s="266">
        <v>0</v>
      </c>
      <c r="AB40" s="266">
        <v>146202.81</v>
      </c>
      <c r="AC40" s="266">
        <v>277938.74</v>
      </c>
      <c r="AD40" s="266">
        <v>1935855.01</v>
      </c>
      <c r="AE40" s="237">
        <v>233.43</v>
      </c>
      <c r="AF40" s="266">
        <v>1821516.07</v>
      </c>
      <c r="AG40" s="237">
        <f t="shared" si="43"/>
        <v>7803.264661782976</v>
      </c>
      <c r="AH40" s="237">
        <f t="shared" si="44"/>
        <v>8293.0857644690059</v>
      </c>
      <c r="AI40" s="237">
        <f t="shared" si="45"/>
        <v>489.82110268602992</v>
      </c>
      <c r="AJ40" s="237">
        <v>33.770000000000003</v>
      </c>
      <c r="AK40" s="266">
        <v>254463.92</v>
      </c>
      <c r="AL40" s="237">
        <f t="shared" si="46"/>
        <v>7535.2063962096536</v>
      </c>
      <c r="AM40" s="237">
        <f t="shared" si="47"/>
        <v>8230.3446846313291</v>
      </c>
      <c r="AN40" s="237">
        <f t="shared" si="48"/>
        <v>695.1382884216755</v>
      </c>
      <c r="AO40" s="266">
        <v>0</v>
      </c>
      <c r="AP40" s="266">
        <v>7827.24</v>
      </c>
      <c r="AQ40" s="266">
        <v>0</v>
      </c>
      <c r="AR40" s="266">
        <v>0</v>
      </c>
      <c r="AS40" s="358">
        <v>170394.89</v>
      </c>
      <c r="AT40" s="371">
        <v>31461.710000000006</v>
      </c>
      <c r="AU40" s="373">
        <v>312671.68000000005</v>
      </c>
    </row>
    <row r="41" spans="1:47">
      <c r="A41" s="238" t="s">
        <v>623</v>
      </c>
      <c r="B41" s="238" t="s">
        <v>1305</v>
      </c>
      <c r="C41" s="266">
        <v>0</v>
      </c>
      <c r="D41" s="266">
        <v>0</v>
      </c>
      <c r="E41" s="266">
        <v>23152.92</v>
      </c>
      <c r="F41" s="266">
        <v>14473.62</v>
      </c>
      <c r="G41" s="266">
        <v>963765.44</v>
      </c>
      <c r="H41" s="266">
        <v>206109.67</v>
      </c>
      <c r="I41" s="266">
        <v>21119.05</v>
      </c>
      <c r="J41" s="266">
        <v>191529.53</v>
      </c>
      <c r="K41" s="266">
        <v>271269.88</v>
      </c>
      <c r="L41" s="266">
        <v>0</v>
      </c>
      <c r="M41" s="266">
        <v>21270.45</v>
      </c>
      <c r="N41" s="266">
        <v>567089.12</v>
      </c>
      <c r="O41" s="123">
        <v>3.5700000000000003E-2</v>
      </c>
      <c r="P41" s="123">
        <v>0.18459999999999999</v>
      </c>
      <c r="Q41" s="266">
        <v>0</v>
      </c>
      <c r="R41" s="266">
        <v>0</v>
      </c>
      <c r="S41" s="266">
        <v>0</v>
      </c>
      <c r="T41" s="266">
        <v>0</v>
      </c>
      <c r="U41" s="266">
        <v>0</v>
      </c>
      <c r="V41" s="266">
        <v>0</v>
      </c>
      <c r="W41" s="266">
        <v>0</v>
      </c>
      <c r="X41" s="266">
        <v>0</v>
      </c>
      <c r="Y41" s="266">
        <v>0</v>
      </c>
      <c r="Z41" s="266">
        <v>0</v>
      </c>
      <c r="AA41" s="266">
        <v>6267.84</v>
      </c>
      <c r="AB41" s="266">
        <v>0</v>
      </c>
      <c r="AC41" s="266">
        <v>76272.639999999999</v>
      </c>
      <c r="AD41" s="266">
        <v>340632.29</v>
      </c>
      <c r="AE41" s="237">
        <v>39.75</v>
      </c>
      <c r="AF41" s="266">
        <v>310388.36</v>
      </c>
      <c r="AG41" s="237">
        <f t="shared" si="43"/>
        <v>7808.5122012578613</v>
      </c>
      <c r="AH41" s="237">
        <f t="shared" si="44"/>
        <v>8569.365786163522</v>
      </c>
      <c r="AI41" s="237">
        <f t="shared" si="45"/>
        <v>760.85358490566068</v>
      </c>
      <c r="AJ41" s="237">
        <v>9.27</v>
      </c>
      <c r="AK41" s="266">
        <v>69849.070000000007</v>
      </c>
      <c r="AL41" s="237">
        <f t="shared" si="46"/>
        <v>7534.9590075512415</v>
      </c>
      <c r="AM41" s="237">
        <f t="shared" si="47"/>
        <v>8227.9007551240556</v>
      </c>
      <c r="AN41" s="237">
        <f t="shared" si="48"/>
        <v>692.94174757281417</v>
      </c>
      <c r="AO41" s="266">
        <v>0</v>
      </c>
      <c r="AP41" s="266">
        <v>0</v>
      </c>
      <c r="AQ41" s="266">
        <v>0</v>
      </c>
      <c r="AR41" s="266">
        <v>0</v>
      </c>
      <c r="AS41" s="358">
        <v>39696.879999999997</v>
      </c>
      <c r="AT41" s="371">
        <v>3122.16</v>
      </c>
      <c r="AU41" s="373">
        <v>42800.87</v>
      </c>
    </row>
    <row r="42" spans="1:47">
      <c r="A42" s="267" t="s">
        <v>1685</v>
      </c>
      <c r="B42" s="238" t="s">
        <v>1704</v>
      </c>
      <c r="C42" s="266">
        <v>0</v>
      </c>
      <c r="D42" s="266">
        <v>0</v>
      </c>
      <c r="E42" s="266">
        <v>0</v>
      </c>
      <c r="F42" s="266">
        <v>0</v>
      </c>
      <c r="G42" s="266">
        <v>0</v>
      </c>
      <c r="H42" s="266">
        <v>0</v>
      </c>
      <c r="I42" s="266">
        <v>0</v>
      </c>
      <c r="J42" s="266">
        <v>0</v>
      </c>
      <c r="K42" s="266">
        <v>0</v>
      </c>
      <c r="L42" s="266">
        <v>0</v>
      </c>
      <c r="M42" s="266">
        <v>0</v>
      </c>
      <c r="N42" s="266">
        <v>487556.37</v>
      </c>
      <c r="O42" s="123">
        <v>0.08</v>
      </c>
      <c r="P42" s="123">
        <v>7.0000000000000007E-2</v>
      </c>
      <c r="Q42" s="266">
        <v>0</v>
      </c>
      <c r="R42" s="266">
        <v>0</v>
      </c>
      <c r="S42" s="266">
        <v>0</v>
      </c>
      <c r="T42" s="266">
        <v>0</v>
      </c>
      <c r="U42" s="266">
        <v>0</v>
      </c>
      <c r="V42" s="266">
        <v>0</v>
      </c>
      <c r="W42" s="266">
        <v>0</v>
      </c>
      <c r="X42" s="266">
        <v>0</v>
      </c>
      <c r="Y42" s="266">
        <v>0</v>
      </c>
      <c r="Z42" s="266">
        <v>0</v>
      </c>
      <c r="AA42" s="266">
        <v>0</v>
      </c>
      <c r="AB42" s="266">
        <v>0</v>
      </c>
      <c r="AC42" s="266">
        <v>0</v>
      </c>
      <c r="AD42" s="266">
        <v>149048.26</v>
      </c>
      <c r="AE42" s="237">
        <v>17.36</v>
      </c>
      <c r="AF42" s="266">
        <v>141076.75</v>
      </c>
      <c r="AG42" s="237">
        <f t="shared" si="43"/>
        <v>8126.5408986175116</v>
      </c>
      <c r="AH42" s="237">
        <f t="shared" si="44"/>
        <v>8585.7292626728122</v>
      </c>
      <c r="AI42" s="237">
        <f t="shared" si="45"/>
        <v>459.18836405530055</v>
      </c>
      <c r="AJ42" s="237">
        <v>0</v>
      </c>
      <c r="AK42" s="266">
        <v>0</v>
      </c>
      <c r="AL42" s="237">
        <f t="shared" si="46"/>
        <v>0</v>
      </c>
      <c r="AM42" s="237">
        <f t="shared" si="47"/>
        <v>0</v>
      </c>
      <c r="AN42" s="237">
        <f t="shared" si="48"/>
        <v>0</v>
      </c>
      <c r="AO42" s="266">
        <v>0</v>
      </c>
      <c r="AP42" s="266">
        <v>0</v>
      </c>
      <c r="AQ42" s="266">
        <v>0</v>
      </c>
      <c r="AR42" s="266">
        <v>0</v>
      </c>
      <c r="AS42" s="358">
        <v>0</v>
      </c>
      <c r="AT42" s="371">
        <v>17014.509999999998</v>
      </c>
      <c r="AU42" s="373">
        <v>30316.399999999998</v>
      </c>
    </row>
    <row r="43" spans="1:47">
      <c r="A43" s="238" t="s">
        <v>337</v>
      </c>
      <c r="B43" s="238" t="s">
        <v>1306</v>
      </c>
      <c r="C43" s="266">
        <v>0</v>
      </c>
      <c r="D43" s="266">
        <v>0</v>
      </c>
      <c r="E43" s="266">
        <v>21992.22</v>
      </c>
      <c r="F43" s="266">
        <v>3405.18</v>
      </c>
      <c r="G43" s="266">
        <v>1299810.76</v>
      </c>
      <c r="H43" s="266">
        <v>287612.74</v>
      </c>
      <c r="I43" s="266">
        <v>70600.59</v>
      </c>
      <c r="J43" s="266">
        <v>160062.6</v>
      </c>
      <c r="K43" s="266">
        <v>275130.65999999997</v>
      </c>
      <c r="L43" s="266">
        <v>14467.59</v>
      </c>
      <c r="M43" s="266">
        <v>24130.57</v>
      </c>
      <c r="N43" s="266">
        <v>875331.41</v>
      </c>
      <c r="O43" s="123">
        <v>5.5599999999999997E-2</v>
      </c>
      <c r="P43" s="123">
        <v>0.24310000000000001</v>
      </c>
      <c r="Q43" s="266">
        <v>0</v>
      </c>
      <c r="R43" s="266">
        <v>0</v>
      </c>
      <c r="S43" s="266">
        <v>0</v>
      </c>
      <c r="T43" s="266">
        <v>0</v>
      </c>
      <c r="U43" s="266">
        <v>0</v>
      </c>
      <c r="V43" s="266">
        <v>0</v>
      </c>
      <c r="W43" s="266">
        <v>0</v>
      </c>
      <c r="X43" s="266">
        <v>0</v>
      </c>
      <c r="Y43" s="266">
        <v>0</v>
      </c>
      <c r="Z43" s="266">
        <v>916.65</v>
      </c>
      <c r="AA43" s="266">
        <v>0</v>
      </c>
      <c r="AB43" s="266">
        <v>0</v>
      </c>
      <c r="AC43" s="266">
        <v>0</v>
      </c>
      <c r="AD43" s="266">
        <v>244398.32</v>
      </c>
      <c r="AE43" s="237">
        <v>26.04</v>
      </c>
      <c r="AF43" s="266">
        <v>220115.38</v>
      </c>
      <c r="AG43" s="237">
        <f t="shared" si="43"/>
        <v>8452.9715821812606</v>
      </c>
      <c r="AH43" s="237">
        <f t="shared" si="44"/>
        <v>9385.4961597542242</v>
      </c>
      <c r="AI43" s="237">
        <f t="shared" si="45"/>
        <v>932.52457757296361</v>
      </c>
      <c r="AJ43" s="237">
        <v>0</v>
      </c>
      <c r="AK43" s="266">
        <v>0</v>
      </c>
      <c r="AL43" s="237">
        <f t="shared" si="46"/>
        <v>0</v>
      </c>
      <c r="AM43" s="237">
        <f t="shared" si="47"/>
        <v>0</v>
      </c>
      <c r="AN43" s="237">
        <f t="shared" si="48"/>
        <v>0</v>
      </c>
      <c r="AO43" s="266">
        <v>0</v>
      </c>
      <c r="AP43" s="266">
        <v>0</v>
      </c>
      <c r="AQ43" s="266">
        <v>0</v>
      </c>
      <c r="AR43" s="266">
        <v>0</v>
      </c>
      <c r="AS43" s="358">
        <v>83540.759999999995</v>
      </c>
      <c r="AT43" s="371">
        <v>27286.76</v>
      </c>
      <c r="AU43" s="373">
        <v>56431.49</v>
      </c>
    </row>
    <row r="44" spans="1:47">
      <c r="A44" s="238" t="s">
        <v>175</v>
      </c>
      <c r="B44" s="238" t="s">
        <v>1307</v>
      </c>
      <c r="C44" s="266">
        <v>0</v>
      </c>
      <c r="D44" s="266">
        <v>0</v>
      </c>
      <c r="E44" s="266">
        <v>0</v>
      </c>
      <c r="F44" s="266">
        <v>0</v>
      </c>
      <c r="G44" s="266">
        <v>3258382.58</v>
      </c>
      <c r="H44" s="266">
        <v>716762.56</v>
      </c>
      <c r="I44" s="266">
        <v>313883.87</v>
      </c>
      <c r="J44" s="266">
        <v>393932.73</v>
      </c>
      <c r="K44" s="266">
        <v>902992.97</v>
      </c>
      <c r="L44" s="266">
        <v>33113.99</v>
      </c>
      <c r="M44" s="266">
        <v>71060.509999999995</v>
      </c>
      <c r="N44" s="266">
        <v>1013545.39</v>
      </c>
      <c r="O44" s="123">
        <v>6.3E-2</v>
      </c>
      <c r="P44" s="123">
        <v>0.2001</v>
      </c>
      <c r="Q44" s="266">
        <v>0</v>
      </c>
      <c r="R44" s="266">
        <v>0</v>
      </c>
      <c r="S44" s="266">
        <v>0</v>
      </c>
      <c r="T44" s="266">
        <v>0</v>
      </c>
      <c r="U44" s="266">
        <v>0</v>
      </c>
      <c r="V44" s="266">
        <v>0</v>
      </c>
      <c r="W44" s="266">
        <v>0</v>
      </c>
      <c r="X44" s="266">
        <v>0</v>
      </c>
      <c r="Y44" s="266">
        <v>0</v>
      </c>
      <c r="Z44" s="266">
        <v>1200.98</v>
      </c>
      <c r="AA44" s="266">
        <v>0</v>
      </c>
      <c r="AB44" s="266">
        <v>0</v>
      </c>
      <c r="AC44" s="266">
        <v>0</v>
      </c>
      <c r="AD44" s="266">
        <v>1334323.29</v>
      </c>
      <c r="AE44" s="237">
        <v>159.43</v>
      </c>
      <c r="AF44" s="266">
        <v>1244092.81</v>
      </c>
      <c r="AG44" s="237">
        <f t="shared" si="43"/>
        <v>7803.3796023333125</v>
      </c>
      <c r="AH44" s="237">
        <f t="shared" si="44"/>
        <v>8369.3363231512267</v>
      </c>
      <c r="AI44" s="237">
        <f t="shared" si="45"/>
        <v>565.95672081791417</v>
      </c>
      <c r="AJ44" s="237">
        <v>0</v>
      </c>
      <c r="AK44" s="266">
        <v>0</v>
      </c>
      <c r="AL44" s="237">
        <f t="shared" si="46"/>
        <v>0</v>
      </c>
      <c r="AM44" s="237">
        <f t="shared" si="47"/>
        <v>0</v>
      </c>
      <c r="AN44" s="237">
        <f t="shared" si="48"/>
        <v>0</v>
      </c>
      <c r="AO44" s="266">
        <v>200</v>
      </c>
      <c r="AP44" s="266">
        <v>0</v>
      </c>
      <c r="AQ44" s="266">
        <v>0</v>
      </c>
      <c r="AR44" s="266">
        <v>0</v>
      </c>
      <c r="AS44" s="358">
        <v>8554.32</v>
      </c>
      <c r="AT44" s="371">
        <v>0</v>
      </c>
      <c r="AU44" s="373">
        <v>157801.41</v>
      </c>
    </row>
    <row r="45" spans="1:47">
      <c r="A45" s="238" t="s">
        <v>397</v>
      </c>
      <c r="B45" s="238" t="s">
        <v>1308</v>
      </c>
      <c r="C45" s="266">
        <v>0</v>
      </c>
      <c r="D45" s="266">
        <v>0</v>
      </c>
      <c r="E45" s="266">
        <v>19951.080000000002</v>
      </c>
      <c r="F45" s="266">
        <v>0</v>
      </c>
      <c r="G45" s="266">
        <v>1152707.57</v>
      </c>
      <c r="H45" s="266">
        <v>201671.08</v>
      </c>
      <c r="I45" s="266">
        <v>23169.45</v>
      </c>
      <c r="J45" s="266">
        <v>7535.27</v>
      </c>
      <c r="K45" s="266">
        <v>214898.4</v>
      </c>
      <c r="L45" s="266">
        <v>27033.73</v>
      </c>
      <c r="M45" s="266">
        <v>24799.65</v>
      </c>
      <c r="N45" s="266">
        <v>545268.26</v>
      </c>
      <c r="O45" s="123">
        <v>0.1041</v>
      </c>
      <c r="P45" s="123">
        <v>0.23180000000000001</v>
      </c>
      <c r="Q45" s="266">
        <v>0</v>
      </c>
      <c r="R45" s="266">
        <v>0</v>
      </c>
      <c r="S45" s="266">
        <v>0</v>
      </c>
      <c r="T45" s="266">
        <v>0</v>
      </c>
      <c r="U45" s="266">
        <v>0</v>
      </c>
      <c r="V45" s="266">
        <v>0</v>
      </c>
      <c r="W45" s="266">
        <v>0</v>
      </c>
      <c r="X45" s="266">
        <v>0</v>
      </c>
      <c r="Y45" s="266">
        <v>0</v>
      </c>
      <c r="Z45" s="266">
        <v>1037.4100000000001</v>
      </c>
      <c r="AA45" s="266">
        <v>0</v>
      </c>
      <c r="AB45" s="266">
        <v>7738.08</v>
      </c>
      <c r="AC45" s="266">
        <v>34889.089999999997</v>
      </c>
      <c r="AD45" s="266">
        <v>445589.08</v>
      </c>
      <c r="AE45" s="237">
        <v>54.07</v>
      </c>
      <c r="AF45" s="266">
        <v>421861.97</v>
      </c>
      <c r="AG45" s="237">
        <f t="shared" si="43"/>
        <v>7802.1448122803768</v>
      </c>
      <c r="AH45" s="237">
        <f t="shared" si="44"/>
        <v>8240.9668947660448</v>
      </c>
      <c r="AI45" s="237">
        <f t="shared" si="45"/>
        <v>438.82208248566803</v>
      </c>
      <c r="AJ45" s="237">
        <v>4.2300000000000004</v>
      </c>
      <c r="AK45" s="266">
        <v>31938.55</v>
      </c>
      <c r="AL45" s="237">
        <f t="shared" si="46"/>
        <v>7550.4846335697393</v>
      </c>
      <c r="AM45" s="237">
        <f t="shared" si="47"/>
        <v>8248.0118203309685</v>
      </c>
      <c r="AN45" s="237">
        <f t="shared" si="48"/>
        <v>697.52718676122913</v>
      </c>
      <c r="AO45" s="266">
        <v>106818.37</v>
      </c>
      <c r="AP45" s="266">
        <v>50000</v>
      </c>
      <c r="AQ45" s="266">
        <v>0</v>
      </c>
      <c r="AR45" s="266">
        <v>0</v>
      </c>
      <c r="AS45" s="358">
        <v>23419.86</v>
      </c>
      <c r="AT45" s="371">
        <v>4361.7200000000012</v>
      </c>
      <c r="AU45" s="373">
        <v>53411.73</v>
      </c>
    </row>
    <row r="46" spans="1:47">
      <c r="A46" s="238" t="s">
        <v>524</v>
      </c>
      <c r="B46" s="238" t="s">
        <v>1309</v>
      </c>
      <c r="C46" s="266">
        <v>0</v>
      </c>
      <c r="D46" s="266">
        <v>0</v>
      </c>
      <c r="E46" s="266">
        <v>222119.69</v>
      </c>
      <c r="F46" s="266">
        <v>0</v>
      </c>
      <c r="G46" s="266">
        <v>19611483.460000001</v>
      </c>
      <c r="H46" s="266">
        <v>4954829.5</v>
      </c>
      <c r="I46" s="266">
        <v>1978452.89</v>
      </c>
      <c r="J46" s="266">
        <v>2842717.59</v>
      </c>
      <c r="K46" s="266">
        <v>5121810.22</v>
      </c>
      <c r="L46" s="266">
        <v>2547558.31</v>
      </c>
      <c r="M46" s="266">
        <v>362868.08</v>
      </c>
      <c r="N46" s="266">
        <v>6269929.0099999998</v>
      </c>
      <c r="O46" s="123">
        <v>4.9799999999999997E-2</v>
      </c>
      <c r="P46" s="123">
        <v>0.1658</v>
      </c>
      <c r="Q46" s="266">
        <v>0</v>
      </c>
      <c r="R46" s="266">
        <v>0</v>
      </c>
      <c r="S46" s="266">
        <v>0</v>
      </c>
      <c r="T46" s="266">
        <v>132019.03</v>
      </c>
      <c r="U46" s="266">
        <v>12084.900000000023</v>
      </c>
      <c r="V46" s="266">
        <v>5405.1</v>
      </c>
      <c r="W46" s="266">
        <v>1771844.31</v>
      </c>
      <c r="X46" s="266">
        <v>72558.740000000005</v>
      </c>
      <c r="Y46" s="266">
        <v>127329.04999999974</v>
      </c>
      <c r="Z46" s="266">
        <v>15128.58</v>
      </c>
      <c r="AA46" s="266">
        <v>91979.66</v>
      </c>
      <c r="AB46" s="266">
        <v>283979.46000000002</v>
      </c>
      <c r="AC46" s="266">
        <v>1080807.53</v>
      </c>
      <c r="AD46" s="266">
        <v>4700276.0199999996</v>
      </c>
      <c r="AE46" s="237">
        <v>542.25</v>
      </c>
      <c r="AF46" s="266">
        <v>4407867.28</v>
      </c>
      <c r="AG46" s="237">
        <f t="shared" si="43"/>
        <v>8128.8469893960355</v>
      </c>
      <c r="AH46" s="237">
        <f t="shared" si="44"/>
        <v>8668.0977777777771</v>
      </c>
      <c r="AI46" s="237">
        <f t="shared" si="45"/>
        <v>539.25078838174159</v>
      </c>
      <c r="AJ46" s="237">
        <v>125.98</v>
      </c>
      <c r="AK46" s="266">
        <v>990036.91</v>
      </c>
      <c r="AL46" s="237">
        <f t="shared" si="46"/>
        <v>7858.6832036831247</v>
      </c>
      <c r="AM46" s="237">
        <f t="shared" si="47"/>
        <v>8579.1993173519604</v>
      </c>
      <c r="AN46" s="237">
        <f t="shared" si="48"/>
        <v>720.51611366883571</v>
      </c>
      <c r="AO46" s="266">
        <v>0</v>
      </c>
      <c r="AP46" s="266">
        <v>20000</v>
      </c>
      <c r="AQ46" s="266">
        <v>0</v>
      </c>
      <c r="AR46" s="266">
        <v>0</v>
      </c>
      <c r="AS46" s="358">
        <v>483964.99</v>
      </c>
      <c r="AT46" s="371">
        <v>0</v>
      </c>
      <c r="AU46" s="373">
        <v>891396.82</v>
      </c>
    </row>
    <row r="47" spans="1:47">
      <c r="A47" s="238" t="s">
        <v>696</v>
      </c>
      <c r="B47" s="238" t="s">
        <v>1310</v>
      </c>
      <c r="C47" s="266">
        <v>53574.69</v>
      </c>
      <c r="D47" s="266">
        <v>0</v>
      </c>
      <c r="E47" s="266">
        <v>9618.6200000000008</v>
      </c>
      <c r="F47" s="266">
        <v>0</v>
      </c>
      <c r="G47" s="266">
        <v>656023.89</v>
      </c>
      <c r="H47" s="266">
        <v>130292.26</v>
      </c>
      <c r="I47" s="266">
        <v>16047.26</v>
      </c>
      <c r="J47" s="266">
        <v>0</v>
      </c>
      <c r="K47" s="266">
        <v>102823.11</v>
      </c>
      <c r="L47" s="266">
        <v>0</v>
      </c>
      <c r="M47" s="266">
        <v>15070.55</v>
      </c>
      <c r="N47" s="266">
        <v>514909.18</v>
      </c>
      <c r="O47" s="123">
        <v>4.02E-2</v>
      </c>
      <c r="P47" s="123">
        <v>0.26300000000000001</v>
      </c>
      <c r="Q47" s="266">
        <v>0</v>
      </c>
      <c r="R47" s="266">
        <v>0</v>
      </c>
      <c r="S47" s="266">
        <v>0</v>
      </c>
      <c r="T47" s="266">
        <v>0</v>
      </c>
      <c r="U47" s="266">
        <v>0</v>
      </c>
      <c r="V47" s="266">
        <v>0</v>
      </c>
      <c r="W47" s="266">
        <v>0</v>
      </c>
      <c r="X47" s="266">
        <v>0</v>
      </c>
      <c r="Y47" s="266">
        <v>0</v>
      </c>
      <c r="Z47" s="266">
        <v>0</v>
      </c>
      <c r="AA47" s="266">
        <v>3214.08</v>
      </c>
      <c r="AB47" s="266">
        <v>0</v>
      </c>
      <c r="AC47" s="266">
        <v>26173.87</v>
      </c>
      <c r="AD47" s="266">
        <v>442511.04</v>
      </c>
      <c r="AE47" s="237">
        <v>53.42</v>
      </c>
      <c r="AF47" s="266">
        <v>416820.58</v>
      </c>
      <c r="AG47" s="237">
        <f t="shared" si="43"/>
        <v>7802.7064769749159</v>
      </c>
      <c r="AH47" s="237">
        <f t="shared" si="44"/>
        <v>8283.6211156870086</v>
      </c>
      <c r="AI47" s="237">
        <f t="shared" si="45"/>
        <v>480.91463871209271</v>
      </c>
      <c r="AJ47" s="237">
        <v>3.19</v>
      </c>
      <c r="AK47" s="266">
        <v>24010.43</v>
      </c>
      <c r="AL47" s="237">
        <f t="shared" si="46"/>
        <v>7526.780564263323</v>
      </c>
      <c r="AM47" s="237">
        <f t="shared" si="47"/>
        <v>8204.9749216300934</v>
      </c>
      <c r="AN47" s="237">
        <f t="shared" si="48"/>
        <v>678.19435736677042</v>
      </c>
      <c r="AO47" s="266">
        <v>0</v>
      </c>
      <c r="AP47" s="266">
        <v>0</v>
      </c>
      <c r="AQ47" s="266">
        <v>0</v>
      </c>
      <c r="AR47" s="266">
        <v>0</v>
      </c>
      <c r="AS47" s="358">
        <v>14837.38</v>
      </c>
      <c r="AT47" s="371">
        <v>4751.7000000000044</v>
      </c>
      <c r="AU47" s="373">
        <v>35094.47</v>
      </c>
    </row>
    <row r="48" spans="1:47">
      <c r="A48" s="238" t="s">
        <v>665</v>
      </c>
      <c r="B48" s="238" t="s">
        <v>1311</v>
      </c>
      <c r="C48" s="266">
        <v>0</v>
      </c>
      <c r="D48" s="266">
        <v>0</v>
      </c>
      <c r="E48" s="266">
        <v>41914.49</v>
      </c>
      <c r="F48" s="266">
        <v>27058</v>
      </c>
      <c r="G48" s="266">
        <v>1835960.22</v>
      </c>
      <c r="H48" s="266">
        <v>439744.15</v>
      </c>
      <c r="I48" s="266">
        <v>174717.67</v>
      </c>
      <c r="J48" s="266">
        <v>283955.86</v>
      </c>
      <c r="K48" s="266">
        <v>501906.52</v>
      </c>
      <c r="L48" s="266">
        <v>445635.64</v>
      </c>
      <c r="M48" s="266">
        <v>43685.51</v>
      </c>
      <c r="N48" s="266">
        <v>458702.01</v>
      </c>
      <c r="O48" s="123">
        <v>3.2800000000000003E-2</v>
      </c>
      <c r="P48" s="123">
        <v>0.188</v>
      </c>
      <c r="Q48" s="266">
        <v>0</v>
      </c>
      <c r="R48" s="266">
        <v>0</v>
      </c>
      <c r="S48" s="266">
        <v>0</v>
      </c>
      <c r="T48" s="266">
        <v>0</v>
      </c>
      <c r="U48" s="266">
        <v>0</v>
      </c>
      <c r="V48" s="266">
        <v>0</v>
      </c>
      <c r="W48" s="266">
        <v>0</v>
      </c>
      <c r="X48" s="266">
        <v>0</v>
      </c>
      <c r="Y48" s="266">
        <v>0</v>
      </c>
      <c r="Z48" s="266">
        <v>0</v>
      </c>
      <c r="AA48" s="266">
        <v>0</v>
      </c>
      <c r="AB48" s="266">
        <v>77423.89</v>
      </c>
      <c r="AC48" s="266">
        <v>0</v>
      </c>
      <c r="AD48" s="266">
        <v>1162579.8600000001</v>
      </c>
      <c r="AE48" s="237">
        <v>137.03</v>
      </c>
      <c r="AF48" s="266">
        <v>1069328.03</v>
      </c>
      <c r="AG48" s="237">
        <f t="shared" si="43"/>
        <v>7803.6052689192147</v>
      </c>
      <c r="AH48" s="237">
        <f t="shared" si="44"/>
        <v>8484.1265416332189</v>
      </c>
      <c r="AI48" s="237">
        <f t="shared" si="45"/>
        <v>680.52127271400423</v>
      </c>
      <c r="AJ48" s="237">
        <v>0</v>
      </c>
      <c r="AK48" s="266">
        <v>0</v>
      </c>
      <c r="AL48" s="237">
        <f t="shared" si="46"/>
        <v>0</v>
      </c>
      <c r="AM48" s="237">
        <f t="shared" si="47"/>
        <v>0</v>
      </c>
      <c r="AN48" s="237">
        <f t="shared" si="48"/>
        <v>0</v>
      </c>
      <c r="AO48" s="266">
        <v>0</v>
      </c>
      <c r="AP48" s="266">
        <v>0</v>
      </c>
      <c r="AQ48" s="266">
        <v>0</v>
      </c>
      <c r="AR48" s="266">
        <v>0</v>
      </c>
      <c r="AS48" s="358">
        <v>56015.1</v>
      </c>
      <c r="AT48" s="371">
        <v>11897.199999999997</v>
      </c>
      <c r="AU48" s="373">
        <v>102199.89</v>
      </c>
    </row>
    <row r="49" spans="1:47">
      <c r="A49" s="238" t="s">
        <v>704</v>
      </c>
      <c r="B49" s="238" t="s">
        <v>1312</v>
      </c>
      <c r="C49" s="266">
        <v>21277.68</v>
      </c>
      <c r="D49" s="266">
        <v>0</v>
      </c>
      <c r="E49" s="266">
        <v>2006.77</v>
      </c>
      <c r="F49" s="266">
        <v>0</v>
      </c>
      <c r="G49" s="266">
        <v>252444.33</v>
      </c>
      <c r="H49" s="266">
        <v>15935.65</v>
      </c>
      <c r="I49" s="266">
        <v>10046.11</v>
      </c>
      <c r="J49" s="266">
        <v>0</v>
      </c>
      <c r="K49" s="266">
        <v>26450.71</v>
      </c>
      <c r="L49" s="266">
        <v>0</v>
      </c>
      <c r="M49" s="266">
        <v>0</v>
      </c>
      <c r="N49" s="266">
        <v>166587.31</v>
      </c>
      <c r="O49" s="123">
        <v>3.1099999999999999E-2</v>
      </c>
      <c r="P49" s="123">
        <v>0.23319999999999999</v>
      </c>
      <c r="Q49" s="266">
        <v>0</v>
      </c>
      <c r="R49" s="266">
        <v>0</v>
      </c>
      <c r="S49" s="266">
        <v>0</v>
      </c>
      <c r="T49" s="266">
        <v>0</v>
      </c>
      <c r="U49" s="266">
        <v>0</v>
      </c>
      <c r="V49" s="266">
        <v>0</v>
      </c>
      <c r="W49" s="266">
        <v>0</v>
      </c>
      <c r="X49" s="266">
        <v>0</v>
      </c>
      <c r="Y49" s="266">
        <v>0</v>
      </c>
      <c r="Z49" s="266">
        <v>0</v>
      </c>
      <c r="AA49" s="266">
        <v>0</v>
      </c>
      <c r="AB49" s="266">
        <v>0</v>
      </c>
      <c r="AC49" s="266">
        <v>0</v>
      </c>
      <c r="AD49" s="266">
        <v>77045.289999999994</v>
      </c>
      <c r="AE49" s="237">
        <v>9.17</v>
      </c>
      <c r="AF49" s="266">
        <v>73062.03</v>
      </c>
      <c r="AG49" s="237">
        <f t="shared" si="43"/>
        <v>7967.5059978189747</v>
      </c>
      <c r="AH49" s="237">
        <f t="shared" si="44"/>
        <v>8401.8854961832058</v>
      </c>
      <c r="AI49" s="237">
        <f t="shared" si="45"/>
        <v>434.37949836423104</v>
      </c>
      <c r="AJ49" s="237">
        <v>0</v>
      </c>
      <c r="AK49" s="266">
        <v>0</v>
      </c>
      <c r="AL49" s="237">
        <f t="shared" si="46"/>
        <v>0</v>
      </c>
      <c r="AM49" s="237">
        <f t="shared" si="47"/>
        <v>0</v>
      </c>
      <c r="AN49" s="237">
        <f t="shared" si="48"/>
        <v>0</v>
      </c>
      <c r="AO49" s="266">
        <v>0</v>
      </c>
      <c r="AP49" s="266">
        <v>0</v>
      </c>
      <c r="AQ49" s="266">
        <v>0</v>
      </c>
      <c r="AR49" s="266">
        <v>0</v>
      </c>
      <c r="AS49" s="358">
        <v>6607.12</v>
      </c>
      <c r="AT49" s="371">
        <v>984.3700000000008</v>
      </c>
      <c r="AU49" s="373">
        <v>17459</v>
      </c>
    </row>
    <row r="50" spans="1:47">
      <c r="A50" s="238" t="s">
        <v>636</v>
      </c>
      <c r="B50" s="238" t="s">
        <v>1313</v>
      </c>
      <c r="C50" s="266">
        <v>0</v>
      </c>
      <c r="D50" s="266">
        <v>0</v>
      </c>
      <c r="E50" s="266">
        <v>0</v>
      </c>
      <c r="F50" s="266">
        <v>0</v>
      </c>
      <c r="G50" s="266">
        <v>116954.22</v>
      </c>
      <c r="H50" s="266">
        <v>23115.1</v>
      </c>
      <c r="I50" s="266">
        <v>0</v>
      </c>
      <c r="J50" s="266">
        <v>35482.559999999998</v>
      </c>
      <c r="K50" s="266">
        <v>61808.32</v>
      </c>
      <c r="L50" s="266">
        <v>0</v>
      </c>
      <c r="M50" s="266">
        <v>2861.49</v>
      </c>
      <c r="N50" s="266">
        <v>197289.33</v>
      </c>
      <c r="O50" s="123">
        <v>3.39E-2</v>
      </c>
      <c r="P50" s="123">
        <v>0.23250000000000001</v>
      </c>
      <c r="Q50" s="266">
        <v>0</v>
      </c>
      <c r="R50" s="266">
        <v>0</v>
      </c>
      <c r="S50" s="266">
        <v>0</v>
      </c>
      <c r="T50" s="266">
        <v>0</v>
      </c>
      <c r="U50" s="266">
        <v>0</v>
      </c>
      <c r="V50" s="266">
        <v>0</v>
      </c>
      <c r="W50" s="266">
        <v>0</v>
      </c>
      <c r="X50" s="266">
        <v>0</v>
      </c>
      <c r="Y50" s="266">
        <v>0</v>
      </c>
      <c r="Z50" s="266">
        <v>117.46</v>
      </c>
      <c r="AA50" s="266">
        <v>0</v>
      </c>
      <c r="AB50" s="266">
        <v>0</v>
      </c>
      <c r="AC50" s="266">
        <v>0</v>
      </c>
      <c r="AD50" s="266">
        <v>62826.64</v>
      </c>
      <c r="AE50" s="237">
        <v>5.96</v>
      </c>
      <c r="AF50" s="266">
        <v>46567.8</v>
      </c>
      <c r="AG50" s="237">
        <f t="shared" si="43"/>
        <v>7813.3892617449674</v>
      </c>
      <c r="AH50" s="237">
        <f t="shared" si="44"/>
        <v>10541.382550335571</v>
      </c>
      <c r="AI50" s="237">
        <f t="shared" si="45"/>
        <v>2727.9932885906037</v>
      </c>
      <c r="AJ50" s="237">
        <v>0</v>
      </c>
      <c r="AK50" s="266">
        <v>0</v>
      </c>
      <c r="AL50" s="237">
        <f t="shared" si="46"/>
        <v>0</v>
      </c>
      <c r="AM50" s="237">
        <f t="shared" si="47"/>
        <v>0</v>
      </c>
      <c r="AN50" s="237">
        <f t="shared" si="48"/>
        <v>0</v>
      </c>
      <c r="AO50" s="266">
        <v>0</v>
      </c>
      <c r="AP50" s="266">
        <v>0</v>
      </c>
      <c r="AQ50" s="266">
        <v>0</v>
      </c>
      <c r="AR50" s="266">
        <v>0</v>
      </c>
      <c r="AS50" s="358">
        <v>36074.82</v>
      </c>
      <c r="AT50" s="371">
        <v>0</v>
      </c>
      <c r="AU50" s="373">
        <v>13367.109999999999</v>
      </c>
    </row>
    <row r="51" spans="1:47">
      <c r="A51" s="238" t="s">
        <v>669</v>
      </c>
      <c r="B51" s="238" t="s">
        <v>1314</v>
      </c>
      <c r="C51" s="266">
        <v>0</v>
      </c>
      <c r="D51" s="266">
        <v>0</v>
      </c>
      <c r="E51" s="266">
        <v>19479.16</v>
      </c>
      <c r="F51" s="266">
        <v>13998.49</v>
      </c>
      <c r="G51" s="266">
        <v>1030147.74</v>
      </c>
      <c r="H51" s="266">
        <v>250791.2</v>
      </c>
      <c r="I51" s="266">
        <v>60250.51</v>
      </c>
      <c r="J51" s="266">
        <v>149525.46</v>
      </c>
      <c r="K51" s="266">
        <v>256611.36</v>
      </c>
      <c r="L51" s="266">
        <v>206456.98</v>
      </c>
      <c r="M51" s="266">
        <v>21417.18</v>
      </c>
      <c r="N51" s="266">
        <v>439765.47</v>
      </c>
      <c r="O51" s="123">
        <v>2.24E-2</v>
      </c>
      <c r="P51" s="123">
        <v>0.2253</v>
      </c>
      <c r="Q51" s="266">
        <v>0</v>
      </c>
      <c r="R51" s="266">
        <v>0</v>
      </c>
      <c r="S51" s="266">
        <v>0</v>
      </c>
      <c r="T51" s="266">
        <v>0</v>
      </c>
      <c r="U51" s="266">
        <v>0</v>
      </c>
      <c r="V51" s="266">
        <v>0</v>
      </c>
      <c r="W51" s="266">
        <v>0</v>
      </c>
      <c r="X51" s="266">
        <v>0</v>
      </c>
      <c r="Y51" s="266">
        <v>0</v>
      </c>
      <c r="Z51" s="266">
        <v>863.96</v>
      </c>
      <c r="AA51" s="266">
        <v>0</v>
      </c>
      <c r="AB51" s="266">
        <v>36553.22</v>
      </c>
      <c r="AC51" s="266">
        <v>0</v>
      </c>
      <c r="AD51" s="266">
        <v>446731.94</v>
      </c>
      <c r="AE51" s="237">
        <v>52.46</v>
      </c>
      <c r="AF51" s="266">
        <v>417461.67</v>
      </c>
      <c r="AG51" s="237">
        <f t="shared" si="43"/>
        <v>7957.7138772398011</v>
      </c>
      <c r="AH51" s="237">
        <f t="shared" si="44"/>
        <v>8515.6679374761716</v>
      </c>
      <c r="AI51" s="237">
        <f t="shared" si="45"/>
        <v>557.95406023637042</v>
      </c>
      <c r="AJ51" s="237">
        <v>0</v>
      </c>
      <c r="AK51" s="266">
        <v>0</v>
      </c>
      <c r="AL51" s="237">
        <f t="shared" si="46"/>
        <v>0</v>
      </c>
      <c r="AM51" s="237">
        <f t="shared" si="47"/>
        <v>0</v>
      </c>
      <c r="AN51" s="237">
        <f t="shared" si="48"/>
        <v>0</v>
      </c>
      <c r="AO51" s="266">
        <v>0</v>
      </c>
      <c r="AP51" s="266">
        <v>0</v>
      </c>
      <c r="AQ51" s="266">
        <v>0</v>
      </c>
      <c r="AR51" s="266">
        <v>0</v>
      </c>
      <c r="AS51" s="358">
        <v>0</v>
      </c>
      <c r="AT51" s="371">
        <v>3268.5</v>
      </c>
      <c r="AU51" s="373">
        <v>52722.74</v>
      </c>
    </row>
    <row r="52" spans="1:47">
      <c r="A52" s="238" t="s">
        <v>629</v>
      </c>
      <c r="B52" s="238" t="s">
        <v>1315</v>
      </c>
      <c r="C52" s="266">
        <v>0</v>
      </c>
      <c r="D52" s="266">
        <v>0</v>
      </c>
      <c r="E52" s="266">
        <v>0</v>
      </c>
      <c r="F52" s="266">
        <v>22774.799999999999</v>
      </c>
      <c r="G52" s="266">
        <v>2247661.7400000002</v>
      </c>
      <c r="H52" s="266">
        <v>552061.43999999994</v>
      </c>
      <c r="I52" s="266">
        <v>76717.929999999993</v>
      </c>
      <c r="J52" s="266">
        <v>365572.48</v>
      </c>
      <c r="K52" s="266">
        <v>589613.93999999994</v>
      </c>
      <c r="L52" s="266">
        <v>36006.57</v>
      </c>
      <c r="M52" s="266">
        <v>49249.64</v>
      </c>
      <c r="N52" s="266">
        <v>1556988.12</v>
      </c>
      <c r="O52" s="123">
        <v>2.2700000000000001E-2</v>
      </c>
      <c r="P52" s="123">
        <v>0.18410000000000001</v>
      </c>
      <c r="Q52" s="266">
        <v>0</v>
      </c>
      <c r="R52" s="266">
        <v>0</v>
      </c>
      <c r="S52" s="266">
        <v>0</v>
      </c>
      <c r="T52" s="266">
        <v>0</v>
      </c>
      <c r="U52" s="266">
        <v>0</v>
      </c>
      <c r="V52" s="266">
        <v>0</v>
      </c>
      <c r="W52" s="266">
        <v>0</v>
      </c>
      <c r="X52" s="266">
        <v>0</v>
      </c>
      <c r="Y52" s="266">
        <v>0</v>
      </c>
      <c r="Z52" s="266">
        <v>1932.1</v>
      </c>
      <c r="AA52" s="266">
        <v>0</v>
      </c>
      <c r="AB52" s="266">
        <v>0</v>
      </c>
      <c r="AC52" s="266">
        <v>94035.62</v>
      </c>
      <c r="AD52" s="266">
        <v>729160.72</v>
      </c>
      <c r="AE52" s="237">
        <v>78.56</v>
      </c>
      <c r="AF52" s="266">
        <v>625152.06000000006</v>
      </c>
      <c r="AG52" s="237">
        <f t="shared" si="43"/>
        <v>7957.6382382892061</v>
      </c>
      <c r="AH52" s="237">
        <f t="shared" si="44"/>
        <v>9281.5773930753567</v>
      </c>
      <c r="AI52" s="237">
        <f t="shared" si="45"/>
        <v>1323.9391547861505</v>
      </c>
      <c r="AJ52" s="237">
        <v>11.19</v>
      </c>
      <c r="AK52" s="266">
        <v>86127.83</v>
      </c>
      <c r="AL52" s="237">
        <f t="shared" si="46"/>
        <v>7696.8570151921367</v>
      </c>
      <c r="AM52" s="237">
        <f t="shared" si="47"/>
        <v>8403.5406613047362</v>
      </c>
      <c r="AN52" s="237">
        <f t="shared" si="48"/>
        <v>706.68364611259949</v>
      </c>
      <c r="AO52" s="266">
        <v>0</v>
      </c>
      <c r="AP52" s="266">
        <v>0</v>
      </c>
      <c r="AQ52" s="266">
        <v>0</v>
      </c>
      <c r="AR52" s="266">
        <v>0</v>
      </c>
      <c r="AS52" s="358">
        <v>0</v>
      </c>
      <c r="AT52" s="371">
        <v>11476.130000000012</v>
      </c>
      <c r="AU52" s="373">
        <v>112449.19</v>
      </c>
    </row>
    <row r="53" spans="1:47">
      <c r="A53" s="238" t="s">
        <v>546</v>
      </c>
      <c r="B53" s="238" t="s">
        <v>1316</v>
      </c>
      <c r="C53" s="266">
        <v>0</v>
      </c>
      <c r="D53" s="266">
        <v>0</v>
      </c>
      <c r="E53" s="266">
        <v>379.14</v>
      </c>
      <c r="F53" s="266">
        <v>10241.75</v>
      </c>
      <c r="G53" s="266">
        <v>856450.3</v>
      </c>
      <c r="H53" s="266">
        <v>167029.74</v>
      </c>
      <c r="I53" s="266">
        <v>11455.95</v>
      </c>
      <c r="J53" s="266">
        <v>154372.43</v>
      </c>
      <c r="K53" s="266">
        <v>203898.04</v>
      </c>
      <c r="L53" s="266">
        <v>0</v>
      </c>
      <c r="M53" s="266">
        <v>15489.93</v>
      </c>
      <c r="N53" s="266">
        <v>686133.57</v>
      </c>
      <c r="O53" s="123">
        <v>4.6699999999999998E-2</v>
      </c>
      <c r="P53" s="123">
        <v>0.2344</v>
      </c>
      <c r="Q53" s="266">
        <v>0</v>
      </c>
      <c r="R53" s="266">
        <v>0</v>
      </c>
      <c r="S53" s="266">
        <v>0</v>
      </c>
      <c r="T53" s="266">
        <v>0</v>
      </c>
      <c r="U53" s="266">
        <v>0</v>
      </c>
      <c r="V53" s="266">
        <v>0</v>
      </c>
      <c r="W53" s="266">
        <v>0</v>
      </c>
      <c r="X53" s="266">
        <v>0</v>
      </c>
      <c r="Y53" s="266">
        <v>0</v>
      </c>
      <c r="Z53" s="266">
        <v>0</v>
      </c>
      <c r="AA53" s="266">
        <v>1820.27</v>
      </c>
      <c r="AB53" s="266">
        <v>0</v>
      </c>
      <c r="AC53" s="266">
        <v>67301.710000000006</v>
      </c>
      <c r="AD53" s="266">
        <v>335225.92</v>
      </c>
      <c r="AE53" s="237">
        <v>36.89</v>
      </c>
      <c r="AF53" s="266">
        <v>311894.8</v>
      </c>
      <c r="AG53" s="237">
        <f t="shared" si="43"/>
        <v>8454.7248576850088</v>
      </c>
      <c r="AH53" s="237">
        <f t="shared" si="44"/>
        <v>9087.1759284358905</v>
      </c>
      <c r="AI53" s="237">
        <f t="shared" si="45"/>
        <v>632.45107075088163</v>
      </c>
      <c r="AJ53" s="237">
        <v>7.56</v>
      </c>
      <c r="AK53" s="266">
        <v>61947.35</v>
      </c>
      <c r="AL53" s="237">
        <f t="shared" si="46"/>
        <v>8194.0939153439158</v>
      </c>
      <c r="AM53" s="237">
        <f t="shared" si="47"/>
        <v>8902.3425925925931</v>
      </c>
      <c r="AN53" s="237">
        <f t="shared" si="48"/>
        <v>708.24867724867727</v>
      </c>
      <c r="AO53" s="266">
        <v>3391.93</v>
      </c>
      <c r="AP53" s="266">
        <v>0</v>
      </c>
      <c r="AQ53" s="266">
        <v>0</v>
      </c>
      <c r="AR53" s="266">
        <v>0</v>
      </c>
      <c r="AS53" s="358">
        <v>98562.240000000005</v>
      </c>
      <c r="AT53" s="371">
        <v>1378.5099999999984</v>
      </c>
      <c r="AU53" s="373">
        <v>40776.15</v>
      </c>
    </row>
    <row r="54" spans="1:47">
      <c r="A54" s="238" t="s">
        <v>555</v>
      </c>
      <c r="B54" s="238" t="s">
        <v>1317</v>
      </c>
      <c r="C54" s="266">
        <v>0</v>
      </c>
      <c r="D54" s="266">
        <v>0</v>
      </c>
      <c r="E54" s="266">
        <v>0</v>
      </c>
      <c r="F54" s="266">
        <v>0</v>
      </c>
      <c r="G54" s="266">
        <v>592236.97</v>
      </c>
      <c r="H54" s="266">
        <v>60727.42</v>
      </c>
      <c r="I54" s="266">
        <v>8254.1299999999992</v>
      </c>
      <c r="J54" s="266">
        <v>0</v>
      </c>
      <c r="K54" s="266">
        <v>58038.91</v>
      </c>
      <c r="L54" s="266">
        <v>50949.760000000002</v>
      </c>
      <c r="M54" s="266">
        <v>14346.7</v>
      </c>
      <c r="N54" s="266">
        <v>216571</v>
      </c>
      <c r="O54" s="123">
        <v>5.4800000000000001E-2</v>
      </c>
      <c r="P54" s="123">
        <v>0.1991</v>
      </c>
      <c r="Q54" s="266">
        <v>0</v>
      </c>
      <c r="R54" s="266">
        <v>0</v>
      </c>
      <c r="S54" s="266">
        <v>0</v>
      </c>
      <c r="T54" s="266">
        <v>0</v>
      </c>
      <c r="U54" s="266">
        <v>0</v>
      </c>
      <c r="V54" s="266">
        <v>0</v>
      </c>
      <c r="W54" s="266">
        <v>0</v>
      </c>
      <c r="X54" s="266">
        <v>0</v>
      </c>
      <c r="Y54" s="266">
        <v>0</v>
      </c>
      <c r="Z54" s="266">
        <v>536.82000000000005</v>
      </c>
      <c r="AA54" s="266">
        <v>0</v>
      </c>
      <c r="AB54" s="266">
        <v>0</v>
      </c>
      <c r="AC54" s="266">
        <v>0</v>
      </c>
      <c r="AD54" s="266">
        <v>0</v>
      </c>
      <c r="AE54" s="237">
        <v>0</v>
      </c>
      <c r="AF54" s="266">
        <v>0</v>
      </c>
      <c r="AG54" s="237">
        <f t="shared" si="43"/>
        <v>0</v>
      </c>
      <c r="AH54" s="237">
        <f t="shared" si="44"/>
        <v>0</v>
      </c>
      <c r="AI54" s="237">
        <f t="shared" si="45"/>
        <v>0</v>
      </c>
      <c r="AJ54" s="237">
        <v>0</v>
      </c>
      <c r="AK54" s="266">
        <v>0</v>
      </c>
      <c r="AL54" s="237">
        <f t="shared" si="46"/>
        <v>0</v>
      </c>
      <c r="AM54" s="237">
        <f t="shared" si="47"/>
        <v>0</v>
      </c>
      <c r="AN54" s="237">
        <f t="shared" si="48"/>
        <v>0</v>
      </c>
      <c r="AO54" s="266">
        <v>0</v>
      </c>
      <c r="AP54" s="266">
        <v>0</v>
      </c>
      <c r="AQ54" s="266">
        <v>0</v>
      </c>
      <c r="AR54" s="266">
        <v>0</v>
      </c>
      <c r="AS54" s="358">
        <v>40431.75</v>
      </c>
      <c r="AT54" s="371">
        <v>0</v>
      </c>
      <c r="AU54" s="373">
        <v>31209.13</v>
      </c>
    </row>
    <row r="55" spans="1:47">
      <c r="A55" s="238" t="s">
        <v>315</v>
      </c>
      <c r="B55" s="238" t="s">
        <v>1318</v>
      </c>
      <c r="C55" s="266">
        <v>0</v>
      </c>
      <c r="D55" s="266">
        <v>0</v>
      </c>
      <c r="E55" s="266">
        <v>0</v>
      </c>
      <c r="F55" s="266">
        <v>0</v>
      </c>
      <c r="G55" s="266">
        <v>295086.45</v>
      </c>
      <c r="H55" s="266">
        <v>45097.279999999999</v>
      </c>
      <c r="I55" s="266">
        <v>13800.51</v>
      </c>
      <c r="J55" s="266">
        <v>42540.91</v>
      </c>
      <c r="K55" s="266">
        <v>46642.41</v>
      </c>
      <c r="L55" s="266">
        <v>4490.05</v>
      </c>
      <c r="M55" s="266">
        <v>4578.41</v>
      </c>
      <c r="N55" s="266">
        <v>58339.35</v>
      </c>
      <c r="O55" s="123">
        <v>4.2700000000000002E-2</v>
      </c>
      <c r="P55" s="123">
        <v>0.24579999999999999</v>
      </c>
      <c r="Q55" s="266">
        <v>0</v>
      </c>
      <c r="R55" s="266">
        <v>0</v>
      </c>
      <c r="S55" s="266">
        <v>0</v>
      </c>
      <c r="T55" s="266">
        <v>0</v>
      </c>
      <c r="U55" s="266">
        <v>0</v>
      </c>
      <c r="V55" s="266">
        <v>0</v>
      </c>
      <c r="W55" s="266">
        <v>0</v>
      </c>
      <c r="X55" s="266">
        <v>0</v>
      </c>
      <c r="Y55" s="266">
        <v>0</v>
      </c>
      <c r="Z55" s="266">
        <v>0</v>
      </c>
      <c r="AA55" s="266">
        <v>0</v>
      </c>
      <c r="AB55" s="266">
        <v>0</v>
      </c>
      <c r="AC55" s="266">
        <v>0</v>
      </c>
      <c r="AD55" s="266">
        <v>0</v>
      </c>
      <c r="AE55" s="237">
        <v>0</v>
      </c>
      <c r="AF55" s="266">
        <v>0</v>
      </c>
      <c r="AG55" s="237">
        <f t="shared" si="43"/>
        <v>0</v>
      </c>
      <c r="AH55" s="237">
        <f t="shared" si="44"/>
        <v>0</v>
      </c>
      <c r="AI55" s="237">
        <f t="shared" si="45"/>
        <v>0</v>
      </c>
      <c r="AJ55" s="237">
        <v>0</v>
      </c>
      <c r="AK55" s="266">
        <v>0</v>
      </c>
      <c r="AL55" s="237">
        <f t="shared" si="46"/>
        <v>0</v>
      </c>
      <c r="AM55" s="237">
        <f t="shared" si="47"/>
        <v>0</v>
      </c>
      <c r="AN55" s="237">
        <f t="shared" si="48"/>
        <v>0</v>
      </c>
      <c r="AO55" s="266">
        <v>4500</v>
      </c>
      <c r="AP55" s="266">
        <v>0</v>
      </c>
      <c r="AQ55" s="266">
        <v>0</v>
      </c>
      <c r="AR55" s="266">
        <v>0</v>
      </c>
      <c r="AS55" s="358">
        <v>1263.29</v>
      </c>
      <c r="AT55" s="371">
        <v>817.57000000000062</v>
      </c>
      <c r="AU55" s="373">
        <v>12740.990000000002</v>
      </c>
    </row>
    <row r="56" spans="1:47">
      <c r="A56" s="238" t="s">
        <v>285</v>
      </c>
      <c r="B56" s="238" t="s">
        <v>1319</v>
      </c>
      <c r="C56" s="266">
        <v>0</v>
      </c>
      <c r="D56" s="266">
        <v>0</v>
      </c>
      <c r="E56" s="266">
        <v>0</v>
      </c>
      <c r="F56" s="266">
        <v>0</v>
      </c>
      <c r="G56" s="266">
        <v>218936.99</v>
      </c>
      <c r="H56" s="266">
        <v>49880.62</v>
      </c>
      <c r="I56" s="266">
        <v>24720.09</v>
      </c>
      <c r="J56" s="266">
        <v>0</v>
      </c>
      <c r="K56" s="266">
        <v>48263.92</v>
      </c>
      <c r="L56" s="266">
        <v>0</v>
      </c>
      <c r="M56" s="266">
        <v>6009.14</v>
      </c>
      <c r="N56" s="266">
        <v>300543.23</v>
      </c>
      <c r="O56" s="123">
        <v>1.78E-2</v>
      </c>
      <c r="P56" s="123">
        <v>0.192</v>
      </c>
      <c r="Q56" s="266">
        <v>0</v>
      </c>
      <c r="R56" s="266">
        <v>0</v>
      </c>
      <c r="S56" s="266">
        <v>0</v>
      </c>
      <c r="T56" s="266">
        <v>0</v>
      </c>
      <c r="U56" s="266">
        <v>0</v>
      </c>
      <c r="V56" s="266">
        <v>0</v>
      </c>
      <c r="W56" s="266">
        <v>0</v>
      </c>
      <c r="X56" s="266">
        <v>0</v>
      </c>
      <c r="Y56" s="266">
        <v>0</v>
      </c>
      <c r="Z56" s="266">
        <v>185.53</v>
      </c>
      <c r="AA56" s="266">
        <v>0</v>
      </c>
      <c r="AB56" s="266">
        <v>0</v>
      </c>
      <c r="AC56" s="266">
        <v>0</v>
      </c>
      <c r="AD56" s="266">
        <v>104391.44</v>
      </c>
      <c r="AE56" s="237">
        <v>12.25</v>
      </c>
      <c r="AF56" s="266">
        <v>95472.3</v>
      </c>
      <c r="AG56" s="237">
        <f t="shared" si="43"/>
        <v>7793.6571428571433</v>
      </c>
      <c r="AH56" s="237">
        <f t="shared" si="44"/>
        <v>8521.7502040816325</v>
      </c>
      <c r="AI56" s="237">
        <f t="shared" si="45"/>
        <v>728.09306122448925</v>
      </c>
      <c r="AJ56" s="237">
        <v>0</v>
      </c>
      <c r="AK56" s="266">
        <v>0</v>
      </c>
      <c r="AL56" s="237">
        <f t="shared" si="46"/>
        <v>0</v>
      </c>
      <c r="AM56" s="237">
        <f t="shared" si="47"/>
        <v>0</v>
      </c>
      <c r="AN56" s="237">
        <f t="shared" si="48"/>
        <v>0</v>
      </c>
      <c r="AO56" s="266">
        <v>152.68</v>
      </c>
      <c r="AP56" s="266">
        <v>0</v>
      </c>
      <c r="AQ56" s="266">
        <v>0</v>
      </c>
      <c r="AR56" s="266">
        <v>0</v>
      </c>
      <c r="AS56" s="358">
        <v>41089.03</v>
      </c>
      <c r="AT56" s="371">
        <v>2501.0199999999995</v>
      </c>
      <c r="AU56" s="373">
        <v>18133.260000000002</v>
      </c>
    </row>
    <row r="57" spans="1:47">
      <c r="A57" s="238" t="s">
        <v>327</v>
      </c>
      <c r="B57" s="238" t="s">
        <v>1320</v>
      </c>
      <c r="C57" s="266">
        <v>0</v>
      </c>
      <c r="D57" s="266">
        <v>0</v>
      </c>
      <c r="E57" s="266">
        <v>0</v>
      </c>
      <c r="F57" s="266">
        <v>0</v>
      </c>
      <c r="G57" s="266">
        <v>1610926.55</v>
      </c>
      <c r="H57" s="266">
        <v>300529.8</v>
      </c>
      <c r="I57" s="266">
        <v>103985.68</v>
      </c>
      <c r="J57" s="266">
        <v>0</v>
      </c>
      <c r="K57" s="266">
        <v>231286.2</v>
      </c>
      <c r="L57" s="266">
        <v>58197.85</v>
      </c>
      <c r="M57" s="266">
        <v>31954.02</v>
      </c>
      <c r="N57" s="266">
        <v>504860.23</v>
      </c>
      <c r="O57" s="123">
        <v>5.4300000000000001E-2</v>
      </c>
      <c r="P57" s="123">
        <v>0.25919999999999999</v>
      </c>
      <c r="Q57" s="266">
        <v>0</v>
      </c>
      <c r="R57" s="266">
        <v>0</v>
      </c>
      <c r="S57" s="266">
        <v>0</v>
      </c>
      <c r="T57" s="266">
        <v>137580.54999999999</v>
      </c>
      <c r="U57" s="266">
        <v>0</v>
      </c>
      <c r="V57" s="266">
        <v>5682.1</v>
      </c>
      <c r="W57" s="266">
        <v>0</v>
      </c>
      <c r="X57" s="266">
        <v>0</v>
      </c>
      <c r="Y57" s="266">
        <v>0</v>
      </c>
      <c r="Z57" s="266">
        <v>1148.28</v>
      </c>
      <c r="AA57" s="266">
        <v>0</v>
      </c>
      <c r="AB57" s="266">
        <v>0</v>
      </c>
      <c r="AC57" s="266">
        <v>0</v>
      </c>
      <c r="AD57" s="266">
        <v>184541.37</v>
      </c>
      <c r="AE57" s="237">
        <v>19.07</v>
      </c>
      <c r="AF57" s="266">
        <v>164183.38</v>
      </c>
      <c r="AG57" s="237">
        <f t="shared" si="43"/>
        <v>8609.5112742527526</v>
      </c>
      <c r="AH57" s="237">
        <f t="shared" si="44"/>
        <v>9677.0513896171997</v>
      </c>
      <c r="AI57" s="237">
        <f t="shared" si="45"/>
        <v>1067.540115364447</v>
      </c>
      <c r="AJ57" s="237">
        <v>0</v>
      </c>
      <c r="AK57" s="266">
        <v>0</v>
      </c>
      <c r="AL57" s="237">
        <f t="shared" si="46"/>
        <v>0</v>
      </c>
      <c r="AM57" s="237">
        <f t="shared" si="47"/>
        <v>0</v>
      </c>
      <c r="AN57" s="237">
        <f t="shared" si="48"/>
        <v>0</v>
      </c>
      <c r="AO57" s="266">
        <v>0</v>
      </c>
      <c r="AP57" s="266">
        <v>0</v>
      </c>
      <c r="AQ57" s="266">
        <v>0</v>
      </c>
      <c r="AR57" s="266">
        <v>0</v>
      </c>
      <c r="AS57" s="358">
        <v>4264.9799999999996</v>
      </c>
      <c r="AT57" s="371">
        <v>30922.139999999996</v>
      </c>
      <c r="AU57" s="373">
        <v>70205.2</v>
      </c>
    </row>
    <row r="58" spans="1:47">
      <c r="A58" s="238" t="s">
        <v>207</v>
      </c>
      <c r="B58" s="238" t="s">
        <v>1321</v>
      </c>
      <c r="C58" s="266">
        <v>0</v>
      </c>
      <c r="D58" s="266">
        <v>0</v>
      </c>
      <c r="E58" s="266">
        <v>0</v>
      </c>
      <c r="F58" s="266">
        <v>0</v>
      </c>
      <c r="G58" s="266">
        <v>324412.05</v>
      </c>
      <c r="H58" s="266">
        <v>39533.49</v>
      </c>
      <c r="I58" s="266">
        <v>8422.4500000000007</v>
      </c>
      <c r="J58" s="266">
        <v>63716</v>
      </c>
      <c r="K58" s="266">
        <v>107401.52</v>
      </c>
      <c r="L58" s="266">
        <v>0</v>
      </c>
      <c r="M58" s="266">
        <v>10110.629999999999</v>
      </c>
      <c r="N58" s="266">
        <v>109228.49</v>
      </c>
      <c r="O58" s="123">
        <v>8.6199999999999999E-2</v>
      </c>
      <c r="P58" s="123">
        <v>0.24490000000000001</v>
      </c>
      <c r="Q58" s="266">
        <v>0</v>
      </c>
      <c r="R58" s="266">
        <v>0</v>
      </c>
      <c r="S58" s="266">
        <v>0</v>
      </c>
      <c r="T58" s="266">
        <v>0</v>
      </c>
      <c r="U58" s="266">
        <v>0</v>
      </c>
      <c r="V58" s="266">
        <v>0</v>
      </c>
      <c r="W58" s="266">
        <v>0</v>
      </c>
      <c r="X58" s="266">
        <v>0</v>
      </c>
      <c r="Y58" s="266">
        <v>0</v>
      </c>
      <c r="Z58" s="266">
        <v>400.69</v>
      </c>
      <c r="AA58" s="266">
        <v>0</v>
      </c>
      <c r="AB58" s="266">
        <v>0</v>
      </c>
      <c r="AC58" s="266">
        <v>0</v>
      </c>
      <c r="AD58" s="266">
        <v>6957.69</v>
      </c>
      <c r="AE58" s="237">
        <v>0</v>
      </c>
      <c r="AF58" s="266">
        <v>0</v>
      </c>
      <c r="AG58" s="237">
        <f t="shared" si="43"/>
        <v>0</v>
      </c>
      <c r="AH58" s="237">
        <f t="shared" si="44"/>
        <v>0</v>
      </c>
      <c r="AI58" s="237">
        <f t="shared" si="45"/>
        <v>0</v>
      </c>
      <c r="AJ58" s="237">
        <v>0</v>
      </c>
      <c r="AK58" s="266">
        <v>0</v>
      </c>
      <c r="AL58" s="237">
        <f t="shared" si="46"/>
        <v>0</v>
      </c>
      <c r="AM58" s="237">
        <f t="shared" si="47"/>
        <v>0</v>
      </c>
      <c r="AN58" s="237">
        <f t="shared" si="48"/>
        <v>0</v>
      </c>
      <c r="AO58" s="266">
        <v>0</v>
      </c>
      <c r="AP58" s="266">
        <v>0</v>
      </c>
      <c r="AQ58" s="266">
        <v>0</v>
      </c>
      <c r="AR58" s="266">
        <v>0</v>
      </c>
      <c r="AS58" s="358">
        <v>6191.22</v>
      </c>
      <c r="AT58" s="371">
        <v>1793.3700000000008</v>
      </c>
      <c r="AU58" s="373">
        <v>20622.54</v>
      </c>
    </row>
    <row r="59" spans="1:47">
      <c r="A59" s="238" t="s">
        <v>451</v>
      </c>
      <c r="B59" s="238" t="s">
        <v>1322</v>
      </c>
      <c r="C59" s="266">
        <v>0</v>
      </c>
      <c r="D59" s="266">
        <v>0</v>
      </c>
      <c r="E59" s="266">
        <v>0</v>
      </c>
      <c r="F59" s="266">
        <v>0</v>
      </c>
      <c r="G59" s="266">
        <v>99818.32</v>
      </c>
      <c r="H59" s="266">
        <v>16349.79</v>
      </c>
      <c r="I59" s="266">
        <v>0</v>
      </c>
      <c r="J59" s="266">
        <v>0</v>
      </c>
      <c r="K59" s="266">
        <v>18653.68</v>
      </c>
      <c r="L59" s="266">
        <v>0</v>
      </c>
      <c r="M59" s="266">
        <v>2566.12</v>
      </c>
      <c r="N59" s="266">
        <v>528182.63</v>
      </c>
      <c r="O59" s="123">
        <v>6.9000000000000006E-2</v>
      </c>
      <c r="P59" s="123">
        <v>0.31040000000000001</v>
      </c>
      <c r="Q59" s="266">
        <v>0</v>
      </c>
      <c r="R59" s="266">
        <v>0</v>
      </c>
      <c r="S59" s="266">
        <v>0</v>
      </c>
      <c r="T59" s="266">
        <v>0</v>
      </c>
      <c r="U59" s="266">
        <v>0</v>
      </c>
      <c r="V59" s="266">
        <v>0</v>
      </c>
      <c r="W59" s="266">
        <v>0</v>
      </c>
      <c r="X59" s="266">
        <v>0</v>
      </c>
      <c r="Y59" s="266">
        <v>0</v>
      </c>
      <c r="Z59" s="266">
        <v>0</v>
      </c>
      <c r="AA59" s="266">
        <v>0</v>
      </c>
      <c r="AB59" s="266">
        <v>0</v>
      </c>
      <c r="AC59" s="266">
        <v>24632.68</v>
      </c>
      <c r="AD59" s="266">
        <v>31861.41</v>
      </c>
      <c r="AE59" s="237">
        <v>3.78</v>
      </c>
      <c r="AF59" s="266">
        <v>30096.97</v>
      </c>
      <c r="AG59" s="237">
        <f t="shared" si="43"/>
        <v>7962.161375661376</v>
      </c>
      <c r="AH59" s="237">
        <f t="shared" si="44"/>
        <v>8428.9444444444453</v>
      </c>
      <c r="AI59" s="237">
        <f t="shared" si="45"/>
        <v>466.78306878306921</v>
      </c>
      <c r="AJ59" s="237">
        <v>2.94</v>
      </c>
      <c r="AK59" s="266">
        <v>22649.16</v>
      </c>
      <c r="AL59" s="237">
        <f t="shared" si="46"/>
        <v>7703.7959183673474</v>
      </c>
      <c r="AM59" s="237">
        <f t="shared" si="47"/>
        <v>8378.4625850340144</v>
      </c>
      <c r="AN59" s="237">
        <f t="shared" si="48"/>
        <v>674.66666666666697</v>
      </c>
      <c r="AO59" s="266">
        <v>1581.24</v>
      </c>
      <c r="AP59" s="266">
        <v>0</v>
      </c>
      <c r="AQ59" s="266">
        <v>0</v>
      </c>
      <c r="AR59" s="266">
        <v>0</v>
      </c>
      <c r="AS59" s="358">
        <v>5264.24</v>
      </c>
      <c r="AT59" s="371">
        <v>0</v>
      </c>
      <c r="AU59" s="373">
        <v>12944.24</v>
      </c>
    </row>
    <row r="60" spans="1:47">
      <c r="A60" s="238" t="s">
        <v>261</v>
      </c>
      <c r="B60" s="238" t="s">
        <v>1323</v>
      </c>
      <c r="C60" s="266">
        <v>0</v>
      </c>
      <c r="D60" s="266">
        <v>0</v>
      </c>
      <c r="E60" s="266">
        <v>7752.87</v>
      </c>
      <c r="F60" s="266">
        <v>4646.49</v>
      </c>
      <c r="G60" s="266">
        <v>175163.77</v>
      </c>
      <c r="H60" s="266">
        <v>20601.12</v>
      </c>
      <c r="I60" s="266">
        <v>0</v>
      </c>
      <c r="J60" s="266">
        <v>50532.7</v>
      </c>
      <c r="K60" s="266">
        <v>82214.34</v>
      </c>
      <c r="L60" s="266">
        <v>0</v>
      </c>
      <c r="M60" s="266">
        <v>0</v>
      </c>
      <c r="N60" s="266">
        <v>0</v>
      </c>
      <c r="O60" s="123">
        <v>8.5599999999999996E-2</v>
      </c>
      <c r="P60" s="123">
        <v>0.37259999999999999</v>
      </c>
      <c r="Q60" s="266">
        <v>0</v>
      </c>
      <c r="R60" s="266">
        <v>0</v>
      </c>
      <c r="S60" s="266">
        <v>0</v>
      </c>
      <c r="T60" s="266">
        <v>0</v>
      </c>
      <c r="U60" s="266">
        <v>0</v>
      </c>
      <c r="V60" s="266">
        <v>0</v>
      </c>
      <c r="W60" s="266">
        <v>0</v>
      </c>
      <c r="X60" s="266">
        <v>0</v>
      </c>
      <c r="Y60" s="266">
        <v>0</v>
      </c>
      <c r="Z60" s="266">
        <v>231.63</v>
      </c>
      <c r="AA60" s="266">
        <v>0</v>
      </c>
      <c r="AB60" s="266">
        <v>10682.07</v>
      </c>
      <c r="AC60" s="266">
        <v>0</v>
      </c>
      <c r="AD60" s="266">
        <v>66420.509999999995</v>
      </c>
      <c r="AE60" s="237">
        <v>7.63</v>
      </c>
      <c r="AF60" s="266">
        <v>60803.89</v>
      </c>
      <c r="AG60" s="237">
        <f t="shared" si="43"/>
        <v>7969.0550458715597</v>
      </c>
      <c r="AH60" s="237">
        <f t="shared" si="44"/>
        <v>8705.1782437745733</v>
      </c>
      <c r="AI60" s="237">
        <f t="shared" si="45"/>
        <v>736.12319790301353</v>
      </c>
      <c r="AJ60" s="237">
        <v>0</v>
      </c>
      <c r="AK60" s="266">
        <v>0</v>
      </c>
      <c r="AL60" s="237">
        <f t="shared" si="46"/>
        <v>0</v>
      </c>
      <c r="AM60" s="237">
        <f t="shared" si="47"/>
        <v>0</v>
      </c>
      <c r="AN60" s="237">
        <f t="shared" si="48"/>
        <v>0</v>
      </c>
      <c r="AO60" s="266">
        <v>1428.16</v>
      </c>
      <c r="AP60" s="266">
        <v>0</v>
      </c>
      <c r="AQ60" s="266">
        <v>0</v>
      </c>
      <c r="AR60" s="266">
        <v>0</v>
      </c>
      <c r="AS60" s="358">
        <v>0</v>
      </c>
      <c r="AT60" s="371">
        <v>0</v>
      </c>
      <c r="AU60" s="373">
        <v>17428.8</v>
      </c>
    </row>
    <row r="61" spans="1:47">
      <c r="A61" s="238" t="s">
        <v>504</v>
      </c>
      <c r="B61" s="238" t="s">
        <v>1324</v>
      </c>
      <c r="C61" s="266">
        <v>0</v>
      </c>
      <c r="D61" s="266">
        <v>0</v>
      </c>
      <c r="E61" s="266">
        <v>0</v>
      </c>
      <c r="F61" s="266">
        <v>0</v>
      </c>
      <c r="G61" s="266">
        <v>301108.84000000003</v>
      </c>
      <c r="H61" s="266">
        <v>59736.75</v>
      </c>
      <c r="I61" s="266">
        <v>0</v>
      </c>
      <c r="J61" s="266">
        <v>57134.559999999998</v>
      </c>
      <c r="K61" s="266">
        <v>78977.3</v>
      </c>
      <c r="L61" s="266">
        <v>0</v>
      </c>
      <c r="M61" s="266">
        <v>6867.6</v>
      </c>
      <c r="N61" s="266">
        <v>215486.04</v>
      </c>
      <c r="O61" s="123">
        <v>4.8000000000000001E-2</v>
      </c>
      <c r="P61" s="123">
        <v>0.27160000000000001</v>
      </c>
      <c r="Q61" s="266">
        <v>0</v>
      </c>
      <c r="R61" s="266">
        <v>0</v>
      </c>
      <c r="S61" s="266">
        <v>0</v>
      </c>
      <c r="T61" s="266">
        <v>0</v>
      </c>
      <c r="U61" s="266">
        <v>0</v>
      </c>
      <c r="V61" s="266">
        <v>0</v>
      </c>
      <c r="W61" s="266">
        <v>0</v>
      </c>
      <c r="X61" s="266">
        <v>0</v>
      </c>
      <c r="Y61" s="266">
        <v>0</v>
      </c>
      <c r="Z61" s="266">
        <v>0</v>
      </c>
      <c r="AA61" s="266">
        <v>0</v>
      </c>
      <c r="AB61" s="266">
        <v>0</v>
      </c>
      <c r="AC61" s="266">
        <v>0</v>
      </c>
      <c r="AD61" s="266">
        <v>55373.07</v>
      </c>
      <c r="AE61" s="237">
        <v>6.62</v>
      </c>
      <c r="AF61" s="266">
        <v>51641.64</v>
      </c>
      <c r="AG61" s="237">
        <f t="shared" si="43"/>
        <v>7800.8519637462232</v>
      </c>
      <c r="AH61" s="237">
        <f t="shared" si="44"/>
        <v>8364.5120845921447</v>
      </c>
      <c r="AI61" s="237">
        <f t="shared" si="45"/>
        <v>563.66012084592148</v>
      </c>
      <c r="AJ61" s="237">
        <v>0</v>
      </c>
      <c r="AK61" s="266">
        <v>0</v>
      </c>
      <c r="AL61" s="237">
        <f t="shared" si="46"/>
        <v>0</v>
      </c>
      <c r="AM61" s="237">
        <f t="shared" si="47"/>
        <v>0</v>
      </c>
      <c r="AN61" s="237">
        <f t="shared" si="48"/>
        <v>0</v>
      </c>
      <c r="AO61" s="266">
        <v>0</v>
      </c>
      <c r="AP61" s="266">
        <v>0</v>
      </c>
      <c r="AQ61" s="266">
        <v>0</v>
      </c>
      <c r="AR61" s="266">
        <v>0</v>
      </c>
      <c r="AS61" s="358">
        <v>0</v>
      </c>
      <c r="AT61" s="371">
        <v>1933.5899999999992</v>
      </c>
      <c r="AU61" s="373">
        <v>19250.04</v>
      </c>
    </row>
    <row r="62" spans="1:47">
      <c r="A62" s="238" t="s">
        <v>387</v>
      </c>
      <c r="B62" s="238" t="s">
        <v>1325</v>
      </c>
      <c r="C62" s="266">
        <v>0</v>
      </c>
      <c r="D62" s="266">
        <v>0</v>
      </c>
      <c r="E62" s="266">
        <v>0</v>
      </c>
      <c r="F62" s="266">
        <v>0</v>
      </c>
      <c r="G62" s="266">
        <v>27725.08</v>
      </c>
      <c r="H62" s="266">
        <v>1741.5</v>
      </c>
      <c r="I62" s="266">
        <v>0</v>
      </c>
      <c r="J62" s="266">
        <v>0</v>
      </c>
      <c r="K62" s="266">
        <v>0</v>
      </c>
      <c r="L62" s="266">
        <v>0</v>
      </c>
      <c r="M62" s="266">
        <v>0</v>
      </c>
      <c r="N62" s="266">
        <v>0</v>
      </c>
      <c r="O62" s="123">
        <v>1.46E-2</v>
      </c>
      <c r="P62" s="123">
        <v>0.28270000000000001</v>
      </c>
      <c r="Q62" s="266">
        <v>0</v>
      </c>
      <c r="R62" s="266">
        <v>0</v>
      </c>
      <c r="S62" s="266">
        <v>0</v>
      </c>
      <c r="T62" s="266">
        <v>0</v>
      </c>
      <c r="U62" s="266">
        <v>0</v>
      </c>
      <c r="V62" s="266">
        <v>0</v>
      </c>
      <c r="W62" s="266">
        <v>0</v>
      </c>
      <c r="X62" s="266">
        <v>0</v>
      </c>
      <c r="Y62" s="266">
        <v>0</v>
      </c>
      <c r="Z62" s="266">
        <v>40.619999999999997</v>
      </c>
      <c r="AA62" s="266">
        <v>0</v>
      </c>
      <c r="AB62" s="266">
        <v>0</v>
      </c>
      <c r="AC62" s="266">
        <v>0</v>
      </c>
      <c r="AD62" s="266">
        <v>0</v>
      </c>
      <c r="AE62" s="237">
        <v>0</v>
      </c>
      <c r="AF62" s="266">
        <v>0</v>
      </c>
      <c r="AG62" s="237">
        <f t="shared" si="43"/>
        <v>0</v>
      </c>
      <c r="AH62" s="237">
        <f t="shared" si="44"/>
        <v>0</v>
      </c>
      <c r="AI62" s="237">
        <f t="shared" si="45"/>
        <v>0</v>
      </c>
      <c r="AJ62" s="237">
        <v>0</v>
      </c>
      <c r="AK62" s="266">
        <v>0</v>
      </c>
      <c r="AL62" s="237">
        <f t="shared" si="46"/>
        <v>0</v>
      </c>
      <c r="AM62" s="237">
        <f t="shared" si="47"/>
        <v>0</v>
      </c>
      <c r="AN62" s="237">
        <f t="shared" si="48"/>
        <v>0</v>
      </c>
      <c r="AO62" s="266">
        <v>0</v>
      </c>
      <c r="AP62" s="266">
        <v>0</v>
      </c>
      <c r="AQ62" s="266">
        <v>0</v>
      </c>
      <c r="AR62" s="266">
        <v>0</v>
      </c>
      <c r="AS62" s="358">
        <v>0</v>
      </c>
      <c r="AT62" s="371">
        <v>714.06000000000017</v>
      </c>
      <c r="AU62" s="373">
        <v>2696</v>
      </c>
    </row>
    <row r="63" spans="1:47">
      <c r="A63" s="238" t="s">
        <v>589</v>
      </c>
      <c r="B63" s="238" t="s">
        <v>1326</v>
      </c>
      <c r="C63" s="266">
        <v>0</v>
      </c>
      <c r="D63" s="266">
        <v>0</v>
      </c>
      <c r="E63" s="266">
        <v>3663.19</v>
      </c>
      <c r="F63" s="266">
        <v>0</v>
      </c>
      <c r="G63" s="266">
        <v>545601.92000000004</v>
      </c>
      <c r="H63" s="266">
        <v>138518.37</v>
      </c>
      <c r="I63" s="266">
        <v>30323.360000000001</v>
      </c>
      <c r="J63" s="266">
        <v>84720.42</v>
      </c>
      <c r="K63" s="266">
        <v>129504.23</v>
      </c>
      <c r="L63" s="266">
        <v>3410.22</v>
      </c>
      <c r="M63" s="266">
        <v>12644.85</v>
      </c>
      <c r="N63" s="266">
        <v>288795.81</v>
      </c>
      <c r="O63" s="123">
        <v>4.3400000000000001E-2</v>
      </c>
      <c r="P63" s="123">
        <v>0.2034</v>
      </c>
      <c r="Q63" s="266">
        <v>0</v>
      </c>
      <c r="R63" s="266">
        <v>0</v>
      </c>
      <c r="S63" s="266">
        <v>0</v>
      </c>
      <c r="T63" s="266">
        <v>0</v>
      </c>
      <c r="U63" s="266">
        <v>0</v>
      </c>
      <c r="V63" s="266">
        <v>0</v>
      </c>
      <c r="W63" s="266">
        <v>0</v>
      </c>
      <c r="X63" s="266">
        <v>0</v>
      </c>
      <c r="Y63" s="266">
        <v>0</v>
      </c>
      <c r="Z63" s="266">
        <v>498.39</v>
      </c>
      <c r="AA63" s="266">
        <v>0</v>
      </c>
      <c r="AB63" s="266">
        <v>912.51</v>
      </c>
      <c r="AC63" s="266">
        <v>0</v>
      </c>
      <c r="AD63" s="266">
        <v>221798.82</v>
      </c>
      <c r="AE63" s="237">
        <v>24.61</v>
      </c>
      <c r="AF63" s="266">
        <v>207975.77</v>
      </c>
      <c r="AG63" s="237">
        <f t="shared" si="43"/>
        <v>8450.8642828118645</v>
      </c>
      <c r="AH63" s="237">
        <f t="shared" si="44"/>
        <v>9012.5485574969534</v>
      </c>
      <c r="AI63" s="237">
        <f t="shared" si="45"/>
        <v>561.68427468508889</v>
      </c>
      <c r="AJ63" s="237">
        <v>0</v>
      </c>
      <c r="AK63" s="266">
        <v>0</v>
      </c>
      <c r="AL63" s="237">
        <f t="shared" si="46"/>
        <v>0</v>
      </c>
      <c r="AM63" s="237">
        <f t="shared" si="47"/>
        <v>0</v>
      </c>
      <c r="AN63" s="237">
        <f t="shared" si="48"/>
        <v>0</v>
      </c>
      <c r="AO63" s="266">
        <v>0</v>
      </c>
      <c r="AP63" s="266">
        <v>0</v>
      </c>
      <c r="AQ63" s="266">
        <v>0</v>
      </c>
      <c r="AR63" s="266">
        <v>0</v>
      </c>
      <c r="AS63" s="358">
        <v>26951.84</v>
      </c>
      <c r="AT63" s="371">
        <v>1681.08</v>
      </c>
      <c r="AU63" s="373">
        <v>32328.100000000002</v>
      </c>
    </row>
    <row r="64" spans="1:47">
      <c r="A64" s="238" t="s">
        <v>459</v>
      </c>
      <c r="B64" s="238" t="s">
        <v>1327</v>
      </c>
      <c r="C64" s="266">
        <v>17479.099999999999</v>
      </c>
      <c r="D64" s="266">
        <v>0</v>
      </c>
      <c r="E64" s="266">
        <v>0</v>
      </c>
      <c r="F64" s="266">
        <v>0</v>
      </c>
      <c r="G64" s="266">
        <v>625591.9</v>
      </c>
      <c r="H64" s="266">
        <v>105011.35</v>
      </c>
      <c r="I64" s="266">
        <v>28953.19</v>
      </c>
      <c r="J64" s="266">
        <v>153757.76999999999</v>
      </c>
      <c r="K64" s="266">
        <v>184566.54</v>
      </c>
      <c r="L64" s="266">
        <v>0</v>
      </c>
      <c r="M64" s="266">
        <v>15261.32</v>
      </c>
      <c r="N64" s="266">
        <v>374825.6</v>
      </c>
      <c r="O64" s="123">
        <v>3.3300000000000003E-2</v>
      </c>
      <c r="P64" s="123">
        <v>0.2273</v>
      </c>
      <c r="Q64" s="266">
        <v>0</v>
      </c>
      <c r="R64" s="266">
        <v>0</v>
      </c>
      <c r="S64" s="266">
        <v>0</v>
      </c>
      <c r="T64" s="266">
        <v>0</v>
      </c>
      <c r="U64" s="266">
        <v>0</v>
      </c>
      <c r="V64" s="266">
        <v>0</v>
      </c>
      <c r="W64" s="266">
        <v>0</v>
      </c>
      <c r="X64" s="266">
        <v>0</v>
      </c>
      <c r="Y64" s="266">
        <v>0</v>
      </c>
      <c r="Z64" s="266">
        <v>0</v>
      </c>
      <c r="AA64" s="266">
        <v>8571.91</v>
      </c>
      <c r="AB64" s="266">
        <v>0</v>
      </c>
      <c r="AC64" s="266">
        <v>162348.73000000001</v>
      </c>
      <c r="AD64" s="266">
        <v>507267.91</v>
      </c>
      <c r="AE64" s="237">
        <v>61.54</v>
      </c>
      <c r="AF64" s="266">
        <v>480249.48</v>
      </c>
      <c r="AG64" s="237">
        <f t="shared" si="43"/>
        <v>7803.8589535261617</v>
      </c>
      <c r="AH64" s="237">
        <f t="shared" si="44"/>
        <v>8242.8974650633736</v>
      </c>
      <c r="AI64" s="237">
        <f t="shared" si="45"/>
        <v>439.03851153721189</v>
      </c>
      <c r="AJ64" s="237">
        <v>19.72</v>
      </c>
      <c r="AK64" s="266">
        <v>148625.16</v>
      </c>
      <c r="AL64" s="237">
        <f t="shared" si="46"/>
        <v>7536.7728194726169</v>
      </c>
      <c r="AM64" s="237">
        <f t="shared" si="47"/>
        <v>8232.6942190669379</v>
      </c>
      <c r="AN64" s="237">
        <f t="shared" si="48"/>
        <v>695.92139959432097</v>
      </c>
      <c r="AO64" s="266">
        <v>0</v>
      </c>
      <c r="AP64" s="266">
        <v>0</v>
      </c>
      <c r="AQ64" s="266">
        <v>0</v>
      </c>
      <c r="AR64" s="266">
        <v>0</v>
      </c>
      <c r="AS64" s="358">
        <v>0</v>
      </c>
      <c r="AT64" s="371">
        <v>10465.559999999998</v>
      </c>
      <c r="AU64" s="373">
        <v>37829.229999999996</v>
      </c>
    </row>
    <row r="65" spans="1:47">
      <c r="A65" s="238" t="s">
        <v>231</v>
      </c>
      <c r="B65" s="238" t="s">
        <v>1328</v>
      </c>
      <c r="C65" s="266">
        <v>0</v>
      </c>
      <c r="D65" s="266">
        <v>0</v>
      </c>
      <c r="E65" s="266">
        <v>0</v>
      </c>
      <c r="F65" s="266">
        <v>0</v>
      </c>
      <c r="G65" s="266">
        <v>0</v>
      </c>
      <c r="H65" s="266">
        <v>0</v>
      </c>
      <c r="I65" s="266">
        <v>0</v>
      </c>
      <c r="J65" s="266">
        <v>50934.65</v>
      </c>
      <c r="K65" s="266">
        <v>125142.78</v>
      </c>
      <c r="L65" s="266">
        <v>2338.5700000000002</v>
      </c>
      <c r="M65" s="266">
        <v>10873.69</v>
      </c>
      <c r="N65" s="266">
        <v>248579.6</v>
      </c>
      <c r="O65" s="123">
        <v>5.4800000000000001E-2</v>
      </c>
      <c r="P65" s="123">
        <v>0.24010000000000001</v>
      </c>
      <c r="Q65" s="266">
        <v>0</v>
      </c>
      <c r="R65" s="266">
        <v>0</v>
      </c>
      <c r="S65" s="266">
        <v>0</v>
      </c>
      <c r="T65" s="266">
        <v>0</v>
      </c>
      <c r="U65" s="266">
        <v>0</v>
      </c>
      <c r="V65" s="266">
        <v>0</v>
      </c>
      <c r="W65" s="266">
        <v>0</v>
      </c>
      <c r="X65" s="266">
        <v>0</v>
      </c>
      <c r="Y65" s="266">
        <v>0</v>
      </c>
      <c r="Z65" s="266">
        <v>0</v>
      </c>
      <c r="AA65" s="266">
        <v>0</v>
      </c>
      <c r="AB65" s="266">
        <v>0</v>
      </c>
      <c r="AC65" s="266">
        <v>37386.51</v>
      </c>
      <c r="AD65" s="266">
        <v>286909.65999999997</v>
      </c>
      <c r="AE65" s="237">
        <v>34.450000000000003</v>
      </c>
      <c r="AF65" s="266">
        <v>268855.42</v>
      </c>
      <c r="AG65" s="237">
        <f t="shared" si="43"/>
        <v>7804.2211901306227</v>
      </c>
      <c r="AH65" s="237">
        <f t="shared" si="44"/>
        <v>8328.2920174165447</v>
      </c>
      <c r="AI65" s="237">
        <f t="shared" si="45"/>
        <v>524.07082728592195</v>
      </c>
      <c r="AJ65" s="237">
        <v>4.55</v>
      </c>
      <c r="AK65" s="266">
        <v>34203.67</v>
      </c>
      <c r="AL65" s="237">
        <f t="shared" si="46"/>
        <v>7517.2901098901102</v>
      </c>
      <c r="AM65" s="237">
        <f t="shared" si="47"/>
        <v>8216.8153846153855</v>
      </c>
      <c r="AN65" s="237">
        <f t="shared" si="48"/>
        <v>699.52527472527527</v>
      </c>
      <c r="AO65" s="266">
        <v>3051.89</v>
      </c>
      <c r="AP65" s="266">
        <v>0</v>
      </c>
      <c r="AQ65" s="266">
        <v>0</v>
      </c>
      <c r="AR65" s="266">
        <v>0</v>
      </c>
      <c r="AS65" s="358">
        <v>22026.03</v>
      </c>
      <c r="AT65" s="371">
        <v>0</v>
      </c>
      <c r="AU65" s="373">
        <v>25597.329999999998</v>
      </c>
    </row>
    <row r="66" spans="1:47">
      <c r="A66" s="238" t="s">
        <v>617</v>
      </c>
      <c r="B66" s="238" t="s">
        <v>1329</v>
      </c>
      <c r="C66" s="266">
        <v>0</v>
      </c>
      <c r="D66" s="266">
        <v>0</v>
      </c>
      <c r="E66" s="266">
        <v>65470.720000000001</v>
      </c>
      <c r="F66" s="266">
        <v>29483.99</v>
      </c>
      <c r="G66" s="266">
        <v>2742221.43</v>
      </c>
      <c r="H66" s="266">
        <v>661436.07999999996</v>
      </c>
      <c r="I66" s="266">
        <v>115040.39</v>
      </c>
      <c r="J66" s="266">
        <v>386111.3</v>
      </c>
      <c r="K66" s="266">
        <v>719284.9</v>
      </c>
      <c r="L66" s="266">
        <v>31897.93</v>
      </c>
      <c r="M66" s="266">
        <v>69438.98</v>
      </c>
      <c r="N66" s="266">
        <v>1409262.02</v>
      </c>
      <c r="O66" s="123">
        <v>4.87E-2</v>
      </c>
      <c r="P66" s="123">
        <v>0.17810000000000001</v>
      </c>
      <c r="Q66" s="266">
        <v>0</v>
      </c>
      <c r="R66" s="266">
        <v>0</v>
      </c>
      <c r="S66" s="266">
        <v>0</v>
      </c>
      <c r="T66" s="266">
        <v>0</v>
      </c>
      <c r="U66" s="266">
        <v>0</v>
      </c>
      <c r="V66" s="266">
        <v>0</v>
      </c>
      <c r="W66" s="266">
        <v>0</v>
      </c>
      <c r="X66" s="266">
        <v>0</v>
      </c>
      <c r="Y66" s="266">
        <v>0</v>
      </c>
      <c r="Z66" s="266">
        <v>2921.21</v>
      </c>
      <c r="AA66" s="266">
        <v>0</v>
      </c>
      <c r="AB66" s="266">
        <v>96816.61</v>
      </c>
      <c r="AC66" s="266">
        <v>0</v>
      </c>
      <c r="AD66" s="266">
        <v>1027750.74</v>
      </c>
      <c r="AE66" s="237">
        <v>119.47</v>
      </c>
      <c r="AF66" s="266">
        <v>932212.08</v>
      </c>
      <c r="AG66" s="237">
        <f t="shared" si="43"/>
        <v>7802.8967941742694</v>
      </c>
      <c r="AH66" s="237">
        <f t="shared" si="44"/>
        <v>8602.5842470913194</v>
      </c>
      <c r="AI66" s="237">
        <f t="shared" si="45"/>
        <v>799.68745291705</v>
      </c>
      <c r="AJ66" s="237">
        <v>0</v>
      </c>
      <c r="AK66" s="266">
        <v>0</v>
      </c>
      <c r="AL66" s="237">
        <f t="shared" si="46"/>
        <v>0</v>
      </c>
      <c r="AM66" s="237">
        <f t="shared" si="47"/>
        <v>0</v>
      </c>
      <c r="AN66" s="237">
        <f t="shared" si="48"/>
        <v>0</v>
      </c>
      <c r="AO66" s="266">
        <v>0</v>
      </c>
      <c r="AP66" s="266">
        <v>0</v>
      </c>
      <c r="AQ66" s="266">
        <v>0</v>
      </c>
      <c r="AR66" s="266">
        <v>0</v>
      </c>
      <c r="AS66" s="358">
        <v>197502.07999999999</v>
      </c>
      <c r="AT66" s="371">
        <v>18066.010000000002</v>
      </c>
      <c r="AU66" s="373">
        <v>129530.28</v>
      </c>
    </row>
    <row r="67" spans="1:47">
      <c r="A67" s="238" t="s">
        <v>520</v>
      </c>
      <c r="B67" s="238" t="s">
        <v>1330</v>
      </c>
      <c r="C67" s="266">
        <v>0</v>
      </c>
      <c r="D67" s="266">
        <v>0</v>
      </c>
      <c r="E67" s="266">
        <v>0</v>
      </c>
      <c r="F67" s="266">
        <v>0</v>
      </c>
      <c r="G67" s="266">
        <v>1992999.26</v>
      </c>
      <c r="H67" s="266">
        <v>316942.21000000002</v>
      </c>
      <c r="I67" s="266">
        <v>148412.93</v>
      </c>
      <c r="J67" s="266">
        <v>0</v>
      </c>
      <c r="K67" s="266">
        <v>137054.46</v>
      </c>
      <c r="L67" s="266">
        <v>145174.85</v>
      </c>
      <c r="M67" s="266">
        <v>47713.63</v>
      </c>
      <c r="N67" s="266">
        <v>1173673.17</v>
      </c>
      <c r="O67" s="123">
        <v>8.3500000000000005E-2</v>
      </c>
      <c r="P67" s="123">
        <v>0.20910000000000001</v>
      </c>
      <c r="Q67" s="266">
        <v>0</v>
      </c>
      <c r="R67" s="266">
        <v>0</v>
      </c>
      <c r="S67" s="266">
        <v>0</v>
      </c>
      <c r="T67" s="266">
        <v>0</v>
      </c>
      <c r="U67" s="266">
        <v>0</v>
      </c>
      <c r="V67" s="266">
        <v>0</v>
      </c>
      <c r="W67" s="266">
        <v>0</v>
      </c>
      <c r="X67" s="266">
        <v>0</v>
      </c>
      <c r="Y67" s="266">
        <v>0</v>
      </c>
      <c r="Z67" s="266">
        <v>1725.72</v>
      </c>
      <c r="AA67" s="266">
        <v>0</v>
      </c>
      <c r="AB67" s="266">
        <v>0</v>
      </c>
      <c r="AC67" s="266">
        <v>254599.88</v>
      </c>
      <c r="AD67" s="266">
        <v>0</v>
      </c>
      <c r="AE67" s="237">
        <v>0</v>
      </c>
      <c r="AF67" s="266">
        <v>0</v>
      </c>
      <c r="AG67" s="237">
        <f t="shared" si="43"/>
        <v>0</v>
      </c>
      <c r="AH67" s="237">
        <f t="shared" si="44"/>
        <v>0</v>
      </c>
      <c r="AI67" s="237">
        <f t="shared" si="45"/>
        <v>0</v>
      </c>
      <c r="AJ67" s="237">
        <v>27.97</v>
      </c>
      <c r="AK67" s="266">
        <v>233069.87</v>
      </c>
      <c r="AL67" s="237">
        <f t="shared" si="46"/>
        <v>8332.8519842688602</v>
      </c>
      <c r="AM67" s="237">
        <f t="shared" si="47"/>
        <v>9102.6056489095463</v>
      </c>
      <c r="AN67" s="237">
        <f t="shared" si="48"/>
        <v>769.75366464068611</v>
      </c>
      <c r="AO67" s="266">
        <v>0</v>
      </c>
      <c r="AP67" s="266">
        <v>0</v>
      </c>
      <c r="AQ67" s="266">
        <v>0</v>
      </c>
      <c r="AR67" s="266">
        <v>0</v>
      </c>
      <c r="AS67" s="358">
        <v>199119.27</v>
      </c>
      <c r="AT67" s="371">
        <v>50242.570000000007</v>
      </c>
      <c r="AU67" s="373">
        <v>108904.68000000001</v>
      </c>
    </row>
    <row r="68" spans="1:47">
      <c r="A68" s="238" t="s">
        <v>661</v>
      </c>
      <c r="B68" s="238" t="s">
        <v>1331</v>
      </c>
      <c r="C68" s="266">
        <v>0</v>
      </c>
      <c r="D68" s="266">
        <v>0</v>
      </c>
      <c r="E68" s="266">
        <v>0</v>
      </c>
      <c r="F68" s="266">
        <v>0</v>
      </c>
      <c r="G68" s="266">
        <v>0</v>
      </c>
      <c r="H68" s="266">
        <v>0</v>
      </c>
      <c r="I68" s="266">
        <v>0</v>
      </c>
      <c r="J68" s="266">
        <v>4006.09</v>
      </c>
      <c r="K68" s="266">
        <v>8679.8799999999992</v>
      </c>
      <c r="L68" s="266">
        <v>0</v>
      </c>
      <c r="M68" s="266">
        <v>0</v>
      </c>
      <c r="N68" s="266">
        <v>93165.88</v>
      </c>
      <c r="O68" s="123">
        <v>0.19570000000000001</v>
      </c>
      <c r="P68" s="123">
        <v>0.50239999999999996</v>
      </c>
      <c r="Q68" s="266">
        <v>0</v>
      </c>
      <c r="R68" s="266">
        <v>0</v>
      </c>
      <c r="S68" s="266">
        <v>0</v>
      </c>
      <c r="T68" s="266">
        <v>0</v>
      </c>
      <c r="U68" s="266">
        <v>0</v>
      </c>
      <c r="V68" s="266">
        <v>0</v>
      </c>
      <c r="W68" s="266">
        <v>0</v>
      </c>
      <c r="X68" s="266">
        <v>0</v>
      </c>
      <c r="Y68" s="266">
        <v>0</v>
      </c>
      <c r="Z68" s="266">
        <v>18.66</v>
      </c>
      <c r="AA68" s="266">
        <v>0</v>
      </c>
      <c r="AB68" s="266">
        <v>0</v>
      </c>
      <c r="AC68" s="266">
        <v>0</v>
      </c>
      <c r="AD68" s="266">
        <v>0</v>
      </c>
      <c r="AE68" s="237">
        <v>0</v>
      </c>
      <c r="AF68" s="266">
        <v>0</v>
      </c>
      <c r="AG68" s="237">
        <f t="shared" si="43"/>
        <v>0</v>
      </c>
      <c r="AH68" s="237">
        <f t="shared" si="44"/>
        <v>0</v>
      </c>
      <c r="AI68" s="237">
        <f t="shared" si="45"/>
        <v>0</v>
      </c>
      <c r="AJ68" s="237">
        <v>0</v>
      </c>
      <c r="AK68" s="266">
        <v>0</v>
      </c>
      <c r="AL68" s="237">
        <f t="shared" si="46"/>
        <v>0</v>
      </c>
      <c r="AM68" s="237">
        <f t="shared" si="47"/>
        <v>0</v>
      </c>
      <c r="AN68" s="237">
        <f t="shared" si="48"/>
        <v>0</v>
      </c>
      <c r="AO68" s="266">
        <v>0</v>
      </c>
      <c r="AP68" s="266">
        <v>0</v>
      </c>
      <c r="AQ68" s="266">
        <v>0</v>
      </c>
      <c r="AR68" s="266">
        <v>0</v>
      </c>
      <c r="AS68" s="358">
        <v>12788.11</v>
      </c>
      <c r="AT68" s="371">
        <v>68.2199999999998</v>
      </c>
      <c r="AU68" s="373">
        <v>2121.89</v>
      </c>
    </row>
    <row r="69" spans="1:47">
      <c r="A69" s="238" t="s">
        <v>613</v>
      </c>
      <c r="B69" s="238" t="s">
        <v>1332</v>
      </c>
      <c r="C69" s="266">
        <v>0</v>
      </c>
      <c r="D69" s="266">
        <v>0</v>
      </c>
      <c r="E69" s="266">
        <v>0</v>
      </c>
      <c r="F69" s="266">
        <v>38046.080000000002</v>
      </c>
      <c r="G69" s="266">
        <v>5194122.79</v>
      </c>
      <c r="H69" s="266">
        <v>1310524.8999999999</v>
      </c>
      <c r="I69" s="266">
        <v>556468.21</v>
      </c>
      <c r="J69" s="266">
        <v>630671.76</v>
      </c>
      <c r="K69" s="266">
        <v>1378496.48</v>
      </c>
      <c r="L69" s="266">
        <v>183517.32</v>
      </c>
      <c r="M69" s="266">
        <v>112316.8</v>
      </c>
      <c r="N69" s="266">
        <v>2473123.52</v>
      </c>
      <c r="O69" s="123">
        <v>3.2399999999999998E-2</v>
      </c>
      <c r="P69" s="123">
        <v>0.17100000000000001</v>
      </c>
      <c r="Q69" s="266">
        <v>0</v>
      </c>
      <c r="R69" s="266">
        <v>0</v>
      </c>
      <c r="S69" s="266">
        <v>0</v>
      </c>
      <c r="T69" s="266">
        <v>0</v>
      </c>
      <c r="U69" s="266">
        <v>0</v>
      </c>
      <c r="V69" s="266">
        <v>0</v>
      </c>
      <c r="W69" s="266">
        <v>0</v>
      </c>
      <c r="X69" s="266">
        <v>0</v>
      </c>
      <c r="Y69" s="266">
        <v>0</v>
      </c>
      <c r="Z69" s="266">
        <v>4672.18</v>
      </c>
      <c r="AA69" s="266">
        <v>31228.33</v>
      </c>
      <c r="AB69" s="266">
        <v>0</v>
      </c>
      <c r="AC69" s="266">
        <v>488438.43</v>
      </c>
      <c r="AD69" s="266">
        <v>2399760.7599999998</v>
      </c>
      <c r="AE69" s="237">
        <v>276.10000000000002</v>
      </c>
      <c r="AF69" s="266">
        <v>2197504.6800000002</v>
      </c>
      <c r="AG69" s="237">
        <f t="shared" si="43"/>
        <v>7959.0897500905467</v>
      </c>
      <c r="AH69" s="237">
        <f t="shared" si="44"/>
        <v>8691.6362187613177</v>
      </c>
      <c r="AI69" s="237">
        <f t="shared" si="45"/>
        <v>732.54646867077099</v>
      </c>
      <c r="AJ69" s="237">
        <v>58.12</v>
      </c>
      <c r="AK69" s="266">
        <v>447027.57</v>
      </c>
      <c r="AL69" s="237">
        <f t="shared" si="46"/>
        <v>7691.4585340674475</v>
      </c>
      <c r="AM69" s="237">
        <f t="shared" si="47"/>
        <v>8403.9647281486577</v>
      </c>
      <c r="AN69" s="237">
        <f t="shared" si="48"/>
        <v>712.5061940812102</v>
      </c>
      <c r="AO69" s="266">
        <v>0</v>
      </c>
      <c r="AP69" s="266">
        <v>0</v>
      </c>
      <c r="AQ69" s="266">
        <v>0</v>
      </c>
      <c r="AR69" s="266">
        <v>0</v>
      </c>
      <c r="AS69" s="358">
        <v>253089.81</v>
      </c>
      <c r="AT69" s="371">
        <v>18394.209999999992</v>
      </c>
      <c r="AU69" s="373">
        <v>249792.84000000003</v>
      </c>
    </row>
    <row r="70" spans="1:47">
      <c r="A70" s="238" t="s">
        <v>720</v>
      </c>
      <c r="B70" s="238" t="s">
        <v>1333</v>
      </c>
      <c r="C70" s="266">
        <v>0</v>
      </c>
      <c r="D70" s="266">
        <v>0</v>
      </c>
      <c r="E70" s="266">
        <v>0</v>
      </c>
      <c r="F70" s="266">
        <v>0</v>
      </c>
      <c r="G70" s="266">
        <v>3715014.52</v>
      </c>
      <c r="H70" s="266">
        <v>884146.09</v>
      </c>
      <c r="I70" s="266">
        <v>312922.73</v>
      </c>
      <c r="J70" s="266">
        <v>893550.04</v>
      </c>
      <c r="K70" s="266">
        <v>1106826.94</v>
      </c>
      <c r="L70" s="266">
        <v>550777.23</v>
      </c>
      <c r="M70" s="266">
        <v>88134.1</v>
      </c>
      <c r="N70" s="266">
        <v>1741929.13</v>
      </c>
      <c r="O70" s="123">
        <v>5.2299999999999999E-2</v>
      </c>
      <c r="P70" s="123">
        <v>0.1668</v>
      </c>
      <c r="Q70" s="266">
        <v>0</v>
      </c>
      <c r="R70" s="266">
        <v>0</v>
      </c>
      <c r="S70" s="266">
        <v>0</v>
      </c>
      <c r="T70" s="266">
        <v>0</v>
      </c>
      <c r="U70" s="266">
        <v>0</v>
      </c>
      <c r="V70" s="266">
        <v>0</v>
      </c>
      <c r="W70" s="266">
        <v>0</v>
      </c>
      <c r="X70" s="266">
        <v>0</v>
      </c>
      <c r="Y70" s="266">
        <v>0</v>
      </c>
      <c r="Z70" s="266">
        <v>3634.77</v>
      </c>
      <c r="AA70" s="266">
        <v>3838.72</v>
      </c>
      <c r="AB70" s="266">
        <v>189.26</v>
      </c>
      <c r="AC70" s="266">
        <v>164252.76999999999</v>
      </c>
      <c r="AD70" s="266">
        <v>1232557.46</v>
      </c>
      <c r="AE70" s="237">
        <v>144.12</v>
      </c>
      <c r="AF70" s="266">
        <v>1124808.27</v>
      </c>
      <c r="AG70" s="237">
        <f t="shared" si="43"/>
        <v>7804.6646544546211</v>
      </c>
      <c r="AH70" s="237">
        <f t="shared" si="44"/>
        <v>8552.2998889814044</v>
      </c>
      <c r="AI70" s="237">
        <f t="shared" si="45"/>
        <v>747.63523452678328</v>
      </c>
      <c r="AJ70" s="237">
        <v>19.98</v>
      </c>
      <c r="AK70" s="266">
        <v>150471.24</v>
      </c>
      <c r="AL70" s="237">
        <f t="shared" si="46"/>
        <v>7531.0930930930926</v>
      </c>
      <c r="AM70" s="237">
        <f t="shared" si="47"/>
        <v>8220.8593593593578</v>
      </c>
      <c r="AN70" s="237">
        <f t="shared" si="48"/>
        <v>689.76626626626512</v>
      </c>
      <c r="AO70" s="266">
        <v>0</v>
      </c>
      <c r="AP70" s="266">
        <v>0</v>
      </c>
      <c r="AQ70" s="266">
        <v>0</v>
      </c>
      <c r="AR70" s="266">
        <v>0</v>
      </c>
      <c r="AS70" s="358">
        <v>175678.54</v>
      </c>
      <c r="AT70" s="371">
        <v>0</v>
      </c>
      <c r="AU70" s="373">
        <v>209237.50999999995</v>
      </c>
    </row>
    <row r="71" spans="1:47">
      <c r="A71" s="238" t="s">
        <v>253</v>
      </c>
      <c r="B71" s="238" t="s">
        <v>1334</v>
      </c>
      <c r="C71" s="266">
        <v>0</v>
      </c>
      <c r="D71" s="266">
        <v>0</v>
      </c>
      <c r="E71" s="266">
        <v>174116.98</v>
      </c>
      <c r="F71" s="266">
        <v>96406.399999999994</v>
      </c>
      <c r="G71" s="266">
        <v>6520696.5199999996</v>
      </c>
      <c r="H71" s="266">
        <v>1215151.1200000001</v>
      </c>
      <c r="I71" s="266">
        <v>254942.22</v>
      </c>
      <c r="J71" s="266">
        <v>1560183.4</v>
      </c>
      <c r="K71" s="266">
        <v>2169777.58</v>
      </c>
      <c r="L71" s="266">
        <v>1676746.24</v>
      </c>
      <c r="M71" s="266">
        <v>166920.64000000001</v>
      </c>
      <c r="N71" s="266">
        <v>1868527.5</v>
      </c>
      <c r="O71" s="123">
        <v>4.8399999999999999E-2</v>
      </c>
      <c r="P71" s="123">
        <v>0.1542</v>
      </c>
      <c r="Q71" s="266">
        <v>0</v>
      </c>
      <c r="R71" s="266">
        <v>0</v>
      </c>
      <c r="S71" s="266">
        <v>0</v>
      </c>
      <c r="T71" s="266">
        <v>130405.38999999998</v>
      </c>
      <c r="U71" s="266">
        <v>0</v>
      </c>
      <c r="V71" s="266">
        <v>5471.81</v>
      </c>
      <c r="W71" s="266">
        <v>0</v>
      </c>
      <c r="X71" s="266">
        <v>0</v>
      </c>
      <c r="Y71" s="266">
        <v>0</v>
      </c>
      <c r="Z71" s="266">
        <v>6959.96</v>
      </c>
      <c r="AA71" s="266">
        <v>40691.9</v>
      </c>
      <c r="AB71" s="266">
        <v>146115.85</v>
      </c>
      <c r="AC71" s="266">
        <v>626067.25</v>
      </c>
      <c r="AD71" s="266">
        <v>2975230.89</v>
      </c>
      <c r="AE71" s="237">
        <v>353.51</v>
      </c>
      <c r="AF71" s="266">
        <v>2758631.81</v>
      </c>
      <c r="AG71" s="237">
        <f t="shared" ref="AG71:AG134" si="49">IFERROR(AF71/AE71,0)</f>
        <v>7803.5467454951777</v>
      </c>
      <c r="AH71" s="237">
        <f t="shared" ref="AH71:AH134" si="50">IFERROR(AD71/AE71,0)</f>
        <v>8416.2566546915223</v>
      </c>
      <c r="AI71" s="237">
        <f t="shared" ref="AI71:AI134" si="51">AH71-AG71</f>
        <v>612.7099091963446</v>
      </c>
      <c r="AJ71" s="237">
        <v>76.06</v>
      </c>
      <c r="AK71" s="266">
        <v>573224.57999999996</v>
      </c>
      <c r="AL71" s="237">
        <f t="shared" ref="AL71:AL134" si="52">IFERROR(AK71/AJ71,0)</f>
        <v>7536.4788325006566</v>
      </c>
      <c r="AM71" s="237">
        <f t="shared" ref="AM71:AM134" si="53">IFERROR(AC71/AJ71,0)</f>
        <v>8231.228635287931</v>
      </c>
      <c r="AN71" s="237">
        <f t="shared" ref="AN71:AN134" si="54">AM71-AL71</f>
        <v>694.74980278727435</v>
      </c>
      <c r="AO71" s="266">
        <v>0</v>
      </c>
      <c r="AP71" s="266">
        <v>0</v>
      </c>
      <c r="AQ71" s="266">
        <v>0</v>
      </c>
      <c r="AR71" s="266">
        <v>0</v>
      </c>
      <c r="AS71" s="358">
        <v>217063.17</v>
      </c>
      <c r="AT71" s="371">
        <v>5391.5899999999674</v>
      </c>
      <c r="AU71" s="373">
        <v>387248.47</v>
      </c>
    </row>
    <row r="72" spans="1:47">
      <c r="A72" s="238" t="s">
        <v>389</v>
      </c>
      <c r="B72" s="238" t="s">
        <v>1335</v>
      </c>
      <c r="C72" s="266">
        <v>0</v>
      </c>
      <c r="D72" s="266">
        <v>0</v>
      </c>
      <c r="E72" s="266">
        <v>2780.19</v>
      </c>
      <c r="F72" s="266">
        <v>2891.23</v>
      </c>
      <c r="G72" s="266">
        <v>115298.34</v>
      </c>
      <c r="H72" s="266">
        <v>18983.580000000002</v>
      </c>
      <c r="I72" s="266">
        <v>20044.830000000002</v>
      </c>
      <c r="J72" s="266">
        <v>23464.27</v>
      </c>
      <c r="K72" s="266">
        <v>36245.629999999997</v>
      </c>
      <c r="L72" s="266">
        <v>15247.39</v>
      </c>
      <c r="M72" s="266">
        <v>0</v>
      </c>
      <c r="N72" s="266">
        <v>111591.12</v>
      </c>
      <c r="O72" s="123">
        <v>4.9500000000000002E-2</v>
      </c>
      <c r="P72" s="123">
        <v>0.34060000000000001</v>
      </c>
      <c r="Q72" s="266">
        <v>0</v>
      </c>
      <c r="R72" s="266">
        <v>0</v>
      </c>
      <c r="S72" s="266">
        <v>0</v>
      </c>
      <c r="T72" s="266">
        <v>0</v>
      </c>
      <c r="U72" s="266">
        <v>0</v>
      </c>
      <c r="V72" s="266">
        <v>0</v>
      </c>
      <c r="W72" s="266">
        <v>0</v>
      </c>
      <c r="X72" s="266">
        <v>0</v>
      </c>
      <c r="Y72" s="266">
        <v>0</v>
      </c>
      <c r="Z72" s="266">
        <v>0</v>
      </c>
      <c r="AA72" s="266">
        <v>0</v>
      </c>
      <c r="AB72" s="266">
        <v>0</v>
      </c>
      <c r="AC72" s="266">
        <v>0</v>
      </c>
      <c r="AD72" s="266">
        <v>0</v>
      </c>
      <c r="AE72" s="237">
        <v>0</v>
      </c>
      <c r="AF72" s="266">
        <v>0</v>
      </c>
      <c r="AG72" s="237">
        <f t="shared" si="49"/>
        <v>0</v>
      </c>
      <c r="AH72" s="237">
        <f t="shared" si="50"/>
        <v>0</v>
      </c>
      <c r="AI72" s="237">
        <f t="shared" si="51"/>
        <v>0</v>
      </c>
      <c r="AJ72" s="237">
        <v>0</v>
      </c>
      <c r="AK72" s="266">
        <v>0</v>
      </c>
      <c r="AL72" s="237">
        <f t="shared" si="52"/>
        <v>0</v>
      </c>
      <c r="AM72" s="237">
        <f t="shared" si="53"/>
        <v>0</v>
      </c>
      <c r="AN72" s="237">
        <f t="shared" si="54"/>
        <v>0</v>
      </c>
      <c r="AO72" s="266">
        <v>2443.61</v>
      </c>
      <c r="AP72" s="266">
        <v>0</v>
      </c>
      <c r="AQ72" s="266">
        <v>0</v>
      </c>
      <c r="AR72" s="266">
        <v>0</v>
      </c>
      <c r="AS72" s="358">
        <v>8087.44</v>
      </c>
      <c r="AT72" s="371">
        <v>2286.1000000000004</v>
      </c>
      <c r="AU72" s="373">
        <v>13067.74</v>
      </c>
    </row>
    <row r="73" spans="1:47">
      <c r="A73" s="238" t="s">
        <v>532</v>
      </c>
      <c r="B73" s="238" t="s">
        <v>1336</v>
      </c>
      <c r="C73" s="266">
        <v>0</v>
      </c>
      <c r="D73" s="266">
        <v>0</v>
      </c>
      <c r="E73" s="266">
        <v>17864.919999999998</v>
      </c>
      <c r="F73" s="266">
        <v>4905.3599999999997</v>
      </c>
      <c r="G73" s="266">
        <v>2284555.9900000002</v>
      </c>
      <c r="H73" s="266">
        <v>420331.09</v>
      </c>
      <c r="I73" s="266">
        <v>114219.53</v>
      </c>
      <c r="J73" s="266">
        <v>54368.44</v>
      </c>
      <c r="K73" s="266">
        <v>488457.49</v>
      </c>
      <c r="L73" s="266">
        <v>23572.67</v>
      </c>
      <c r="M73" s="266">
        <v>53414.61</v>
      </c>
      <c r="N73" s="266">
        <v>1334515.94</v>
      </c>
      <c r="O73" s="123">
        <v>2.8899999999999999E-2</v>
      </c>
      <c r="P73" s="123">
        <v>0.19359999999999999</v>
      </c>
      <c r="Q73" s="266">
        <v>0</v>
      </c>
      <c r="R73" s="266">
        <v>0</v>
      </c>
      <c r="S73" s="266">
        <v>0</v>
      </c>
      <c r="T73" s="266">
        <v>0</v>
      </c>
      <c r="U73" s="266">
        <v>0</v>
      </c>
      <c r="V73" s="266">
        <v>0</v>
      </c>
      <c r="W73" s="266">
        <v>0</v>
      </c>
      <c r="X73" s="266">
        <v>0</v>
      </c>
      <c r="Y73" s="266">
        <v>0</v>
      </c>
      <c r="Z73" s="266">
        <v>613.66</v>
      </c>
      <c r="AA73" s="266">
        <v>646.95000000000005</v>
      </c>
      <c r="AB73" s="266">
        <v>37722.92</v>
      </c>
      <c r="AC73" s="266">
        <v>184271.23</v>
      </c>
      <c r="AD73" s="266">
        <v>988832.43</v>
      </c>
      <c r="AE73" s="237">
        <v>116.66</v>
      </c>
      <c r="AF73" s="266">
        <v>910217.75</v>
      </c>
      <c r="AG73" s="237">
        <f t="shared" si="49"/>
        <v>7802.3122749871427</v>
      </c>
      <c r="AH73" s="237">
        <f t="shared" si="50"/>
        <v>8476.1908966226656</v>
      </c>
      <c r="AI73" s="237">
        <f t="shared" si="51"/>
        <v>673.8786216355229</v>
      </c>
      <c r="AJ73" s="237">
        <v>22.38</v>
      </c>
      <c r="AK73" s="266">
        <v>168497.2</v>
      </c>
      <c r="AL73" s="237">
        <f t="shared" si="52"/>
        <v>7528.9186773905285</v>
      </c>
      <c r="AM73" s="237">
        <f t="shared" si="53"/>
        <v>8233.7457551385178</v>
      </c>
      <c r="AN73" s="237">
        <f t="shared" si="54"/>
        <v>704.82707774798928</v>
      </c>
      <c r="AO73" s="266">
        <v>7000</v>
      </c>
      <c r="AP73" s="266">
        <v>0</v>
      </c>
      <c r="AQ73" s="266">
        <v>0</v>
      </c>
      <c r="AR73" s="266">
        <v>0</v>
      </c>
      <c r="AS73" s="358">
        <v>0</v>
      </c>
      <c r="AT73" s="371">
        <v>0</v>
      </c>
      <c r="AU73" s="373">
        <v>111628.41</v>
      </c>
    </row>
    <row r="74" spans="1:47">
      <c r="A74" s="238" t="s">
        <v>573</v>
      </c>
      <c r="B74" s="238" t="s">
        <v>1337</v>
      </c>
      <c r="C74" s="266">
        <v>0</v>
      </c>
      <c r="D74" s="266">
        <v>0</v>
      </c>
      <c r="E74" s="266">
        <v>38722.639999999999</v>
      </c>
      <c r="F74" s="266">
        <v>4915.7</v>
      </c>
      <c r="G74" s="266">
        <v>31052122.210000001</v>
      </c>
      <c r="H74" s="266">
        <v>7804663.3399999999</v>
      </c>
      <c r="I74" s="266">
        <v>2892769.2799999998</v>
      </c>
      <c r="J74" s="266">
        <v>838251.73</v>
      </c>
      <c r="K74" s="266">
        <v>5320663.4800000004</v>
      </c>
      <c r="L74" s="266">
        <v>5472985.2199999997</v>
      </c>
      <c r="M74" s="266">
        <v>661330.39</v>
      </c>
      <c r="N74" s="266">
        <v>15243382.84</v>
      </c>
      <c r="O74" s="123">
        <v>3.8300000000000001E-2</v>
      </c>
      <c r="P74" s="123">
        <v>0.1265</v>
      </c>
      <c r="Q74" s="266">
        <v>0</v>
      </c>
      <c r="R74" s="266">
        <v>0</v>
      </c>
      <c r="S74" s="266">
        <v>0</v>
      </c>
      <c r="T74" s="266">
        <v>0</v>
      </c>
      <c r="U74" s="266">
        <v>0</v>
      </c>
      <c r="V74" s="266">
        <v>0</v>
      </c>
      <c r="W74" s="266">
        <v>0</v>
      </c>
      <c r="X74" s="266">
        <v>0</v>
      </c>
      <c r="Y74" s="266">
        <v>0</v>
      </c>
      <c r="Z74" s="266">
        <v>22734.04</v>
      </c>
      <c r="AA74" s="266">
        <v>0</v>
      </c>
      <c r="AB74" s="266">
        <v>0</v>
      </c>
      <c r="AC74" s="266">
        <v>990316.19</v>
      </c>
      <c r="AD74" s="266">
        <v>8917062.4800000004</v>
      </c>
      <c r="AE74" s="237">
        <v>904.13</v>
      </c>
      <c r="AF74" s="266">
        <v>7937921.0999999996</v>
      </c>
      <c r="AG74" s="237">
        <f t="shared" si="49"/>
        <v>8779.6236160729095</v>
      </c>
      <c r="AH74" s="237">
        <f t="shared" si="50"/>
        <v>9862.5888754935695</v>
      </c>
      <c r="AI74" s="237">
        <f t="shared" si="51"/>
        <v>1082.96525942066</v>
      </c>
      <c r="AJ74" s="237">
        <v>106.73</v>
      </c>
      <c r="AK74" s="266">
        <v>906937.45</v>
      </c>
      <c r="AL74" s="237">
        <f t="shared" si="52"/>
        <v>8497.4932071582498</v>
      </c>
      <c r="AM74" s="237">
        <f t="shared" si="53"/>
        <v>9278.7050501264857</v>
      </c>
      <c r="AN74" s="237">
        <f t="shared" si="54"/>
        <v>781.21184296823594</v>
      </c>
      <c r="AO74" s="266">
        <v>0</v>
      </c>
      <c r="AP74" s="266">
        <v>0</v>
      </c>
      <c r="AQ74" s="266">
        <v>0</v>
      </c>
      <c r="AR74" s="266">
        <v>0</v>
      </c>
      <c r="AS74" s="358">
        <v>1627678.26</v>
      </c>
      <c r="AT74" s="371">
        <v>110028.19000000006</v>
      </c>
      <c r="AU74" s="373">
        <v>1495761.0499999998</v>
      </c>
    </row>
    <row r="75" spans="1:47">
      <c r="A75" s="238" t="s">
        <v>393</v>
      </c>
      <c r="B75" s="238" t="s">
        <v>1338</v>
      </c>
      <c r="C75" s="266">
        <v>0</v>
      </c>
      <c r="D75" s="266">
        <v>0</v>
      </c>
      <c r="E75" s="266">
        <v>6736.12</v>
      </c>
      <c r="F75" s="266">
        <v>2484.67</v>
      </c>
      <c r="G75" s="266">
        <v>3980358.95</v>
      </c>
      <c r="H75" s="266">
        <v>792441.13</v>
      </c>
      <c r="I75" s="266">
        <v>427331.67</v>
      </c>
      <c r="J75" s="266">
        <v>139736.43</v>
      </c>
      <c r="K75" s="266">
        <v>810757.39</v>
      </c>
      <c r="L75" s="266">
        <v>373982.23</v>
      </c>
      <c r="M75" s="266">
        <v>91090.97</v>
      </c>
      <c r="N75" s="266">
        <v>1687876.53</v>
      </c>
      <c r="O75" s="123">
        <v>5.4300000000000001E-2</v>
      </c>
      <c r="P75" s="123">
        <v>0.2014</v>
      </c>
      <c r="Q75" s="266">
        <v>0</v>
      </c>
      <c r="R75" s="266">
        <v>0</v>
      </c>
      <c r="S75" s="266">
        <v>0</v>
      </c>
      <c r="T75" s="266">
        <v>0</v>
      </c>
      <c r="U75" s="266">
        <v>0</v>
      </c>
      <c r="V75" s="266">
        <v>0</v>
      </c>
      <c r="W75" s="266">
        <v>0</v>
      </c>
      <c r="X75" s="266">
        <v>0</v>
      </c>
      <c r="Y75" s="266">
        <v>0</v>
      </c>
      <c r="Z75" s="266">
        <v>3788.46</v>
      </c>
      <c r="AA75" s="266">
        <v>0</v>
      </c>
      <c r="AB75" s="266">
        <v>0</v>
      </c>
      <c r="AC75" s="266">
        <v>202571.76</v>
      </c>
      <c r="AD75" s="266">
        <v>1222458.06</v>
      </c>
      <c r="AE75" s="237">
        <v>148.33000000000001</v>
      </c>
      <c r="AF75" s="266">
        <v>1157562.3700000001</v>
      </c>
      <c r="AG75" s="237">
        <f t="shared" si="49"/>
        <v>7803.9666284635614</v>
      </c>
      <c r="AH75" s="237">
        <f t="shared" si="50"/>
        <v>8241.4754938313217</v>
      </c>
      <c r="AI75" s="237">
        <f t="shared" si="51"/>
        <v>437.50886536776034</v>
      </c>
      <c r="AJ75" s="237">
        <v>24.61</v>
      </c>
      <c r="AK75" s="266">
        <v>185407.18</v>
      </c>
      <c r="AL75" s="237">
        <f t="shared" si="52"/>
        <v>7533.814709467696</v>
      </c>
      <c r="AM75" s="237">
        <f t="shared" si="53"/>
        <v>8231.2783421373424</v>
      </c>
      <c r="AN75" s="237">
        <f t="shared" si="54"/>
        <v>697.46363266964636</v>
      </c>
      <c r="AO75" s="266">
        <v>103000</v>
      </c>
      <c r="AP75" s="266">
        <v>0</v>
      </c>
      <c r="AQ75" s="266">
        <v>0</v>
      </c>
      <c r="AR75" s="266">
        <v>0</v>
      </c>
      <c r="AS75" s="358">
        <v>84045.41</v>
      </c>
      <c r="AT75" s="371">
        <v>0</v>
      </c>
      <c r="AU75" s="373">
        <v>200581.93999999997</v>
      </c>
    </row>
    <row r="76" spans="1:47">
      <c r="A76" s="238" t="s">
        <v>309</v>
      </c>
      <c r="B76" s="238" t="s">
        <v>1339</v>
      </c>
      <c r="C76" s="266">
        <v>0</v>
      </c>
      <c r="D76" s="266">
        <v>0</v>
      </c>
      <c r="E76" s="266">
        <v>0</v>
      </c>
      <c r="F76" s="266">
        <v>38913.269999999997</v>
      </c>
      <c r="G76" s="266">
        <v>2217631.06</v>
      </c>
      <c r="H76" s="266">
        <v>569432.66</v>
      </c>
      <c r="I76" s="266">
        <v>68704.740000000005</v>
      </c>
      <c r="J76" s="266">
        <v>434660.16</v>
      </c>
      <c r="K76" s="266">
        <v>705977.34</v>
      </c>
      <c r="L76" s="266">
        <v>202294.92</v>
      </c>
      <c r="M76" s="266">
        <v>44413.5</v>
      </c>
      <c r="N76" s="266">
        <v>958656.68</v>
      </c>
      <c r="O76" s="123">
        <v>4.2500000000000003E-2</v>
      </c>
      <c r="P76" s="123">
        <v>0.21510000000000001</v>
      </c>
      <c r="Q76" s="266">
        <v>0</v>
      </c>
      <c r="R76" s="266">
        <v>0</v>
      </c>
      <c r="S76" s="266">
        <v>0</v>
      </c>
      <c r="T76" s="266">
        <v>0</v>
      </c>
      <c r="U76" s="266">
        <v>0</v>
      </c>
      <c r="V76" s="266">
        <v>0</v>
      </c>
      <c r="W76" s="266">
        <v>0</v>
      </c>
      <c r="X76" s="266">
        <v>0</v>
      </c>
      <c r="Y76" s="266">
        <v>0</v>
      </c>
      <c r="Z76" s="266">
        <v>0</v>
      </c>
      <c r="AA76" s="266">
        <v>28052.62</v>
      </c>
      <c r="AB76" s="266">
        <v>140335.38</v>
      </c>
      <c r="AC76" s="266">
        <v>358553.7</v>
      </c>
      <c r="AD76" s="266">
        <v>1565904.2</v>
      </c>
      <c r="AE76" s="237">
        <v>181.94</v>
      </c>
      <c r="AF76" s="266">
        <v>1448149.65</v>
      </c>
      <c r="AG76" s="237">
        <f t="shared" si="49"/>
        <v>7959.4902165549074</v>
      </c>
      <c r="AH76" s="237">
        <f t="shared" si="50"/>
        <v>8606.7066065735962</v>
      </c>
      <c r="AI76" s="237">
        <f t="shared" si="51"/>
        <v>647.2163900186888</v>
      </c>
      <c r="AJ76" s="237">
        <v>42.66</v>
      </c>
      <c r="AK76" s="266">
        <v>328121.05</v>
      </c>
      <c r="AL76" s="237">
        <f t="shared" si="52"/>
        <v>7691.538912330052</v>
      </c>
      <c r="AM76" s="237">
        <f t="shared" si="53"/>
        <v>8404.9156118143474</v>
      </c>
      <c r="AN76" s="237">
        <f t="shared" si="54"/>
        <v>713.37669948429539</v>
      </c>
      <c r="AO76" s="266">
        <v>1871.81</v>
      </c>
      <c r="AP76" s="266">
        <v>0</v>
      </c>
      <c r="AQ76" s="266">
        <v>0</v>
      </c>
      <c r="AR76" s="266">
        <v>0</v>
      </c>
      <c r="AS76" s="358">
        <v>91591.08</v>
      </c>
      <c r="AT76" s="371">
        <v>0</v>
      </c>
      <c r="AU76" s="373">
        <v>106526.43000000001</v>
      </c>
    </row>
    <row r="77" spans="1:47">
      <c r="A77" s="238" t="s">
        <v>706</v>
      </c>
      <c r="B77" s="238" t="s">
        <v>1340</v>
      </c>
      <c r="C77" s="266">
        <v>0</v>
      </c>
      <c r="D77" s="266">
        <v>0</v>
      </c>
      <c r="E77" s="266">
        <v>0</v>
      </c>
      <c r="F77" s="266">
        <v>0</v>
      </c>
      <c r="G77" s="266">
        <v>77903.929999999993</v>
      </c>
      <c r="H77" s="266">
        <v>5472.47</v>
      </c>
      <c r="I77" s="266">
        <v>1055.76</v>
      </c>
      <c r="J77" s="266">
        <v>23655.03</v>
      </c>
      <c r="K77" s="266">
        <v>30618.02</v>
      </c>
      <c r="L77" s="266">
        <v>0</v>
      </c>
      <c r="M77" s="266">
        <v>0</v>
      </c>
      <c r="N77" s="266">
        <v>230632.01</v>
      </c>
      <c r="O77" s="123">
        <v>4.5699999999999998E-2</v>
      </c>
      <c r="P77" s="123">
        <v>0.30919999999999997</v>
      </c>
      <c r="Q77" s="266">
        <v>0</v>
      </c>
      <c r="R77" s="266">
        <v>0</v>
      </c>
      <c r="S77" s="266">
        <v>0</v>
      </c>
      <c r="T77" s="266">
        <v>0</v>
      </c>
      <c r="U77" s="266">
        <v>0</v>
      </c>
      <c r="V77" s="266">
        <v>0</v>
      </c>
      <c r="W77" s="266">
        <v>0</v>
      </c>
      <c r="X77" s="266">
        <v>0</v>
      </c>
      <c r="Y77" s="266">
        <v>0</v>
      </c>
      <c r="Z77" s="266">
        <v>113.07</v>
      </c>
      <c r="AA77" s="266">
        <v>0</v>
      </c>
      <c r="AB77" s="266">
        <v>0</v>
      </c>
      <c r="AC77" s="266">
        <v>0</v>
      </c>
      <c r="AD77" s="266">
        <v>0</v>
      </c>
      <c r="AE77" s="237">
        <v>0</v>
      </c>
      <c r="AF77" s="266">
        <v>0</v>
      </c>
      <c r="AG77" s="237">
        <f t="shared" si="49"/>
        <v>0</v>
      </c>
      <c r="AH77" s="237">
        <f t="shared" si="50"/>
        <v>0</v>
      </c>
      <c r="AI77" s="237">
        <f t="shared" si="51"/>
        <v>0</v>
      </c>
      <c r="AJ77" s="237">
        <v>0</v>
      </c>
      <c r="AK77" s="266">
        <v>0</v>
      </c>
      <c r="AL77" s="237">
        <f t="shared" si="52"/>
        <v>0</v>
      </c>
      <c r="AM77" s="237">
        <f t="shared" si="53"/>
        <v>0</v>
      </c>
      <c r="AN77" s="237">
        <f t="shared" si="54"/>
        <v>0</v>
      </c>
      <c r="AO77" s="266">
        <v>0</v>
      </c>
      <c r="AP77" s="266">
        <v>0</v>
      </c>
      <c r="AQ77" s="266">
        <v>0</v>
      </c>
      <c r="AR77" s="266">
        <v>0</v>
      </c>
      <c r="AS77" s="358">
        <v>30376.560000000001</v>
      </c>
      <c r="AT77" s="371">
        <v>764.97000000000025</v>
      </c>
      <c r="AU77" s="373">
        <v>12553.25</v>
      </c>
    </row>
    <row r="78" spans="1:47">
      <c r="A78" s="238" t="s">
        <v>195</v>
      </c>
      <c r="B78" s="238" t="s">
        <v>1341</v>
      </c>
      <c r="C78" s="266">
        <v>28084.29</v>
      </c>
      <c r="D78" s="266">
        <v>0</v>
      </c>
      <c r="E78" s="266">
        <v>0</v>
      </c>
      <c r="F78" s="266">
        <v>0</v>
      </c>
      <c r="G78" s="266">
        <v>347060.05</v>
      </c>
      <c r="H78" s="266">
        <v>35237.67</v>
      </c>
      <c r="I78" s="266">
        <v>18767.689999999999</v>
      </c>
      <c r="J78" s="266">
        <v>89912.66</v>
      </c>
      <c r="K78" s="266">
        <v>119225.59</v>
      </c>
      <c r="L78" s="266">
        <v>67076.73</v>
      </c>
      <c r="M78" s="266">
        <v>8685.31</v>
      </c>
      <c r="N78" s="266">
        <v>260922.19</v>
      </c>
      <c r="O78" s="123">
        <v>7.7799999999999994E-2</v>
      </c>
      <c r="P78" s="123">
        <v>0.24709999999999999</v>
      </c>
      <c r="Q78" s="266">
        <v>0</v>
      </c>
      <c r="R78" s="266">
        <v>0</v>
      </c>
      <c r="S78" s="266">
        <v>0</v>
      </c>
      <c r="T78" s="266">
        <v>0</v>
      </c>
      <c r="U78" s="266">
        <v>0</v>
      </c>
      <c r="V78" s="266">
        <v>0</v>
      </c>
      <c r="W78" s="266">
        <v>0</v>
      </c>
      <c r="X78" s="266">
        <v>0</v>
      </c>
      <c r="Y78" s="266">
        <v>0</v>
      </c>
      <c r="Z78" s="266">
        <v>0</v>
      </c>
      <c r="AA78" s="266">
        <v>0</v>
      </c>
      <c r="AB78" s="266">
        <v>0</v>
      </c>
      <c r="AC78" s="266">
        <v>0</v>
      </c>
      <c r="AD78" s="266">
        <v>16645.61</v>
      </c>
      <c r="AE78" s="237">
        <v>0</v>
      </c>
      <c r="AF78" s="266">
        <v>0</v>
      </c>
      <c r="AG78" s="237">
        <f t="shared" si="49"/>
        <v>0</v>
      </c>
      <c r="AH78" s="237">
        <f t="shared" si="50"/>
        <v>0</v>
      </c>
      <c r="AI78" s="237">
        <f t="shared" si="51"/>
        <v>0</v>
      </c>
      <c r="AJ78" s="237">
        <v>0</v>
      </c>
      <c r="AK78" s="266">
        <v>0</v>
      </c>
      <c r="AL78" s="237">
        <f t="shared" si="52"/>
        <v>0</v>
      </c>
      <c r="AM78" s="237">
        <f t="shared" si="53"/>
        <v>0</v>
      </c>
      <c r="AN78" s="237">
        <f t="shared" si="54"/>
        <v>0</v>
      </c>
      <c r="AO78" s="266">
        <v>2500</v>
      </c>
      <c r="AP78" s="266">
        <v>0</v>
      </c>
      <c r="AQ78" s="266">
        <v>0</v>
      </c>
      <c r="AR78" s="266">
        <v>0</v>
      </c>
      <c r="AS78" s="358">
        <v>21930.47</v>
      </c>
      <c r="AT78" s="371">
        <v>879.10000000000218</v>
      </c>
      <c r="AU78" s="373">
        <v>25870.42</v>
      </c>
    </row>
    <row r="79" spans="1:47">
      <c r="A79" s="238" t="s">
        <v>345</v>
      </c>
      <c r="B79" s="238" t="s">
        <v>1342</v>
      </c>
      <c r="C79" s="266">
        <v>0</v>
      </c>
      <c r="D79" s="266">
        <v>0</v>
      </c>
      <c r="E79" s="266">
        <v>0</v>
      </c>
      <c r="F79" s="266">
        <v>0</v>
      </c>
      <c r="G79" s="266">
        <v>6345660.9500000002</v>
      </c>
      <c r="H79" s="266">
        <v>1428518.79</v>
      </c>
      <c r="I79" s="266">
        <v>446541.71</v>
      </c>
      <c r="J79" s="266">
        <v>2282.42</v>
      </c>
      <c r="K79" s="266">
        <v>836456.09</v>
      </c>
      <c r="L79" s="266">
        <v>468034.32</v>
      </c>
      <c r="M79" s="266">
        <v>130533.23</v>
      </c>
      <c r="N79" s="266">
        <v>2370413.7799999998</v>
      </c>
      <c r="O79" s="123">
        <v>6.0400000000000002E-2</v>
      </c>
      <c r="P79" s="123">
        <v>0.1845</v>
      </c>
      <c r="Q79" s="266">
        <v>0</v>
      </c>
      <c r="R79" s="266">
        <v>0</v>
      </c>
      <c r="S79" s="266">
        <v>0</v>
      </c>
      <c r="T79" s="266">
        <v>0</v>
      </c>
      <c r="U79" s="266">
        <v>0</v>
      </c>
      <c r="V79" s="266">
        <v>0</v>
      </c>
      <c r="W79" s="266">
        <v>0</v>
      </c>
      <c r="X79" s="266">
        <v>0</v>
      </c>
      <c r="Y79" s="266">
        <v>0</v>
      </c>
      <c r="Z79" s="266">
        <v>4768.78</v>
      </c>
      <c r="AA79" s="266">
        <v>0</v>
      </c>
      <c r="AB79" s="266">
        <v>194003.24</v>
      </c>
      <c r="AC79" s="266">
        <v>190411.69</v>
      </c>
      <c r="AD79" s="266">
        <v>2593518.2599999998</v>
      </c>
      <c r="AE79" s="237">
        <v>272.38</v>
      </c>
      <c r="AF79" s="266">
        <v>2345242.89</v>
      </c>
      <c r="AG79" s="237">
        <f t="shared" si="49"/>
        <v>8610.1875688376531</v>
      </c>
      <c r="AH79" s="237">
        <f t="shared" si="50"/>
        <v>9521.6912401791615</v>
      </c>
      <c r="AI79" s="237">
        <f t="shared" si="51"/>
        <v>911.50367134150838</v>
      </c>
      <c r="AJ79" s="237">
        <v>20.93</v>
      </c>
      <c r="AK79" s="266">
        <v>174359</v>
      </c>
      <c r="AL79" s="237">
        <f t="shared" si="52"/>
        <v>8330.5781175346401</v>
      </c>
      <c r="AM79" s="237">
        <f t="shared" si="53"/>
        <v>9097.5484949832771</v>
      </c>
      <c r="AN79" s="237">
        <f t="shared" si="54"/>
        <v>766.97037744863701</v>
      </c>
      <c r="AO79" s="266">
        <v>3384.59</v>
      </c>
      <c r="AP79" s="266">
        <v>0</v>
      </c>
      <c r="AQ79" s="266">
        <v>0</v>
      </c>
      <c r="AR79" s="266">
        <v>0</v>
      </c>
      <c r="AS79" s="358">
        <v>0</v>
      </c>
      <c r="AT79" s="371">
        <v>77504.13</v>
      </c>
      <c r="AU79" s="373">
        <v>293751.14</v>
      </c>
    </row>
    <row r="80" spans="1:47">
      <c r="A80" s="238" t="s">
        <v>293</v>
      </c>
      <c r="B80" s="238" t="s">
        <v>1343</v>
      </c>
      <c r="C80" s="266">
        <v>206653.47</v>
      </c>
      <c r="D80" s="266">
        <v>0</v>
      </c>
      <c r="E80" s="266">
        <v>31494.240000000002</v>
      </c>
      <c r="F80" s="266">
        <v>9189.19</v>
      </c>
      <c r="G80" s="266">
        <v>3092468.04</v>
      </c>
      <c r="H80" s="266">
        <v>672050.4</v>
      </c>
      <c r="I80" s="266">
        <v>120494.86</v>
      </c>
      <c r="J80" s="266">
        <v>519144.52</v>
      </c>
      <c r="K80" s="266">
        <v>905542.02</v>
      </c>
      <c r="L80" s="266">
        <v>489282.69</v>
      </c>
      <c r="M80" s="266">
        <v>74318.59</v>
      </c>
      <c r="N80" s="266">
        <v>1477797.17</v>
      </c>
      <c r="O80" s="123">
        <v>3.8899999999999997E-2</v>
      </c>
      <c r="P80" s="123">
        <v>0.15110000000000001</v>
      </c>
      <c r="Q80" s="266">
        <v>0</v>
      </c>
      <c r="R80" s="266">
        <v>0</v>
      </c>
      <c r="S80" s="266">
        <v>0</v>
      </c>
      <c r="T80" s="266">
        <v>0</v>
      </c>
      <c r="U80" s="266">
        <v>0</v>
      </c>
      <c r="V80" s="266">
        <v>0</v>
      </c>
      <c r="W80" s="266">
        <v>0</v>
      </c>
      <c r="X80" s="266">
        <v>0</v>
      </c>
      <c r="Y80" s="266">
        <v>0</v>
      </c>
      <c r="Z80" s="266">
        <v>0</v>
      </c>
      <c r="AA80" s="266">
        <v>13697.35</v>
      </c>
      <c r="AB80" s="266">
        <v>102793.2</v>
      </c>
      <c r="AC80" s="266">
        <v>342293.51</v>
      </c>
      <c r="AD80" s="266">
        <v>1438795.76</v>
      </c>
      <c r="AE80" s="237">
        <v>168.56</v>
      </c>
      <c r="AF80" s="266">
        <v>1341656.22</v>
      </c>
      <c r="AG80" s="237">
        <f t="shared" si="49"/>
        <v>7959.5172045562413</v>
      </c>
      <c r="AH80" s="237">
        <f t="shared" si="50"/>
        <v>8535.807783578548</v>
      </c>
      <c r="AI80" s="237">
        <f t="shared" si="51"/>
        <v>576.2905790223067</v>
      </c>
      <c r="AJ80" s="237">
        <v>40.729999999999997</v>
      </c>
      <c r="AK80" s="266">
        <v>313250.81</v>
      </c>
      <c r="AL80" s="237">
        <f t="shared" si="52"/>
        <v>7690.9111220230798</v>
      </c>
      <c r="AM80" s="237">
        <f t="shared" si="53"/>
        <v>8403.965381782471</v>
      </c>
      <c r="AN80" s="237">
        <f t="shared" si="54"/>
        <v>713.05425975939124</v>
      </c>
      <c r="AO80" s="266">
        <v>725.79</v>
      </c>
      <c r="AP80" s="266">
        <v>0</v>
      </c>
      <c r="AQ80" s="266">
        <v>0</v>
      </c>
      <c r="AR80" s="266">
        <v>0</v>
      </c>
      <c r="AS80" s="358">
        <v>36337.82</v>
      </c>
      <c r="AT80" s="371">
        <v>0</v>
      </c>
      <c r="AU80" s="373">
        <v>170427.08</v>
      </c>
    </row>
    <row r="81" spans="1:47">
      <c r="A81" s="268" t="s">
        <v>1673</v>
      </c>
      <c r="B81" s="238" t="s">
        <v>1674</v>
      </c>
      <c r="C81" s="266">
        <v>0</v>
      </c>
      <c r="D81" s="266">
        <v>0</v>
      </c>
      <c r="E81" s="266">
        <v>0</v>
      </c>
      <c r="F81" s="266">
        <v>0</v>
      </c>
      <c r="G81" s="266">
        <v>14176012.99</v>
      </c>
      <c r="H81" s="266">
        <v>2286375.7599999998</v>
      </c>
      <c r="I81" s="266">
        <v>739126.35</v>
      </c>
      <c r="J81" s="266">
        <v>0</v>
      </c>
      <c r="K81" s="266">
        <v>0</v>
      </c>
      <c r="L81" s="266">
        <v>0</v>
      </c>
      <c r="M81" s="266">
        <v>0</v>
      </c>
      <c r="N81" s="266">
        <v>0</v>
      </c>
      <c r="O81" s="123">
        <v>0</v>
      </c>
      <c r="P81" s="123">
        <v>0</v>
      </c>
      <c r="Q81" s="266">
        <v>0</v>
      </c>
      <c r="R81" s="266">
        <v>0</v>
      </c>
      <c r="S81" s="266">
        <v>0</v>
      </c>
      <c r="T81" s="266">
        <v>0</v>
      </c>
      <c r="U81" s="266">
        <v>0</v>
      </c>
      <c r="V81" s="266">
        <v>0</v>
      </c>
      <c r="W81" s="266">
        <v>0</v>
      </c>
      <c r="X81" s="266">
        <v>0</v>
      </c>
      <c r="Y81" s="266">
        <v>0</v>
      </c>
      <c r="Z81" s="266">
        <v>0</v>
      </c>
      <c r="AA81" s="266">
        <v>0</v>
      </c>
      <c r="AB81" s="266">
        <v>0</v>
      </c>
      <c r="AC81" s="266">
        <v>0</v>
      </c>
      <c r="AD81" s="266">
        <v>0</v>
      </c>
      <c r="AE81" s="237">
        <v>0</v>
      </c>
      <c r="AF81" s="266">
        <v>0</v>
      </c>
      <c r="AG81" s="237">
        <f t="shared" si="49"/>
        <v>0</v>
      </c>
      <c r="AH81" s="237">
        <f t="shared" si="50"/>
        <v>0</v>
      </c>
      <c r="AI81" s="237">
        <f t="shared" si="51"/>
        <v>0</v>
      </c>
      <c r="AJ81" s="237">
        <v>0</v>
      </c>
      <c r="AK81" s="266">
        <v>0</v>
      </c>
      <c r="AL81" s="237">
        <f t="shared" si="52"/>
        <v>0</v>
      </c>
      <c r="AM81" s="237">
        <f t="shared" si="53"/>
        <v>0</v>
      </c>
      <c r="AN81" s="237">
        <f t="shared" si="54"/>
        <v>0</v>
      </c>
      <c r="AO81" s="266">
        <v>0</v>
      </c>
      <c r="AP81" s="266">
        <v>0</v>
      </c>
      <c r="AQ81" s="266">
        <v>0</v>
      </c>
      <c r="AR81" s="266">
        <v>0</v>
      </c>
      <c r="AS81" s="358">
        <v>0</v>
      </c>
      <c r="AT81" s="371">
        <v>0</v>
      </c>
      <c r="AU81" s="373"/>
    </row>
    <row r="82" spans="1:47">
      <c r="A82" s="238" t="s">
        <v>773</v>
      </c>
      <c r="B82" s="238" t="s">
        <v>1344</v>
      </c>
      <c r="C82" s="266">
        <v>0</v>
      </c>
      <c r="D82" s="266">
        <v>0</v>
      </c>
      <c r="E82" s="266">
        <v>0</v>
      </c>
      <c r="F82" s="266">
        <v>0</v>
      </c>
      <c r="G82" s="266">
        <v>0</v>
      </c>
      <c r="H82" s="266">
        <v>0</v>
      </c>
      <c r="I82" s="266">
        <v>0</v>
      </c>
      <c r="J82" s="266">
        <v>0</v>
      </c>
      <c r="K82" s="266">
        <v>0</v>
      </c>
      <c r="L82" s="266">
        <v>0</v>
      </c>
      <c r="M82" s="266">
        <v>0</v>
      </c>
      <c r="N82" s="266">
        <v>0</v>
      </c>
      <c r="O82" s="123">
        <v>0</v>
      </c>
      <c r="P82" s="123">
        <v>0</v>
      </c>
      <c r="Q82" s="266">
        <v>0</v>
      </c>
      <c r="R82" s="266">
        <v>0</v>
      </c>
      <c r="S82" s="266">
        <v>0</v>
      </c>
      <c r="T82" s="266">
        <v>1259262.5899999999</v>
      </c>
      <c r="U82" s="266">
        <v>0</v>
      </c>
      <c r="V82" s="266">
        <v>50592.729999999996</v>
      </c>
      <c r="W82" s="266">
        <v>0</v>
      </c>
      <c r="X82" s="266">
        <v>0</v>
      </c>
      <c r="Y82" s="266">
        <v>0</v>
      </c>
      <c r="Z82" s="266">
        <v>0</v>
      </c>
      <c r="AA82" s="266">
        <v>0</v>
      </c>
      <c r="AB82" s="266">
        <v>0</v>
      </c>
      <c r="AC82" s="266">
        <v>0</v>
      </c>
      <c r="AD82" s="266">
        <v>0</v>
      </c>
      <c r="AE82" s="237">
        <v>0</v>
      </c>
      <c r="AF82" s="266">
        <v>0</v>
      </c>
      <c r="AG82" s="237">
        <f t="shared" si="49"/>
        <v>0</v>
      </c>
      <c r="AH82" s="237">
        <f t="shared" si="50"/>
        <v>0</v>
      </c>
      <c r="AI82" s="237">
        <f t="shared" si="51"/>
        <v>0</v>
      </c>
      <c r="AJ82" s="237">
        <v>0</v>
      </c>
      <c r="AK82" s="266">
        <v>0</v>
      </c>
      <c r="AL82" s="237">
        <f t="shared" si="52"/>
        <v>0</v>
      </c>
      <c r="AM82" s="237">
        <f t="shared" si="53"/>
        <v>0</v>
      </c>
      <c r="AN82" s="237">
        <f t="shared" si="54"/>
        <v>0</v>
      </c>
      <c r="AO82" s="266">
        <v>0</v>
      </c>
      <c r="AP82" s="266">
        <v>0</v>
      </c>
      <c r="AQ82" s="266">
        <v>0</v>
      </c>
      <c r="AR82" s="266">
        <v>0</v>
      </c>
      <c r="AS82" s="358">
        <v>0</v>
      </c>
      <c r="AT82" s="371">
        <v>0</v>
      </c>
      <c r="AU82" s="373"/>
    </row>
    <row r="83" spans="1:47">
      <c r="A83" s="268" t="s">
        <v>775</v>
      </c>
      <c r="B83" s="238" t="s">
        <v>1345</v>
      </c>
      <c r="C83" s="266">
        <v>0</v>
      </c>
      <c r="D83" s="266">
        <v>0</v>
      </c>
      <c r="E83" s="266">
        <v>0</v>
      </c>
      <c r="F83" s="266">
        <v>0</v>
      </c>
      <c r="G83" s="266">
        <v>0</v>
      </c>
      <c r="H83" s="266">
        <v>0</v>
      </c>
      <c r="I83" s="266">
        <v>0</v>
      </c>
      <c r="J83" s="266">
        <v>0</v>
      </c>
      <c r="K83" s="266">
        <v>0</v>
      </c>
      <c r="L83" s="266">
        <v>0</v>
      </c>
      <c r="M83" s="266">
        <v>0</v>
      </c>
      <c r="N83" s="266">
        <v>748211.96</v>
      </c>
      <c r="O83" s="123">
        <v>0</v>
      </c>
      <c r="P83" s="123">
        <v>0</v>
      </c>
      <c r="Q83" s="266">
        <v>0</v>
      </c>
      <c r="R83" s="266">
        <v>0</v>
      </c>
      <c r="S83" s="266">
        <v>0</v>
      </c>
      <c r="T83" s="266">
        <v>0</v>
      </c>
      <c r="U83" s="266">
        <v>0</v>
      </c>
      <c r="V83" s="266">
        <v>0</v>
      </c>
      <c r="W83" s="266">
        <v>0</v>
      </c>
      <c r="X83" s="266">
        <v>0</v>
      </c>
      <c r="Y83" s="266">
        <v>0</v>
      </c>
      <c r="Z83" s="266">
        <v>0</v>
      </c>
      <c r="AA83" s="266">
        <v>0</v>
      </c>
      <c r="AB83" s="266">
        <v>0</v>
      </c>
      <c r="AC83" s="266">
        <v>0</v>
      </c>
      <c r="AD83" s="266">
        <v>0</v>
      </c>
      <c r="AE83" s="237">
        <v>0</v>
      </c>
      <c r="AF83" s="266">
        <v>0</v>
      </c>
      <c r="AG83" s="237">
        <f t="shared" si="49"/>
        <v>0</v>
      </c>
      <c r="AH83" s="237">
        <f t="shared" si="50"/>
        <v>0</v>
      </c>
      <c r="AI83" s="237">
        <f t="shared" si="51"/>
        <v>0</v>
      </c>
      <c r="AJ83" s="237">
        <v>0</v>
      </c>
      <c r="AK83" s="266">
        <v>0</v>
      </c>
      <c r="AL83" s="237">
        <f t="shared" si="52"/>
        <v>0</v>
      </c>
      <c r="AM83" s="237">
        <f t="shared" si="53"/>
        <v>0</v>
      </c>
      <c r="AN83" s="237">
        <f t="shared" si="54"/>
        <v>0</v>
      </c>
      <c r="AO83" s="266">
        <v>0</v>
      </c>
      <c r="AP83" s="266">
        <v>0</v>
      </c>
      <c r="AQ83" s="266">
        <v>0</v>
      </c>
      <c r="AR83" s="266">
        <v>0</v>
      </c>
      <c r="AS83" s="358">
        <v>0</v>
      </c>
      <c r="AT83" s="371">
        <v>0</v>
      </c>
      <c r="AU83" s="373"/>
    </row>
    <row r="84" spans="1:47">
      <c r="A84" s="268" t="s">
        <v>768</v>
      </c>
      <c r="B84" s="238" t="s">
        <v>1346</v>
      </c>
      <c r="C84" s="266">
        <v>0</v>
      </c>
      <c r="D84" s="266">
        <v>0</v>
      </c>
      <c r="E84" s="266">
        <v>0</v>
      </c>
      <c r="F84" s="266">
        <v>0</v>
      </c>
      <c r="G84" s="266">
        <v>0</v>
      </c>
      <c r="H84" s="266">
        <v>0</v>
      </c>
      <c r="I84" s="266">
        <v>0</v>
      </c>
      <c r="J84" s="266">
        <v>0</v>
      </c>
      <c r="K84" s="266">
        <v>0</v>
      </c>
      <c r="L84" s="266">
        <v>0</v>
      </c>
      <c r="M84" s="266">
        <v>0</v>
      </c>
      <c r="N84" s="266">
        <v>4409409.2699999996</v>
      </c>
      <c r="O84" s="123">
        <v>0</v>
      </c>
      <c r="P84" s="123">
        <v>0</v>
      </c>
      <c r="Q84" s="266">
        <v>0</v>
      </c>
      <c r="R84" s="266">
        <v>0</v>
      </c>
      <c r="S84" s="266">
        <v>0</v>
      </c>
      <c r="T84" s="266">
        <v>677351.46</v>
      </c>
      <c r="U84" s="266">
        <v>76954.854000000007</v>
      </c>
      <c r="V84" s="266">
        <v>25979.73</v>
      </c>
      <c r="W84" s="266">
        <v>0</v>
      </c>
      <c r="X84" s="266">
        <v>0</v>
      </c>
      <c r="Y84" s="266">
        <v>0</v>
      </c>
      <c r="Z84" s="266">
        <v>0</v>
      </c>
      <c r="AA84" s="266">
        <v>0</v>
      </c>
      <c r="AB84" s="266">
        <v>0</v>
      </c>
      <c r="AC84" s="266">
        <v>0</v>
      </c>
      <c r="AD84" s="266">
        <v>0</v>
      </c>
      <c r="AE84" s="237">
        <v>0</v>
      </c>
      <c r="AF84" s="266">
        <v>0</v>
      </c>
      <c r="AG84" s="237">
        <f t="shared" si="49"/>
        <v>0</v>
      </c>
      <c r="AH84" s="237">
        <f t="shared" si="50"/>
        <v>0</v>
      </c>
      <c r="AI84" s="237">
        <f t="shared" si="51"/>
        <v>0</v>
      </c>
      <c r="AJ84" s="237">
        <v>0</v>
      </c>
      <c r="AK84" s="266">
        <v>0</v>
      </c>
      <c r="AL84" s="237">
        <f t="shared" si="52"/>
        <v>0</v>
      </c>
      <c r="AM84" s="237">
        <f t="shared" si="53"/>
        <v>0</v>
      </c>
      <c r="AN84" s="237">
        <f t="shared" si="54"/>
        <v>0</v>
      </c>
      <c r="AO84" s="266">
        <v>0</v>
      </c>
      <c r="AP84" s="266">
        <v>0</v>
      </c>
      <c r="AQ84" s="266">
        <v>0</v>
      </c>
      <c r="AR84" s="266">
        <v>0</v>
      </c>
      <c r="AS84" s="358">
        <v>0</v>
      </c>
      <c r="AT84" s="371">
        <v>0</v>
      </c>
      <c r="AU84" s="373"/>
    </row>
    <row r="85" spans="1:47">
      <c r="A85" s="238" t="s">
        <v>774</v>
      </c>
      <c r="B85" s="238" t="s">
        <v>1347</v>
      </c>
      <c r="C85" s="266">
        <v>0</v>
      </c>
      <c r="D85" s="266">
        <v>0</v>
      </c>
      <c r="E85" s="266">
        <v>0</v>
      </c>
      <c r="F85" s="266">
        <v>0</v>
      </c>
      <c r="G85" s="266">
        <v>0</v>
      </c>
      <c r="H85" s="266">
        <v>0</v>
      </c>
      <c r="I85" s="266">
        <v>0</v>
      </c>
      <c r="J85" s="266">
        <v>0</v>
      </c>
      <c r="K85" s="266">
        <v>0</v>
      </c>
      <c r="L85" s="266">
        <v>0</v>
      </c>
      <c r="M85" s="266">
        <v>0</v>
      </c>
      <c r="N85" s="266">
        <v>313014.55</v>
      </c>
      <c r="O85" s="123">
        <v>0</v>
      </c>
      <c r="P85" s="123">
        <v>0</v>
      </c>
      <c r="Q85" s="266">
        <v>0</v>
      </c>
      <c r="R85" s="266">
        <v>0</v>
      </c>
      <c r="S85" s="266">
        <v>0</v>
      </c>
      <c r="T85" s="266">
        <v>0</v>
      </c>
      <c r="U85" s="266">
        <v>0</v>
      </c>
      <c r="V85" s="266">
        <v>0</v>
      </c>
      <c r="W85" s="266">
        <v>0</v>
      </c>
      <c r="X85" s="266">
        <v>0</v>
      </c>
      <c r="Y85" s="266">
        <v>0</v>
      </c>
      <c r="Z85" s="266">
        <v>0</v>
      </c>
      <c r="AA85" s="266">
        <v>0</v>
      </c>
      <c r="AB85" s="266">
        <v>0</v>
      </c>
      <c r="AC85" s="266">
        <v>0</v>
      </c>
      <c r="AD85" s="266">
        <v>0</v>
      </c>
      <c r="AE85" s="237">
        <v>0</v>
      </c>
      <c r="AF85" s="266">
        <v>0</v>
      </c>
      <c r="AG85" s="237">
        <f t="shared" si="49"/>
        <v>0</v>
      </c>
      <c r="AH85" s="237">
        <f t="shared" si="50"/>
        <v>0</v>
      </c>
      <c r="AI85" s="237">
        <f t="shared" si="51"/>
        <v>0</v>
      </c>
      <c r="AJ85" s="237">
        <v>0</v>
      </c>
      <c r="AK85" s="266">
        <v>0</v>
      </c>
      <c r="AL85" s="237">
        <f t="shared" si="52"/>
        <v>0</v>
      </c>
      <c r="AM85" s="237">
        <f t="shared" si="53"/>
        <v>0</v>
      </c>
      <c r="AN85" s="237">
        <f t="shared" si="54"/>
        <v>0</v>
      </c>
      <c r="AO85" s="266">
        <v>0</v>
      </c>
      <c r="AP85" s="266">
        <v>0</v>
      </c>
      <c r="AQ85" s="266">
        <v>0</v>
      </c>
      <c r="AR85" s="266">
        <v>0</v>
      </c>
      <c r="AS85" s="358">
        <v>0</v>
      </c>
      <c r="AT85" s="371">
        <v>0</v>
      </c>
      <c r="AU85" s="373"/>
    </row>
    <row r="86" spans="1:47">
      <c r="A86" s="268" t="s">
        <v>769</v>
      </c>
      <c r="B86" s="238" t="s">
        <v>1348</v>
      </c>
      <c r="C86" s="266">
        <v>0</v>
      </c>
      <c r="D86" s="266">
        <v>0</v>
      </c>
      <c r="E86" s="266">
        <v>0</v>
      </c>
      <c r="F86" s="266">
        <v>0</v>
      </c>
      <c r="G86" s="266">
        <v>0</v>
      </c>
      <c r="H86" s="266">
        <v>0</v>
      </c>
      <c r="I86" s="266">
        <v>0</v>
      </c>
      <c r="J86" s="266">
        <v>0</v>
      </c>
      <c r="K86" s="266">
        <v>0</v>
      </c>
      <c r="L86" s="266">
        <v>0</v>
      </c>
      <c r="M86" s="266">
        <v>0</v>
      </c>
      <c r="N86" s="266">
        <v>0</v>
      </c>
      <c r="O86" s="123">
        <v>0</v>
      </c>
      <c r="P86" s="123">
        <v>0</v>
      </c>
      <c r="Q86" s="266">
        <v>0</v>
      </c>
      <c r="R86" s="266">
        <v>0</v>
      </c>
      <c r="S86" s="266">
        <v>0</v>
      </c>
      <c r="T86" s="266">
        <v>139838.06</v>
      </c>
      <c r="U86" s="266">
        <v>0</v>
      </c>
      <c r="V86" s="266">
        <v>5448.04</v>
      </c>
      <c r="W86" s="266">
        <v>0</v>
      </c>
      <c r="X86" s="266">
        <v>0</v>
      </c>
      <c r="Y86" s="266">
        <v>0</v>
      </c>
      <c r="Z86" s="266">
        <v>0</v>
      </c>
      <c r="AA86" s="266">
        <v>0</v>
      </c>
      <c r="AB86" s="266">
        <v>0</v>
      </c>
      <c r="AC86" s="266">
        <v>0</v>
      </c>
      <c r="AD86" s="266">
        <v>0</v>
      </c>
      <c r="AE86" s="237">
        <v>0</v>
      </c>
      <c r="AF86" s="266">
        <v>0</v>
      </c>
      <c r="AG86" s="237">
        <f t="shared" si="49"/>
        <v>0</v>
      </c>
      <c r="AH86" s="237">
        <f t="shared" si="50"/>
        <v>0</v>
      </c>
      <c r="AI86" s="237">
        <f t="shared" si="51"/>
        <v>0</v>
      </c>
      <c r="AJ86" s="237">
        <v>0</v>
      </c>
      <c r="AK86" s="266">
        <v>0</v>
      </c>
      <c r="AL86" s="237">
        <f t="shared" si="52"/>
        <v>0</v>
      </c>
      <c r="AM86" s="237">
        <f t="shared" si="53"/>
        <v>0</v>
      </c>
      <c r="AN86" s="237">
        <f t="shared" si="54"/>
        <v>0</v>
      </c>
      <c r="AO86" s="266">
        <v>0</v>
      </c>
      <c r="AP86" s="266">
        <v>0</v>
      </c>
      <c r="AQ86" s="266">
        <v>0</v>
      </c>
      <c r="AR86" s="266">
        <v>0</v>
      </c>
      <c r="AS86" s="358">
        <v>0</v>
      </c>
      <c r="AT86" s="371">
        <v>0</v>
      </c>
      <c r="AU86" s="373"/>
    </row>
    <row r="87" spans="1:47">
      <c r="A87" s="238" t="s">
        <v>421</v>
      </c>
      <c r="B87" s="238" t="s">
        <v>1349</v>
      </c>
      <c r="C87" s="266">
        <v>0</v>
      </c>
      <c r="D87" s="266">
        <v>0</v>
      </c>
      <c r="E87" s="266">
        <v>1718.15</v>
      </c>
      <c r="F87" s="266">
        <v>0</v>
      </c>
      <c r="G87" s="266">
        <v>71791.990000000005</v>
      </c>
      <c r="H87" s="266">
        <v>9988.75</v>
      </c>
      <c r="I87" s="266">
        <v>5844.1</v>
      </c>
      <c r="J87" s="266">
        <v>15356.7</v>
      </c>
      <c r="K87" s="266">
        <v>20221.240000000002</v>
      </c>
      <c r="L87" s="266">
        <v>4115.8599999999997</v>
      </c>
      <c r="M87" s="266">
        <v>1430.75</v>
      </c>
      <c r="N87" s="266">
        <v>22766.22</v>
      </c>
      <c r="O87" s="123">
        <v>0.17630000000000001</v>
      </c>
      <c r="P87" s="123">
        <v>0.34770000000000001</v>
      </c>
      <c r="Q87" s="266">
        <v>0</v>
      </c>
      <c r="R87" s="266">
        <v>0</v>
      </c>
      <c r="S87" s="266">
        <v>0</v>
      </c>
      <c r="T87" s="266">
        <v>0</v>
      </c>
      <c r="U87" s="266">
        <v>0</v>
      </c>
      <c r="V87" s="266">
        <v>0</v>
      </c>
      <c r="W87" s="266">
        <v>0</v>
      </c>
      <c r="X87" s="266">
        <v>0</v>
      </c>
      <c r="Y87" s="266">
        <v>0</v>
      </c>
      <c r="Z87" s="266">
        <v>55.99</v>
      </c>
      <c r="AA87" s="266">
        <v>0</v>
      </c>
      <c r="AB87" s="266">
        <v>0</v>
      </c>
      <c r="AC87" s="266">
        <v>0</v>
      </c>
      <c r="AD87" s="266">
        <v>0</v>
      </c>
      <c r="AE87" s="237">
        <v>0</v>
      </c>
      <c r="AF87" s="266">
        <v>0</v>
      </c>
      <c r="AG87" s="237">
        <f t="shared" si="49"/>
        <v>0</v>
      </c>
      <c r="AH87" s="237">
        <f t="shared" si="50"/>
        <v>0</v>
      </c>
      <c r="AI87" s="237">
        <f t="shared" si="51"/>
        <v>0</v>
      </c>
      <c r="AJ87" s="237">
        <v>0</v>
      </c>
      <c r="AK87" s="266">
        <v>0</v>
      </c>
      <c r="AL87" s="237">
        <f t="shared" si="52"/>
        <v>0</v>
      </c>
      <c r="AM87" s="237">
        <f t="shared" si="53"/>
        <v>0</v>
      </c>
      <c r="AN87" s="237">
        <f t="shared" si="54"/>
        <v>0</v>
      </c>
      <c r="AO87" s="266">
        <v>0</v>
      </c>
      <c r="AP87" s="266">
        <v>0</v>
      </c>
      <c r="AQ87" s="266">
        <v>0</v>
      </c>
      <c r="AR87" s="266">
        <v>0</v>
      </c>
      <c r="AS87" s="358">
        <v>3464.39</v>
      </c>
      <c r="AT87" s="371">
        <v>0</v>
      </c>
      <c r="AU87" s="373">
        <v>4173.6900000000005</v>
      </c>
    </row>
    <row r="88" spans="1:47">
      <c r="A88" s="238" t="s">
        <v>567</v>
      </c>
      <c r="B88" s="238" t="s">
        <v>1350</v>
      </c>
      <c r="C88" s="266">
        <v>0</v>
      </c>
      <c r="D88" s="266">
        <v>0</v>
      </c>
      <c r="E88" s="266">
        <v>532220.32999999996</v>
      </c>
      <c r="F88" s="266">
        <v>154532.87</v>
      </c>
      <c r="G88" s="266">
        <v>30140655.489999998</v>
      </c>
      <c r="H88" s="266">
        <v>7174231.0599999996</v>
      </c>
      <c r="I88" s="266">
        <v>2453209.81</v>
      </c>
      <c r="J88" s="266">
        <v>1569182.66</v>
      </c>
      <c r="K88" s="266">
        <v>5654918.0899999999</v>
      </c>
      <c r="L88" s="266">
        <v>5657444.9699999997</v>
      </c>
      <c r="M88" s="266">
        <v>675456.87</v>
      </c>
      <c r="N88" s="266">
        <v>12714822.109999999</v>
      </c>
      <c r="O88" s="123">
        <v>3.7400000000000003E-2</v>
      </c>
      <c r="P88" s="123">
        <v>0.1394</v>
      </c>
      <c r="Q88" s="266">
        <v>0</v>
      </c>
      <c r="R88" s="266">
        <v>0</v>
      </c>
      <c r="S88" s="266">
        <v>0</v>
      </c>
      <c r="T88" s="266">
        <v>0</v>
      </c>
      <c r="U88" s="266">
        <v>0</v>
      </c>
      <c r="V88" s="266">
        <v>0</v>
      </c>
      <c r="W88" s="266">
        <v>0</v>
      </c>
      <c r="X88" s="266">
        <v>0</v>
      </c>
      <c r="Y88" s="266">
        <v>0</v>
      </c>
      <c r="Z88" s="266">
        <v>10312.6</v>
      </c>
      <c r="AA88" s="266">
        <v>126626.82</v>
      </c>
      <c r="AB88" s="266">
        <v>518699.12</v>
      </c>
      <c r="AC88" s="266">
        <v>3639514.55</v>
      </c>
      <c r="AD88" s="266">
        <v>12548734.35</v>
      </c>
      <c r="AE88" s="237">
        <v>1278.0999999999999</v>
      </c>
      <c r="AF88" s="266">
        <v>11637088.960000001</v>
      </c>
      <c r="AG88" s="237">
        <f t="shared" si="49"/>
        <v>9104.990970972538</v>
      </c>
      <c r="AH88" s="237">
        <f t="shared" si="50"/>
        <v>9818.2727094906513</v>
      </c>
      <c r="AI88" s="237">
        <f t="shared" si="51"/>
        <v>713.28173851811334</v>
      </c>
      <c r="AJ88" s="237">
        <v>378.1</v>
      </c>
      <c r="AK88" s="266">
        <v>3334535.69</v>
      </c>
      <c r="AL88" s="237">
        <f t="shared" si="52"/>
        <v>8819.1898704046544</v>
      </c>
      <c r="AM88" s="237">
        <f t="shared" si="53"/>
        <v>9625.7988627347258</v>
      </c>
      <c r="AN88" s="237">
        <f t="shared" si="54"/>
        <v>806.60899233007149</v>
      </c>
      <c r="AO88" s="266">
        <v>35000</v>
      </c>
      <c r="AP88" s="266">
        <v>0</v>
      </c>
      <c r="AQ88" s="266">
        <v>0</v>
      </c>
      <c r="AR88" s="266">
        <v>0</v>
      </c>
      <c r="AS88" s="358">
        <v>2375441.4</v>
      </c>
      <c r="AT88" s="371">
        <v>177452.33000000019</v>
      </c>
      <c r="AU88" s="373">
        <v>1596736.03</v>
      </c>
    </row>
    <row r="89" spans="1:47">
      <c r="A89" s="238" t="s">
        <v>224</v>
      </c>
      <c r="B89" s="238" t="s">
        <v>1351</v>
      </c>
      <c r="C89" s="266">
        <v>0</v>
      </c>
      <c r="D89" s="266">
        <v>0</v>
      </c>
      <c r="E89" s="266">
        <v>429037.99</v>
      </c>
      <c r="F89" s="266">
        <v>391905.68</v>
      </c>
      <c r="G89" s="266">
        <v>32801507.120000001</v>
      </c>
      <c r="H89" s="266">
        <v>6007951.5</v>
      </c>
      <c r="I89" s="266">
        <v>1327401.44</v>
      </c>
      <c r="J89" s="266">
        <v>4002891.68</v>
      </c>
      <c r="K89" s="266">
        <v>8099737.5899999999</v>
      </c>
      <c r="L89" s="266">
        <v>5659971.9199999999</v>
      </c>
      <c r="M89" s="266">
        <v>726940.7</v>
      </c>
      <c r="N89" s="266">
        <v>16416460.720000001</v>
      </c>
      <c r="O89" s="123">
        <v>4.2900000000000001E-2</v>
      </c>
      <c r="P89" s="123">
        <v>0.12809999999999999</v>
      </c>
      <c r="Q89" s="266">
        <v>0</v>
      </c>
      <c r="R89" s="266">
        <v>0</v>
      </c>
      <c r="S89" s="266">
        <v>0</v>
      </c>
      <c r="T89" s="266">
        <v>0</v>
      </c>
      <c r="U89" s="266">
        <v>0</v>
      </c>
      <c r="V89" s="266">
        <v>0</v>
      </c>
      <c r="W89" s="266">
        <v>0</v>
      </c>
      <c r="X89" s="266">
        <v>0</v>
      </c>
      <c r="Y89" s="266">
        <v>0</v>
      </c>
      <c r="Z89" s="266">
        <v>9894.34</v>
      </c>
      <c r="AA89" s="266">
        <v>72196.25</v>
      </c>
      <c r="AB89" s="266">
        <v>1407172.17</v>
      </c>
      <c r="AC89" s="266">
        <v>1237877.7</v>
      </c>
      <c r="AD89" s="266">
        <v>16380723.01</v>
      </c>
      <c r="AE89" s="237">
        <v>1898.97</v>
      </c>
      <c r="AF89" s="266">
        <v>15436412.449999999</v>
      </c>
      <c r="AG89" s="237">
        <f t="shared" si="49"/>
        <v>8128.8342891146249</v>
      </c>
      <c r="AH89" s="237">
        <f t="shared" si="50"/>
        <v>8626.1094224763947</v>
      </c>
      <c r="AI89" s="237">
        <f t="shared" si="51"/>
        <v>497.2751333617698</v>
      </c>
      <c r="AJ89" s="237">
        <v>144.29</v>
      </c>
      <c r="AK89" s="266">
        <v>1133654.48</v>
      </c>
      <c r="AL89" s="237">
        <f t="shared" si="52"/>
        <v>7856.777877884816</v>
      </c>
      <c r="AM89" s="237">
        <f t="shared" si="53"/>
        <v>8579.0955714186712</v>
      </c>
      <c r="AN89" s="237">
        <f t="shared" si="54"/>
        <v>722.31769353385516</v>
      </c>
      <c r="AO89" s="266">
        <v>0</v>
      </c>
      <c r="AP89" s="266">
        <v>0</v>
      </c>
      <c r="AQ89" s="266">
        <v>0</v>
      </c>
      <c r="AR89" s="266">
        <v>0</v>
      </c>
      <c r="AS89" s="358">
        <v>0</v>
      </c>
      <c r="AT89" s="371">
        <v>144749.91999999969</v>
      </c>
      <c r="AU89" s="373">
        <v>1706088.6999999997</v>
      </c>
    </row>
    <row r="90" spans="1:47">
      <c r="A90" s="238" t="s">
        <v>635</v>
      </c>
      <c r="B90" s="238" t="s">
        <v>1352</v>
      </c>
      <c r="C90" s="266">
        <v>0</v>
      </c>
      <c r="D90" s="266">
        <v>0</v>
      </c>
      <c r="E90" s="266">
        <v>0</v>
      </c>
      <c r="F90" s="266">
        <v>0</v>
      </c>
      <c r="G90" s="266">
        <v>11056.83</v>
      </c>
      <c r="H90" s="266">
        <v>742.87</v>
      </c>
      <c r="I90" s="266">
        <v>0</v>
      </c>
      <c r="J90" s="266">
        <v>9633.7000000000007</v>
      </c>
      <c r="K90" s="266">
        <v>16787.45</v>
      </c>
      <c r="L90" s="266">
        <v>0</v>
      </c>
      <c r="M90" s="266">
        <v>953.83</v>
      </c>
      <c r="N90" s="266">
        <v>0</v>
      </c>
      <c r="O90" s="123">
        <v>2.52E-2</v>
      </c>
      <c r="P90" s="123">
        <v>0.1993</v>
      </c>
      <c r="Q90" s="266">
        <v>0</v>
      </c>
      <c r="R90" s="266">
        <v>0</v>
      </c>
      <c r="S90" s="266">
        <v>0</v>
      </c>
      <c r="T90" s="266">
        <v>0</v>
      </c>
      <c r="U90" s="266">
        <v>0</v>
      </c>
      <c r="V90" s="266">
        <v>0</v>
      </c>
      <c r="W90" s="266">
        <v>0</v>
      </c>
      <c r="X90" s="266">
        <v>0</v>
      </c>
      <c r="Y90" s="266">
        <v>0</v>
      </c>
      <c r="Z90" s="266">
        <v>0</v>
      </c>
      <c r="AA90" s="266">
        <v>0</v>
      </c>
      <c r="AB90" s="266">
        <v>0</v>
      </c>
      <c r="AC90" s="266">
        <v>0</v>
      </c>
      <c r="AD90" s="266">
        <v>0</v>
      </c>
      <c r="AE90" s="237">
        <v>0</v>
      </c>
      <c r="AF90" s="266">
        <v>0</v>
      </c>
      <c r="AG90" s="237">
        <f t="shared" si="49"/>
        <v>0</v>
      </c>
      <c r="AH90" s="237">
        <f t="shared" si="50"/>
        <v>0</v>
      </c>
      <c r="AI90" s="237">
        <f t="shared" si="51"/>
        <v>0</v>
      </c>
      <c r="AJ90" s="237">
        <v>0</v>
      </c>
      <c r="AK90" s="266">
        <v>0</v>
      </c>
      <c r="AL90" s="237">
        <f t="shared" si="52"/>
        <v>0</v>
      </c>
      <c r="AM90" s="237">
        <f t="shared" si="53"/>
        <v>0</v>
      </c>
      <c r="AN90" s="237">
        <f t="shared" si="54"/>
        <v>0</v>
      </c>
      <c r="AO90" s="266">
        <v>0</v>
      </c>
      <c r="AP90" s="266">
        <v>0</v>
      </c>
      <c r="AQ90" s="266">
        <v>0</v>
      </c>
      <c r="AR90" s="266">
        <v>0</v>
      </c>
      <c r="AS90" s="358">
        <v>0</v>
      </c>
      <c r="AT90" s="371">
        <v>0</v>
      </c>
      <c r="AU90" s="373">
        <v>2845.8999999999996</v>
      </c>
    </row>
    <row r="91" spans="1:47">
      <c r="A91" s="238" t="s">
        <v>343</v>
      </c>
      <c r="B91" s="238" t="s">
        <v>1354</v>
      </c>
      <c r="C91" s="266">
        <v>0</v>
      </c>
      <c r="D91" s="266">
        <v>0</v>
      </c>
      <c r="E91" s="266">
        <v>0</v>
      </c>
      <c r="F91" s="266">
        <v>50785.09</v>
      </c>
      <c r="G91" s="266">
        <v>32658228.420000002</v>
      </c>
      <c r="H91" s="266">
        <v>7433405.0800000001</v>
      </c>
      <c r="I91" s="266">
        <v>2124571.66</v>
      </c>
      <c r="J91" s="266">
        <v>5847184.8700000001</v>
      </c>
      <c r="K91" s="266">
        <v>9373725.4199999999</v>
      </c>
      <c r="L91" s="266">
        <v>8715485.2599999998</v>
      </c>
      <c r="M91" s="266">
        <v>669122.80000000005</v>
      </c>
      <c r="N91" s="266">
        <v>13445131.84</v>
      </c>
      <c r="O91" s="123">
        <v>3.5700000000000003E-2</v>
      </c>
      <c r="P91" s="123">
        <v>0.1293</v>
      </c>
      <c r="Q91" s="266">
        <v>0</v>
      </c>
      <c r="R91" s="266">
        <v>0</v>
      </c>
      <c r="S91" s="266">
        <v>0</v>
      </c>
      <c r="T91" s="266">
        <v>0</v>
      </c>
      <c r="U91" s="266">
        <v>0</v>
      </c>
      <c r="V91" s="266">
        <v>0</v>
      </c>
      <c r="W91" s="266">
        <v>0</v>
      </c>
      <c r="X91" s="266">
        <v>0</v>
      </c>
      <c r="Y91" s="266">
        <v>0</v>
      </c>
      <c r="Z91" s="266">
        <v>23046.91</v>
      </c>
      <c r="AA91" s="266">
        <v>105902.69</v>
      </c>
      <c r="AB91" s="266">
        <v>0</v>
      </c>
      <c r="AC91" s="266">
        <v>1004575.83</v>
      </c>
      <c r="AD91" s="266">
        <v>11661953.210000001</v>
      </c>
      <c r="AE91" s="237">
        <v>1226.03</v>
      </c>
      <c r="AF91" s="266">
        <v>10365050.380000001</v>
      </c>
      <c r="AG91" s="237">
        <f t="shared" si="49"/>
        <v>8454.157222906455</v>
      </c>
      <c r="AH91" s="237">
        <f t="shared" si="50"/>
        <v>9511.9639894619231</v>
      </c>
      <c r="AI91" s="237">
        <f t="shared" si="51"/>
        <v>1057.8067665554681</v>
      </c>
      <c r="AJ91" s="237">
        <v>112.53</v>
      </c>
      <c r="AK91" s="266">
        <v>920234.54</v>
      </c>
      <c r="AL91" s="237">
        <f t="shared" si="52"/>
        <v>8177.6818626144141</v>
      </c>
      <c r="AM91" s="237">
        <f t="shared" si="53"/>
        <v>8927.1823513729669</v>
      </c>
      <c r="AN91" s="237">
        <f t="shared" si="54"/>
        <v>749.50048875855282</v>
      </c>
      <c r="AO91" s="266">
        <v>0</v>
      </c>
      <c r="AP91" s="266">
        <v>0</v>
      </c>
      <c r="AQ91" s="266">
        <v>0</v>
      </c>
      <c r="AR91" s="266">
        <v>0</v>
      </c>
      <c r="AS91" s="358">
        <v>937516.06</v>
      </c>
      <c r="AT91" s="371">
        <v>108354.80999999994</v>
      </c>
      <c r="AU91" s="373">
        <v>1661018.2500000002</v>
      </c>
    </row>
    <row r="92" spans="1:47">
      <c r="A92" s="238" t="s">
        <v>676</v>
      </c>
      <c r="B92" s="238" t="s">
        <v>1355</v>
      </c>
      <c r="C92" s="266">
        <v>0</v>
      </c>
      <c r="D92" s="266">
        <v>0</v>
      </c>
      <c r="E92" s="266">
        <v>31035.31</v>
      </c>
      <c r="F92" s="266">
        <v>47343.08</v>
      </c>
      <c r="G92" s="266">
        <v>6931367.3300000001</v>
      </c>
      <c r="H92" s="266">
        <v>1422932.8</v>
      </c>
      <c r="I92" s="266">
        <v>716270.83</v>
      </c>
      <c r="J92" s="266">
        <v>515804.11</v>
      </c>
      <c r="K92" s="266">
        <v>1506316.59</v>
      </c>
      <c r="L92" s="266">
        <v>608672.35</v>
      </c>
      <c r="M92" s="266">
        <v>142465.18</v>
      </c>
      <c r="N92" s="266">
        <v>2663942.5</v>
      </c>
      <c r="O92" s="123">
        <v>4.5400000000000003E-2</v>
      </c>
      <c r="P92" s="123">
        <v>0.14760000000000001</v>
      </c>
      <c r="Q92" s="266">
        <v>0</v>
      </c>
      <c r="R92" s="266">
        <v>0</v>
      </c>
      <c r="S92" s="266">
        <v>0</v>
      </c>
      <c r="T92" s="266">
        <v>0</v>
      </c>
      <c r="U92" s="266">
        <v>0</v>
      </c>
      <c r="V92" s="266">
        <v>0</v>
      </c>
      <c r="W92" s="266">
        <v>0</v>
      </c>
      <c r="X92" s="266">
        <v>0</v>
      </c>
      <c r="Y92" s="266">
        <v>0</v>
      </c>
      <c r="Z92" s="266">
        <v>5290.23</v>
      </c>
      <c r="AA92" s="266">
        <v>0</v>
      </c>
      <c r="AB92" s="266">
        <v>93630.51</v>
      </c>
      <c r="AC92" s="266">
        <v>141223.6</v>
      </c>
      <c r="AD92" s="266">
        <v>2191529.5699999998</v>
      </c>
      <c r="AE92" s="237">
        <v>222.19</v>
      </c>
      <c r="AF92" s="266">
        <v>1878455.21</v>
      </c>
      <c r="AG92" s="237">
        <f t="shared" si="49"/>
        <v>8454.2743147756428</v>
      </c>
      <c r="AH92" s="237">
        <f t="shared" si="50"/>
        <v>9863.3132454205861</v>
      </c>
      <c r="AI92" s="237">
        <f t="shared" si="51"/>
        <v>1409.0389306449433</v>
      </c>
      <c r="AJ92" s="237">
        <v>15.82</v>
      </c>
      <c r="AK92" s="266">
        <v>129446.25</v>
      </c>
      <c r="AL92" s="237">
        <f t="shared" si="52"/>
        <v>8182.4431099873573</v>
      </c>
      <c r="AM92" s="237">
        <f t="shared" si="53"/>
        <v>8926.9026548672573</v>
      </c>
      <c r="AN92" s="237">
        <f t="shared" si="54"/>
        <v>744.45954487990002</v>
      </c>
      <c r="AO92" s="266">
        <v>0</v>
      </c>
      <c r="AP92" s="266">
        <v>0</v>
      </c>
      <c r="AQ92" s="266">
        <v>0</v>
      </c>
      <c r="AR92" s="266">
        <v>0</v>
      </c>
      <c r="AS92" s="358">
        <v>259008.41</v>
      </c>
      <c r="AT92" s="371">
        <v>0</v>
      </c>
      <c r="AU92" s="373">
        <v>321900.28999999998</v>
      </c>
    </row>
    <row r="93" spans="1:47">
      <c r="A93" s="238" t="s">
        <v>536</v>
      </c>
      <c r="B93" s="238" t="s">
        <v>1356</v>
      </c>
      <c r="C93" s="266">
        <v>0</v>
      </c>
      <c r="D93" s="266">
        <v>0</v>
      </c>
      <c r="E93" s="266">
        <v>69813</v>
      </c>
      <c r="F93" s="266">
        <v>17488.919999999998</v>
      </c>
      <c r="G93" s="266">
        <v>4454966.3899999997</v>
      </c>
      <c r="H93" s="266">
        <v>1120690.75</v>
      </c>
      <c r="I93" s="266">
        <v>182130.41</v>
      </c>
      <c r="J93" s="266">
        <v>186722.14</v>
      </c>
      <c r="K93" s="266">
        <v>1158478.1100000001</v>
      </c>
      <c r="L93" s="266">
        <v>891927.16</v>
      </c>
      <c r="M93" s="266">
        <v>116227.16</v>
      </c>
      <c r="N93" s="266">
        <v>2215227.3199999998</v>
      </c>
      <c r="O93" s="123">
        <v>3.3500000000000002E-2</v>
      </c>
      <c r="P93" s="123">
        <v>0.16009999999999999</v>
      </c>
      <c r="Q93" s="266">
        <v>0</v>
      </c>
      <c r="R93" s="266">
        <v>0</v>
      </c>
      <c r="S93" s="266">
        <v>0</v>
      </c>
      <c r="T93" s="266">
        <v>0</v>
      </c>
      <c r="U93" s="266">
        <v>0</v>
      </c>
      <c r="V93" s="266">
        <v>0</v>
      </c>
      <c r="W93" s="266">
        <v>0</v>
      </c>
      <c r="X93" s="266">
        <v>0</v>
      </c>
      <c r="Y93" s="266">
        <v>0</v>
      </c>
      <c r="Z93" s="266">
        <v>2642.37</v>
      </c>
      <c r="AA93" s="266">
        <v>43.25</v>
      </c>
      <c r="AB93" s="266">
        <v>87690.41</v>
      </c>
      <c r="AC93" s="266">
        <v>425314.69</v>
      </c>
      <c r="AD93" s="266">
        <v>2578318.3199999998</v>
      </c>
      <c r="AE93" s="237">
        <v>280.33999999999997</v>
      </c>
      <c r="AF93" s="266">
        <v>2370076.1800000002</v>
      </c>
      <c r="AG93" s="237">
        <f t="shared" si="49"/>
        <v>8454.291859884428</v>
      </c>
      <c r="AH93" s="237">
        <f t="shared" si="50"/>
        <v>9197.1117928230015</v>
      </c>
      <c r="AI93" s="237">
        <f t="shared" si="51"/>
        <v>742.8199329385734</v>
      </c>
      <c r="AJ93" s="237">
        <v>47.64</v>
      </c>
      <c r="AK93" s="266">
        <v>389578.23</v>
      </c>
      <c r="AL93" s="237">
        <f t="shared" si="52"/>
        <v>8177.5447103274555</v>
      </c>
      <c r="AM93" s="237">
        <f t="shared" si="53"/>
        <v>8927.6803106633088</v>
      </c>
      <c r="AN93" s="237">
        <f t="shared" si="54"/>
        <v>750.13560033585327</v>
      </c>
      <c r="AO93" s="266">
        <v>0</v>
      </c>
      <c r="AP93" s="266">
        <v>0</v>
      </c>
      <c r="AQ93" s="266">
        <v>0</v>
      </c>
      <c r="AR93" s="266">
        <v>0</v>
      </c>
      <c r="AS93" s="358">
        <v>228138.47</v>
      </c>
      <c r="AT93" s="371">
        <v>0</v>
      </c>
      <c r="AU93" s="373">
        <v>259470.17</v>
      </c>
    </row>
    <row r="94" spans="1:47">
      <c r="A94" s="238" t="s">
        <v>185</v>
      </c>
      <c r="B94" s="238" t="s">
        <v>1357</v>
      </c>
      <c r="C94" s="266">
        <v>0</v>
      </c>
      <c r="D94" s="266">
        <v>0</v>
      </c>
      <c r="E94" s="266">
        <v>0</v>
      </c>
      <c r="F94" s="266">
        <v>3027.16</v>
      </c>
      <c r="G94" s="266">
        <v>1083134.6499999999</v>
      </c>
      <c r="H94" s="266">
        <v>287269.96999999997</v>
      </c>
      <c r="I94" s="266">
        <v>67434.61</v>
      </c>
      <c r="J94" s="266">
        <v>242273.39</v>
      </c>
      <c r="K94" s="266">
        <v>380483.68</v>
      </c>
      <c r="L94" s="266">
        <v>244426.11</v>
      </c>
      <c r="M94" s="266">
        <v>23559.65</v>
      </c>
      <c r="N94" s="266">
        <v>621474.29</v>
      </c>
      <c r="O94" s="123">
        <v>6.7299999999999999E-2</v>
      </c>
      <c r="P94" s="123">
        <v>0.2014</v>
      </c>
      <c r="Q94" s="266">
        <v>0</v>
      </c>
      <c r="R94" s="266">
        <v>0</v>
      </c>
      <c r="S94" s="266">
        <v>0</v>
      </c>
      <c r="T94" s="266">
        <v>0</v>
      </c>
      <c r="U94" s="266">
        <v>0</v>
      </c>
      <c r="V94" s="266">
        <v>0</v>
      </c>
      <c r="W94" s="266">
        <v>0</v>
      </c>
      <c r="X94" s="266">
        <v>0</v>
      </c>
      <c r="Y94" s="266">
        <v>0</v>
      </c>
      <c r="Z94" s="266">
        <v>1004.47</v>
      </c>
      <c r="AA94" s="266">
        <v>0</v>
      </c>
      <c r="AB94" s="266">
        <v>36591.57</v>
      </c>
      <c r="AC94" s="266">
        <v>44651.15</v>
      </c>
      <c r="AD94" s="266">
        <v>575522.72</v>
      </c>
      <c r="AE94" s="237">
        <v>69.55</v>
      </c>
      <c r="AF94" s="266">
        <v>542731.55000000005</v>
      </c>
      <c r="AG94" s="237">
        <f t="shared" si="49"/>
        <v>7803.4730409777148</v>
      </c>
      <c r="AH94" s="237">
        <f t="shared" si="50"/>
        <v>8274.9492451473761</v>
      </c>
      <c r="AI94" s="237">
        <f t="shared" si="51"/>
        <v>471.47620416966129</v>
      </c>
      <c r="AJ94" s="237">
        <v>5.43</v>
      </c>
      <c r="AK94" s="266">
        <v>41008.089999999997</v>
      </c>
      <c r="AL94" s="237">
        <f t="shared" si="52"/>
        <v>7552.1344383057085</v>
      </c>
      <c r="AM94" s="237">
        <f t="shared" si="53"/>
        <v>8223.0478821362813</v>
      </c>
      <c r="AN94" s="237">
        <f t="shared" si="54"/>
        <v>670.91344383057276</v>
      </c>
      <c r="AO94" s="266">
        <v>0</v>
      </c>
      <c r="AP94" s="266">
        <v>0</v>
      </c>
      <c r="AQ94" s="266">
        <v>0</v>
      </c>
      <c r="AR94" s="266">
        <v>0</v>
      </c>
      <c r="AS94" s="358">
        <v>60445.04</v>
      </c>
      <c r="AT94" s="371">
        <v>9969.1600000000035</v>
      </c>
      <c r="AU94" s="373">
        <v>58949.61</v>
      </c>
    </row>
    <row r="95" spans="1:47">
      <c r="A95" s="238" t="s">
        <v>528</v>
      </c>
      <c r="B95" s="238" t="s">
        <v>1358</v>
      </c>
      <c r="C95" s="266">
        <v>0</v>
      </c>
      <c r="D95" s="266">
        <v>0</v>
      </c>
      <c r="E95" s="266">
        <v>126728.9</v>
      </c>
      <c r="F95" s="266">
        <v>218950.27</v>
      </c>
      <c r="G95" s="266">
        <v>10664787.609999999</v>
      </c>
      <c r="H95" s="266">
        <v>2285829.0499999998</v>
      </c>
      <c r="I95" s="266">
        <v>519610.9</v>
      </c>
      <c r="J95" s="266">
        <v>2300975.13</v>
      </c>
      <c r="K95" s="266">
        <v>3923291.58</v>
      </c>
      <c r="L95" s="266">
        <v>1486953.45</v>
      </c>
      <c r="M95" s="266">
        <v>223342.04</v>
      </c>
      <c r="N95" s="266">
        <v>4983066.53</v>
      </c>
      <c r="O95" s="123">
        <v>7.0000000000000007E-2</v>
      </c>
      <c r="P95" s="123">
        <v>0.17180000000000001</v>
      </c>
      <c r="Q95" s="266">
        <v>0</v>
      </c>
      <c r="R95" s="266">
        <v>0</v>
      </c>
      <c r="S95" s="266">
        <v>0</v>
      </c>
      <c r="T95" s="266">
        <v>0</v>
      </c>
      <c r="U95" s="266">
        <v>0</v>
      </c>
      <c r="V95" s="266">
        <v>0</v>
      </c>
      <c r="W95" s="266">
        <v>0</v>
      </c>
      <c r="X95" s="266">
        <v>0</v>
      </c>
      <c r="Y95" s="266">
        <v>0</v>
      </c>
      <c r="Z95" s="266">
        <v>8545.16</v>
      </c>
      <c r="AA95" s="266">
        <v>71072.100000000006</v>
      </c>
      <c r="AB95" s="266">
        <v>41901.019999999997</v>
      </c>
      <c r="AC95" s="266">
        <v>749163.91</v>
      </c>
      <c r="AD95" s="266">
        <v>3693526.28</v>
      </c>
      <c r="AE95" s="237">
        <v>417.64</v>
      </c>
      <c r="AF95" s="266">
        <v>3394769.38</v>
      </c>
      <c r="AG95" s="237">
        <f t="shared" si="49"/>
        <v>8128.4584331002779</v>
      </c>
      <c r="AH95" s="237">
        <f t="shared" si="50"/>
        <v>8843.8039459821848</v>
      </c>
      <c r="AI95" s="237">
        <f t="shared" si="51"/>
        <v>715.34551288190687</v>
      </c>
      <c r="AJ95" s="237">
        <v>87.33</v>
      </c>
      <c r="AK95" s="266">
        <v>686211.19</v>
      </c>
      <c r="AL95" s="237">
        <f t="shared" si="52"/>
        <v>7857.6799496163967</v>
      </c>
      <c r="AM95" s="237">
        <f t="shared" si="53"/>
        <v>8578.5401351196615</v>
      </c>
      <c r="AN95" s="237">
        <f t="shared" si="54"/>
        <v>720.8601855032648</v>
      </c>
      <c r="AO95" s="266">
        <v>0</v>
      </c>
      <c r="AP95" s="266">
        <v>0</v>
      </c>
      <c r="AQ95" s="266">
        <v>0</v>
      </c>
      <c r="AR95" s="266">
        <v>0</v>
      </c>
      <c r="AS95" s="358">
        <v>0</v>
      </c>
      <c r="AT95" s="371">
        <v>73423.650000000023</v>
      </c>
      <c r="AU95" s="373">
        <v>539315.82000000007</v>
      </c>
    </row>
    <row r="96" spans="1:47">
      <c r="A96" s="238" t="s">
        <v>609</v>
      </c>
      <c r="B96" s="238" t="s">
        <v>1359</v>
      </c>
      <c r="C96" s="266">
        <v>0</v>
      </c>
      <c r="D96" s="266">
        <v>0</v>
      </c>
      <c r="E96" s="266">
        <v>3141.86</v>
      </c>
      <c r="F96" s="266">
        <v>0</v>
      </c>
      <c r="G96" s="266">
        <v>1000578.65</v>
      </c>
      <c r="H96" s="266">
        <v>160645.82</v>
      </c>
      <c r="I96" s="266">
        <v>0</v>
      </c>
      <c r="J96" s="266">
        <v>0</v>
      </c>
      <c r="K96" s="266">
        <v>128009.59</v>
      </c>
      <c r="L96" s="266">
        <v>0</v>
      </c>
      <c r="M96" s="266">
        <v>25759.82</v>
      </c>
      <c r="N96" s="266">
        <v>750398.68</v>
      </c>
      <c r="O96" s="123">
        <v>4.07E-2</v>
      </c>
      <c r="P96" s="123">
        <v>0.21410000000000001</v>
      </c>
      <c r="Q96" s="266">
        <v>0</v>
      </c>
      <c r="R96" s="266">
        <v>0</v>
      </c>
      <c r="S96" s="266">
        <v>0</v>
      </c>
      <c r="T96" s="266">
        <v>0</v>
      </c>
      <c r="U96" s="266">
        <v>0</v>
      </c>
      <c r="V96" s="266">
        <v>0</v>
      </c>
      <c r="W96" s="266">
        <v>0</v>
      </c>
      <c r="X96" s="266">
        <v>0</v>
      </c>
      <c r="Y96" s="266">
        <v>0</v>
      </c>
      <c r="Z96" s="266">
        <v>1006.67</v>
      </c>
      <c r="AA96" s="266">
        <v>18709.72</v>
      </c>
      <c r="AB96" s="266">
        <v>0</v>
      </c>
      <c r="AC96" s="266">
        <v>315580.14</v>
      </c>
      <c r="AD96" s="266">
        <v>585367.16</v>
      </c>
      <c r="AE96" s="237">
        <v>68.78</v>
      </c>
      <c r="AF96" s="266">
        <v>547362.4</v>
      </c>
      <c r="AG96" s="237">
        <f t="shared" si="49"/>
        <v>7958.1622564699046</v>
      </c>
      <c r="AH96" s="237">
        <f t="shared" si="50"/>
        <v>8510.7176504797917</v>
      </c>
      <c r="AI96" s="237">
        <f t="shared" si="51"/>
        <v>552.5553940098871</v>
      </c>
      <c r="AJ96" s="237">
        <v>37.549999999999997</v>
      </c>
      <c r="AK96" s="266">
        <v>288766.21999999997</v>
      </c>
      <c r="AL96" s="237">
        <f t="shared" si="52"/>
        <v>7690.1789613848205</v>
      </c>
      <c r="AM96" s="237">
        <f t="shared" si="53"/>
        <v>8404.264713715047</v>
      </c>
      <c r="AN96" s="237">
        <f t="shared" si="54"/>
        <v>714.08575233022657</v>
      </c>
      <c r="AO96" s="266">
        <v>0</v>
      </c>
      <c r="AP96" s="266">
        <v>0</v>
      </c>
      <c r="AQ96" s="266">
        <v>0</v>
      </c>
      <c r="AR96" s="266">
        <v>0</v>
      </c>
      <c r="AS96" s="358">
        <v>81358.19</v>
      </c>
      <c r="AT96" s="371">
        <v>2209.5500000000029</v>
      </c>
      <c r="AU96" s="373">
        <v>53427.939999999995</v>
      </c>
    </row>
    <row r="97" spans="1:47">
      <c r="A97" s="238" t="s">
        <v>700</v>
      </c>
      <c r="B97" s="238" t="s">
        <v>1360</v>
      </c>
      <c r="C97" s="266">
        <v>0</v>
      </c>
      <c r="D97" s="266">
        <v>0</v>
      </c>
      <c r="E97" s="266">
        <v>2971.7</v>
      </c>
      <c r="F97" s="266">
        <v>2233.34</v>
      </c>
      <c r="G97" s="266">
        <v>138280.49</v>
      </c>
      <c r="H97" s="266">
        <v>13242.96</v>
      </c>
      <c r="I97" s="266">
        <v>0</v>
      </c>
      <c r="J97" s="266">
        <v>19553.560000000001</v>
      </c>
      <c r="K97" s="266">
        <v>35673.33</v>
      </c>
      <c r="L97" s="266">
        <v>0</v>
      </c>
      <c r="M97" s="266">
        <v>0</v>
      </c>
      <c r="N97" s="266">
        <v>246132.92</v>
      </c>
      <c r="O97" s="123">
        <v>3.6200000000000003E-2</v>
      </c>
      <c r="P97" s="123">
        <v>0.24060000000000001</v>
      </c>
      <c r="Q97" s="266">
        <v>0</v>
      </c>
      <c r="R97" s="266">
        <v>0</v>
      </c>
      <c r="S97" s="266">
        <v>0</v>
      </c>
      <c r="T97" s="266">
        <v>0</v>
      </c>
      <c r="U97" s="266">
        <v>0</v>
      </c>
      <c r="V97" s="266">
        <v>0</v>
      </c>
      <c r="W97" s="266">
        <v>0</v>
      </c>
      <c r="X97" s="266">
        <v>0</v>
      </c>
      <c r="Y97" s="266">
        <v>0</v>
      </c>
      <c r="Z97" s="266">
        <v>0</v>
      </c>
      <c r="AA97" s="266">
        <v>0</v>
      </c>
      <c r="AB97" s="266">
        <v>0</v>
      </c>
      <c r="AC97" s="266">
        <v>0</v>
      </c>
      <c r="AD97" s="266">
        <v>35094.89</v>
      </c>
      <c r="AE97" s="237">
        <v>4.26</v>
      </c>
      <c r="AF97" s="266">
        <v>33285.75</v>
      </c>
      <c r="AG97" s="237">
        <f t="shared" si="49"/>
        <v>7813.5563380281692</v>
      </c>
      <c r="AH97" s="237">
        <f t="shared" si="50"/>
        <v>8238.2370892018789</v>
      </c>
      <c r="AI97" s="237">
        <f t="shared" si="51"/>
        <v>424.68075117370972</v>
      </c>
      <c r="AJ97" s="237">
        <v>0</v>
      </c>
      <c r="AK97" s="266">
        <v>0</v>
      </c>
      <c r="AL97" s="237">
        <f t="shared" si="52"/>
        <v>0</v>
      </c>
      <c r="AM97" s="237">
        <f t="shared" si="53"/>
        <v>0</v>
      </c>
      <c r="AN97" s="237">
        <f t="shared" si="54"/>
        <v>0</v>
      </c>
      <c r="AO97" s="266">
        <v>0</v>
      </c>
      <c r="AP97" s="266">
        <v>0</v>
      </c>
      <c r="AQ97" s="266">
        <v>0</v>
      </c>
      <c r="AR97" s="266">
        <v>0</v>
      </c>
      <c r="AS97" s="358">
        <v>30426.36</v>
      </c>
      <c r="AT97" s="371">
        <v>3108.2700000000013</v>
      </c>
      <c r="AU97" s="373">
        <v>14936.109999999999</v>
      </c>
    </row>
    <row r="98" spans="1:47">
      <c r="A98" s="238" t="s">
        <v>407</v>
      </c>
      <c r="B98" s="238" t="s">
        <v>1361</v>
      </c>
      <c r="C98" s="266">
        <v>0</v>
      </c>
      <c r="D98" s="266">
        <v>0</v>
      </c>
      <c r="E98" s="266">
        <v>0</v>
      </c>
      <c r="F98" s="266">
        <v>0</v>
      </c>
      <c r="G98" s="266">
        <v>0</v>
      </c>
      <c r="H98" s="266">
        <v>0</v>
      </c>
      <c r="I98" s="266">
        <v>0</v>
      </c>
      <c r="J98" s="266">
        <v>8191.83</v>
      </c>
      <c r="K98" s="266">
        <v>28227.25</v>
      </c>
      <c r="L98" s="266">
        <v>0</v>
      </c>
      <c r="M98" s="266">
        <v>0</v>
      </c>
      <c r="N98" s="266">
        <v>67580.210000000006</v>
      </c>
      <c r="O98" s="123">
        <v>4.87E-2</v>
      </c>
      <c r="P98" s="123">
        <v>0.31140000000000001</v>
      </c>
      <c r="Q98" s="266">
        <v>0</v>
      </c>
      <c r="R98" s="266">
        <v>0</v>
      </c>
      <c r="S98" s="266">
        <v>0</v>
      </c>
      <c r="T98" s="266">
        <v>0</v>
      </c>
      <c r="U98" s="266">
        <v>0</v>
      </c>
      <c r="V98" s="266">
        <v>0</v>
      </c>
      <c r="W98" s="266">
        <v>0</v>
      </c>
      <c r="X98" s="266">
        <v>0</v>
      </c>
      <c r="Y98" s="266">
        <v>0</v>
      </c>
      <c r="Z98" s="266">
        <v>0</v>
      </c>
      <c r="AA98" s="266">
        <v>0</v>
      </c>
      <c r="AB98" s="266">
        <v>0</v>
      </c>
      <c r="AC98" s="266">
        <v>0</v>
      </c>
      <c r="AD98" s="266">
        <v>0</v>
      </c>
      <c r="AE98" s="237">
        <v>0</v>
      </c>
      <c r="AF98" s="266">
        <v>0</v>
      </c>
      <c r="AG98" s="237">
        <f t="shared" si="49"/>
        <v>0</v>
      </c>
      <c r="AH98" s="237">
        <f t="shared" si="50"/>
        <v>0</v>
      </c>
      <c r="AI98" s="237">
        <f t="shared" si="51"/>
        <v>0</v>
      </c>
      <c r="AJ98" s="237">
        <v>0</v>
      </c>
      <c r="AK98" s="266">
        <v>0</v>
      </c>
      <c r="AL98" s="237">
        <f t="shared" si="52"/>
        <v>0</v>
      </c>
      <c r="AM98" s="237">
        <f t="shared" si="53"/>
        <v>0</v>
      </c>
      <c r="AN98" s="237">
        <f t="shared" si="54"/>
        <v>0</v>
      </c>
      <c r="AO98" s="266">
        <v>0</v>
      </c>
      <c r="AP98" s="266">
        <v>0</v>
      </c>
      <c r="AQ98" s="266">
        <v>0</v>
      </c>
      <c r="AR98" s="266">
        <v>0</v>
      </c>
      <c r="AS98" s="358">
        <v>9850.91</v>
      </c>
      <c r="AT98" s="371">
        <v>5737.32</v>
      </c>
      <c r="AU98" s="373">
        <v>12353.5</v>
      </c>
    </row>
    <row r="99" spans="1:47">
      <c r="A99" s="238" t="s">
        <v>413</v>
      </c>
      <c r="B99" s="238" t="s">
        <v>1362</v>
      </c>
      <c r="C99" s="266">
        <v>0</v>
      </c>
      <c r="D99" s="266">
        <v>0</v>
      </c>
      <c r="E99" s="266">
        <v>0</v>
      </c>
      <c r="F99" s="266">
        <v>0</v>
      </c>
      <c r="G99" s="266">
        <v>0</v>
      </c>
      <c r="H99" s="266">
        <v>0</v>
      </c>
      <c r="I99" s="266">
        <v>0</v>
      </c>
      <c r="J99" s="266">
        <v>181609.66</v>
      </c>
      <c r="K99" s="266">
        <v>339945.81</v>
      </c>
      <c r="L99" s="266">
        <v>47425.97</v>
      </c>
      <c r="M99" s="266">
        <v>24895.02</v>
      </c>
      <c r="N99" s="266">
        <v>513508.36</v>
      </c>
      <c r="O99" s="123">
        <v>5.8900000000000001E-2</v>
      </c>
      <c r="P99" s="123">
        <v>0.1883</v>
      </c>
      <c r="Q99" s="266">
        <v>0</v>
      </c>
      <c r="R99" s="266">
        <v>0</v>
      </c>
      <c r="S99" s="266">
        <v>0</v>
      </c>
      <c r="T99" s="266">
        <v>0</v>
      </c>
      <c r="U99" s="266">
        <v>0</v>
      </c>
      <c r="V99" s="266">
        <v>0</v>
      </c>
      <c r="W99" s="266">
        <v>0</v>
      </c>
      <c r="X99" s="266">
        <v>0</v>
      </c>
      <c r="Y99" s="266">
        <v>0</v>
      </c>
      <c r="Z99" s="266">
        <v>0</v>
      </c>
      <c r="AA99" s="266">
        <v>0</v>
      </c>
      <c r="AB99" s="266">
        <v>0</v>
      </c>
      <c r="AC99" s="266">
        <v>182546.17</v>
      </c>
      <c r="AD99" s="266">
        <v>657949.26</v>
      </c>
      <c r="AE99" s="237">
        <v>79.27</v>
      </c>
      <c r="AF99" s="266">
        <v>618511</v>
      </c>
      <c r="AG99" s="237">
        <f t="shared" si="49"/>
        <v>7802.5860981455789</v>
      </c>
      <c r="AH99" s="237">
        <f t="shared" si="50"/>
        <v>8300.1042008325985</v>
      </c>
      <c r="AI99" s="237">
        <f t="shared" si="51"/>
        <v>497.51810268701956</v>
      </c>
      <c r="AJ99" s="237">
        <v>22.18</v>
      </c>
      <c r="AK99" s="266">
        <v>167112.07999999999</v>
      </c>
      <c r="AL99" s="237">
        <f t="shared" si="52"/>
        <v>7534.3588818755634</v>
      </c>
      <c r="AM99" s="237">
        <f t="shared" si="53"/>
        <v>8230.2150586113621</v>
      </c>
      <c r="AN99" s="237">
        <f t="shared" si="54"/>
        <v>695.85617673579873</v>
      </c>
      <c r="AO99" s="266">
        <v>0</v>
      </c>
      <c r="AP99" s="266">
        <v>0</v>
      </c>
      <c r="AQ99" s="266">
        <v>0</v>
      </c>
      <c r="AR99" s="266">
        <v>0</v>
      </c>
      <c r="AS99" s="358">
        <v>85073.31</v>
      </c>
      <c r="AT99" s="371">
        <v>0</v>
      </c>
      <c r="AU99" s="373">
        <v>50810.53</v>
      </c>
    </row>
    <row r="100" spans="1:47">
      <c r="A100" s="238" t="s">
        <v>297</v>
      </c>
      <c r="B100" s="238" t="s">
        <v>1363</v>
      </c>
      <c r="C100" s="266">
        <v>0</v>
      </c>
      <c r="D100" s="266">
        <v>0</v>
      </c>
      <c r="E100" s="266">
        <v>13514.42</v>
      </c>
      <c r="F100" s="266">
        <v>6802.79</v>
      </c>
      <c r="G100" s="266">
        <v>913541.18</v>
      </c>
      <c r="H100" s="266">
        <v>176249.98</v>
      </c>
      <c r="I100" s="266">
        <v>52175.23</v>
      </c>
      <c r="J100" s="266">
        <v>203452.42</v>
      </c>
      <c r="K100" s="266">
        <v>315050.78000000003</v>
      </c>
      <c r="L100" s="266">
        <v>0</v>
      </c>
      <c r="M100" s="266">
        <v>19839.72</v>
      </c>
      <c r="N100" s="266">
        <v>483095.36</v>
      </c>
      <c r="O100" s="123">
        <v>5.96E-2</v>
      </c>
      <c r="P100" s="123">
        <v>0.2326</v>
      </c>
      <c r="Q100" s="266">
        <v>0</v>
      </c>
      <c r="R100" s="266">
        <v>0</v>
      </c>
      <c r="S100" s="266">
        <v>0</v>
      </c>
      <c r="T100" s="266">
        <v>0</v>
      </c>
      <c r="U100" s="266">
        <v>0</v>
      </c>
      <c r="V100" s="266">
        <v>0</v>
      </c>
      <c r="W100" s="266">
        <v>0</v>
      </c>
      <c r="X100" s="266">
        <v>0</v>
      </c>
      <c r="Y100" s="266">
        <v>0</v>
      </c>
      <c r="Z100" s="266">
        <v>0</v>
      </c>
      <c r="AA100" s="266">
        <v>12373.49</v>
      </c>
      <c r="AB100" s="266">
        <v>0</v>
      </c>
      <c r="AC100" s="266">
        <v>137526.85999999999</v>
      </c>
      <c r="AD100" s="266">
        <v>188411.27</v>
      </c>
      <c r="AE100" s="237">
        <v>21.58</v>
      </c>
      <c r="AF100" s="266">
        <v>168368.73</v>
      </c>
      <c r="AG100" s="237">
        <f t="shared" si="49"/>
        <v>7802.0727525486573</v>
      </c>
      <c r="AH100" s="237">
        <f t="shared" si="50"/>
        <v>8730.8280815569979</v>
      </c>
      <c r="AI100" s="237">
        <f t="shared" si="51"/>
        <v>928.7553290083406</v>
      </c>
      <c r="AJ100" s="237">
        <v>16.71</v>
      </c>
      <c r="AK100" s="266">
        <v>125860.28</v>
      </c>
      <c r="AL100" s="237">
        <f t="shared" si="52"/>
        <v>7532.0335128665465</v>
      </c>
      <c r="AM100" s="237">
        <f t="shared" si="53"/>
        <v>8230.2130460801909</v>
      </c>
      <c r="AN100" s="237">
        <f t="shared" si="54"/>
        <v>698.17953321364439</v>
      </c>
      <c r="AO100" s="266">
        <v>1663.64</v>
      </c>
      <c r="AP100" s="266">
        <v>0</v>
      </c>
      <c r="AQ100" s="266">
        <v>0</v>
      </c>
      <c r="AR100" s="266">
        <v>0</v>
      </c>
      <c r="AS100" s="358">
        <v>46368.95</v>
      </c>
      <c r="AT100" s="371">
        <v>0</v>
      </c>
      <c r="AU100" s="373">
        <v>46050.359999999993</v>
      </c>
    </row>
    <row r="101" spans="1:47">
      <c r="A101" s="238" t="s">
        <v>725</v>
      </c>
      <c r="B101" s="238" t="s">
        <v>1364</v>
      </c>
      <c r="C101" s="266">
        <v>0</v>
      </c>
      <c r="D101" s="266">
        <v>0</v>
      </c>
      <c r="E101" s="266">
        <v>0</v>
      </c>
      <c r="F101" s="266">
        <v>0</v>
      </c>
      <c r="G101" s="266">
        <v>4445892.47</v>
      </c>
      <c r="H101" s="266">
        <v>1068030.96</v>
      </c>
      <c r="I101" s="266">
        <v>193994.56</v>
      </c>
      <c r="J101" s="266">
        <v>997040.84</v>
      </c>
      <c r="K101" s="266">
        <v>1865028.17</v>
      </c>
      <c r="L101" s="266">
        <v>1844654.7</v>
      </c>
      <c r="M101" s="266">
        <v>97958.58</v>
      </c>
      <c r="N101" s="266">
        <v>1233437.3400000001</v>
      </c>
      <c r="O101" s="123">
        <v>4.9500000000000002E-2</v>
      </c>
      <c r="P101" s="123">
        <v>0.1883</v>
      </c>
      <c r="Q101" s="266">
        <v>0</v>
      </c>
      <c r="R101" s="266">
        <v>0</v>
      </c>
      <c r="S101" s="266">
        <v>0</v>
      </c>
      <c r="T101" s="266">
        <v>0</v>
      </c>
      <c r="U101" s="266">
        <v>0</v>
      </c>
      <c r="V101" s="266">
        <v>0</v>
      </c>
      <c r="W101" s="266">
        <v>0</v>
      </c>
      <c r="X101" s="266">
        <v>0</v>
      </c>
      <c r="Y101" s="266">
        <v>0</v>
      </c>
      <c r="Z101" s="266">
        <v>0</v>
      </c>
      <c r="AA101" s="266">
        <v>23543.97</v>
      </c>
      <c r="AB101" s="266">
        <v>108574.96</v>
      </c>
      <c r="AC101" s="266">
        <v>322421.11</v>
      </c>
      <c r="AD101" s="266">
        <v>1834914.81</v>
      </c>
      <c r="AE101" s="237">
        <v>218.71</v>
      </c>
      <c r="AF101" s="266">
        <v>1706705.29</v>
      </c>
      <c r="AG101" s="237">
        <f t="shared" si="49"/>
        <v>7803.5082529376796</v>
      </c>
      <c r="AH101" s="237">
        <f t="shared" si="50"/>
        <v>8389.7161080883361</v>
      </c>
      <c r="AI101" s="237">
        <f t="shared" si="51"/>
        <v>586.20785515065654</v>
      </c>
      <c r="AJ101" s="237">
        <v>39.17</v>
      </c>
      <c r="AK101" s="266">
        <v>295263.09000000003</v>
      </c>
      <c r="AL101" s="237">
        <f t="shared" si="52"/>
        <v>7537.9905539954052</v>
      </c>
      <c r="AM101" s="237">
        <f t="shared" si="53"/>
        <v>8231.3278018891997</v>
      </c>
      <c r="AN101" s="237">
        <f t="shared" si="54"/>
        <v>693.33724789379448</v>
      </c>
      <c r="AO101" s="266">
        <v>498.92</v>
      </c>
      <c r="AP101" s="266">
        <v>0</v>
      </c>
      <c r="AQ101" s="266">
        <v>0</v>
      </c>
      <c r="AR101" s="266">
        <v>0</v>
      </c>
      <c r="AS101" s="358">
        <v>60416.44</v>
      </c>
      <c r="AT101" s="371">
        <v>0</v>
      </c>
      <c r="AU101" s="373">
        <v>251678.83000000002</v>
      </c>
    </row>
    <row r="102" spans="1:47">
      <c r="A102" s="238" t="s">
        <v>733</v>
      </c>
      <c r="B102" s="238" t="s">
        <v>1365</v>
      </c>
      <c r="C102" s="266">
        <v>72248.990000000005</v>
      </c>
      <c r="D102" s="266">
        <v>0</v>
      </c>
      <c r="E102" s="266">
        <v>72791.86</v>
      </c>
      <c r="F102" s="266">
        <v>38201.14</v>
      </c>
      <c r="G102" s="266">
        <v>1794171.14</v>
      </c>
      <c r="H102" s="266">
        <v>368554.89</v>
      </c>
      <c r="I102" s="266">
        <v>145948.18</v>
      </c>
      <c r="J102" s="266">
        <v>403947.96</v>
      </c>
      <c r="K102" s="266">
        <v>785194.7</v>
      </c>
      <c r="L102" s="266">
        <v>877052.87</v>
      </c>
      <c r="M102" s="266">
        <v>39584.04</v>
      </c>
      <c r="N102" s="266">
        <v>533670.44999999995</v>
      </c>
      <c r="O102" s="123">
        <v>4.5900000000000003E-2</v>
      </c>
      <c r="P102" s="123">
        <v>0.1903</v>
      </c>
      <c r="Q102" s="266">
        <v>0</v>
      </c>
      <c r="R102" s="266">
        <v>0</v>
      </c>
      <c r="S102" s="266">
        <v>0</v>
      </c>
      <c r="T102" s="266">
        <v>0</v>
      </c>
      <c r="U102" s="266">
        <v>0</v>
      </c>
      <c r="V102" s="266">
        <v>0</v>
      </c>
      <c r="W102" s="266">
        <v>0</v>
      </c>
      <c r="X102" s="266">
        <v>0</v>
      </c>
      <c r="Y102" s="266">
        <v>0</v>
      </c>
      <c r="Z102" s="266">
        <v>1734.5</v>
      </c>
      <c r="AA102" s="266">
        <v>0</v>
      </c>
      <c r="AB102" s="266">
        <v>104009.5</v>
      </c>
      <c r="AC102" s="266">
        <v>207397.69</v>
      </c>
      <c r="AD102" s="266">
        <v>1181040.8999999999</v>
      </c>
      <c r="AE102" s="237">
        <v>142.30000000000001</v>
      </c>
      <c r="AF102" s="266">
        <v>1110415.78</v>
      </c>
      <c r="AG102" s="237">
        <f t="shared" si="49"/>
        <v>7803.3434996486294</v>
      </c>
      <c r="AH102" s="237">
        <f t="shared" si="50"/>
        <v>8299.6549543218534</v>
      </c>
      <c r="AI102" s="237">
        <f t="shared" si="51"/>
        <v>496.31145467322403</v>
      </c>
      <c r="AJ102" s="237">
        <v>25.21</v>
      </c>
      <c r="AK102" s="266">
        <v>189998.79</v>
      </c>
      <c r="AL102" s="237">
        <f t="shared" si="52"/>
        <v>7536.6437921459737</v>
      </c>
      <c r="AM102" s="237">
        <f t="shared" si="53"/>
        <v>8226.8024593415303</v>
      </c>
      <c r="AN102" s="237">
        <f t="shared" si="54"/>
        <v>690.15866719555652</v>
      </c>
      <c r="AO102" s="266">
        <v>82.8</v>
      </c>
      <c r="AP102" s="266">
        <v>0</v>
      </c>
      <c r="AQ102" s="266">
        <v>0</v>
      </c>
      <c r="AR102" s="266">
        <v>0</v>
      </c>
      <c r="AS102" s="358">
        <v>8661.25</v>
      </c>
      <c r="AT102" s="371">
        <v>0</v>
      </c>
      <c r="AU102" s="373">
        <v>104427.12999999999</v>
      </c>
    </row>
    <row r="103" spans="1:47">
      <c r="A103" s="238" t="s">
        <v>591</v>
      </c>
      <c r="B103" s="238" t="s">
        <v>1366</v>
      </c>
      <c r="C103" s="266">
        <v>0</v>
      </c>
      <c r="D103" s="266">
        <v>0</v>
      </c>
      <c r="E103" s="266">
        <v>56999.65</v>
      </c>
      <c r="F103" s="266">
        <v>0</v>
      </c>
      <c r="G103" s="266">
        <v>4016973.4</v>
      </c>
      <c r="H103" s="266">
        <v>836760.86</v>
      </c>
      <c r="I103" s="266">
        <v>377251.64</v>
      </c>
      <c r="J103" s="266">
        <v>63540.34</v>
      </c>
      <c r="K103" s="266">
        <v>607479.18999999994</v>
      </c>
      <c r="L103" s="266">
        <v>107680.23</v>
      </c>
      <c r="M103" s="266">
        <v>62381.21</v>
      </c>
      <c r="N103" s="266">
        <v>1595233.29</v>
      </c>
      <c r="O103" s="123">
        <v>3.6999999999999998E-2</v>
      </c>
      <c r="P103" s="123">
        <v>0.1532</v>
      </c>
      <c r="Q103" s="266">
        <v>0</v>
      </c>
      <c r="R103" s="266">
        <v>0</v>
      </c>
      <c r="S103" s="266">
        <v>0</v>
      </c>
      <c r="T103" s="266">
        <v>0</v>
      </c>
      <c r="U103" s="266">
        <v>0</v>
      </c>
      <c r="V103" s="266">
        <v>0</v>
      </c>
      <c r="W103" s="266">
        <v>0</v>
      </c>
      <c r="X103" s="266">
        <v>0</v>
      </c>
      <c r="Y103" s="266">
        <v>0</v>
      </c>
      <c r="Z103" s="266">
        <v>2306.4499999999998</v>
      </c>
      <c r="AA103" s="266">
        <v>0</v>
      </c>
      <c r="AB103" s="266">
        <v>0</v>
      </c>
      <c r="AC103" s="266">
        <v>522165.31</v>
      </c>
      <c r="AD103" s="266">
        <v>1148712.19</v>
      </c>
      <c r="AE103" s="237">
        <v>127.99</v>
      </c>
      <c r="AF103" s="266">
        <v>1081980.6599999999</v>
      </c>
      <c r="AG103" s="237">
        <f t="shared" si="49"/>
        <v>8453.6343464333149</v>
      </c>
      <c r="AH103" s="237">
        <f t="shared" si="50"/>
        <v>8975.0151574341744</v>
      </c>
      <c r="AI103" s="237">
        <f t="shared" si="51"/>
        <v>521.38081100085947</v>
      </c>
      <c r="AJ103" s="237">
        <v>58.47</v>
      </c>
      <c r="AK103" s="266">
        <v>478015.64</v>
      </c>
      <c r="AL103" s="237">
        <f t="shared" si="52"/>
        <v>8175.400034205576</v>
      </c>
      <c r="AM103" s="237">
        <f t="shared" si="53"/>
        <v>8930.4824696425512</v>
      </c>
      <c r="AN103" s="237">
        <f t="shared" si="54"/>
        <v>755.08243543697517</v>
      </c>
      <c r="AO103" s="266">
        <v>0</v>
      </c>
      <c r="AP103" s="266">
        <v>0</v>
      </c>
      <c r="AQ103" s="266">
        <v>0</v>
      </c>
      <c r="AR103" s="266">
        <v>0</v>
      </c>
      <c r="AS103" s="358">
        <v>0</v>
      </c>
      <c r="AT103" s="371">
        <v>64084.380000000005</v>
      </c>
      <c r="AU103" s="373">
        <v>141560.62</v>
      </c>
    </row>
    <row r="104" spans="1:47">
      <c r="A104" s="238" t="s">
        <v>463</v>
      </c>
      <c r="B104" s="238" t="s">
        <v>1367</v>
      </c>
      <c r="C104" s="266">
        <v>0</v>
      </c>
      <c r="D104" s="266">
        <v>0</v>
      </c>
      <c r="E104" s="266">
        <v>0</v>
      </c>
      <c r="F104" s="266">
        <v>0</v>
      </c>
      <c r="G104" s="266">
        <v>251885.81</v>
      </c>
      <c r="H104" s="266">
        <v>18347.650000000001</v>
      </c>
      <c r="I104" s="266">
        <v>57183.48</v>
      </c>
      <c r="J104" s="266">
        <v>0</v>
      </c>
      <c r="K104" s="266">
        <v>59709.9</v>
      </c>
      <c r="L104" s="266">
        <v>0</v>
      </c>
      <c r="M104" s="266">
        <v>5532.23</v>
      </c>
      <c r="N104" s="266">
        <v>146539.49</v>
      </c>
      <c r="O104" s="123">
        <v>6.4399999999999999E-2</v>
      </c>
      <c r="P104" s="123">
        <v>0.2591</v>
      </c>
      <c r="Q104" s="266">
        <v>0</v>
      </c>
      <c r="R104" s="266">
        <v>0</v>
      </c>
      <c r="S104" s="266">
        <v>0</v>
      </c>
      <c r="T104" s="266">
        <v>0</v>
      </c>
      <c r="U104" s="266">
        <v>0</v>
      </c>
      <c r="V104" s="266">
        <v>0</v>
      </c>
      <c r="W104" s="266">
        <v>0</v>
      </c>
      <c r="X104" s="266">
        <v>0</v>
      </c>
      <c r="Y104" s="266">
        <v>0</v>
      </c>
      <c r="Z104" s="266">
        <v>0</v>
      </c>
      <c r="AA104" s="266">
        <v>0</v>
      </c>
      <c r="AB104" s="266">
        <v>0</v>
      </c>
      <c r="AC104" s="266">
        <v>0</v>
      </c>
      <c r="AD104" s="266">
        <v>0</v>
      </c>
      <c r="AE104" s="237">
        <v>0</v>
      </c>
      <c r="AF104" s="266">
        <v>0</v>
      </c>
      <c r="AG104" s="237">
        <f t="shared" si="49"/>
        <v>0</v>
      </c>
      <c r="AH104" s="237">
        <f t="shared" si="50"/>
        <v>0</v>
      </c>
      <c r="AI104" s="237">
        <f t="shared" si="51"/>
        <v>0</v>
      </c>
      <c r="AJ104" s="237">
        <v>0</v>
      </c>
      <c r="AK104" s="266">
        <v>0</v>
      </c>
      <c r="AL104" s="237">
        <f t="shared" si="52"/>
        <v>0</v>
      </c>
      <c r="AM104" s="237">
        <f t="shared" si="53"/>
        <v>0</v>
      </c>
      <c r="AN104" s="237">
        <f t="shared" si="54"/>
        <v>0</v>
      </c>
      <c r="AO104" s="266">
        <v>0</v>
      </c>
      <c r="AP104" s="266">
        <v>0</v>
      </c>
      <c r="AQ104" s="266">
        <v>0</v>
      </c>
      <c r="AR104" s="266">
        <v>0</v>
      </c>
      <c r="AS104" s="358">
        <v>16734.5</v>
      </c>
      <c r="AT104" s="371">
        <v>0</v>
      </c>
      <c r="AU104" s="373">
        <v>12636.81</v>
      </c>
    </row>
    <row r="105" spans="1:47">
      <c r="A105" s="238" t="s">
        <v>599</v>
      </c>
      <c r="B105" s="238" t="s">
        <v>1368</v>
      </c>
      <c r="C105" s="266">
        <v>0</v>
      </c>
      <c r="D105" s="266">
        <v>0</v>
      </c>
      <c r="E105" s="266">
        <v>0</v>
      </c>
      <c r="F105" s="266">
        <v>0</v>
      </c>
      <c r="G105" s="266">
        <v>53263.75</v>
      </c>
      <c r="H105" s="266">
        <v>6794.76</v>
      </c>
      <c r="I105" s="266">
        <v>6971.19</v>
      </c>
      <c r="J105" s="266">
        <v>0</v>
      </c>
      <c r="K105" s="266">
        <v>5532.23</v>
      </c>
      <c r="L105" s="266">
        <v>0</v>
      </c>
      <c r="M105" s="266">
        <v>0</v>
      </c>
      <c r="N105" s="266">
        <v>155750.54999999999</v>
      </c>
      <c r="O105" s="123">
        <v>4.1000000000000002E-2</v>
      </c>
      <c r="P105" s="123">
        <v>0.2306</v>
      </c>
      <c r="Q105" s="266">
        <v>0</v>
      </c>
      <c r="R105" s="266">
        <v>0</v>
      </c>
      <c r="S105" s="266">
        <v>0</v>
      </c>
      <c r="T105" s="266">
        <v>0</v>
      </c>
      <c r="U105" s="266">
        <v>0</v>
      </c>
      <c r="V105" s="266">
        <v>0</v>
      </c>
      <c r="W105" s="266">
        <v>0</v>
      </c>
      <c r="X105" s="266">
        <v>0</v>
      </c>
      <c r="Y105" s="266">
        <v>0</v>
      </c>
      <c r="Z105" s="266">
        <v>0</v>
      </c>
      <c r="AA105" s="266">
        <v>0</v>
      </c>
      <c r="AB105" s="266">
        <v>0</v>
      </c>
      <c r="AC105" s="266">
        <v>0</v>
      </c>
      <c r="AD105" s="266">
        <v>0</v>
      </c>
      <c r="AE105" s="237">
        <v>0</v>
      </c>
      <c r="AF105" s="266">
        <v>0</v>
      </c>
      <c r="AG105" s="237">
        <f t="shared" si="49"/>
        <v>0</v>
      </c>
      <c r="AH105" s="237">
        <f t="shared" si="50"/>
        <v>0</v>
      </c>
      <c r="AI105" s="237">
        <f t="shared" si="51"/>
        <v>0</v>
      </c>
      <c r="AJ105" s="237">
        <v>0</v>
      </c>
      <c r="AK105" s="266">
        <v>0</v>
      </c>
      <c r="AL105" s="237">
        <f t="shared" si="52"/>
        <v>0</v>
      </c>
      <c r="AM105" s="237">
        <f t="shared" si="53"/>
        <v>0</v>
      </c>
      <c r="AN105" s="237">
        <f t="shared" si="54"/>
        <v>0</v>
      </c>
      <c r="AO105" s="266">
        <v>0</v>
      </c>
      <c r="AP105" s="266">
        <v>0</v>
      </c>
      <c r="AQ105" s="266">
        <v>0</v>
      </c>
      <c r="AR105" s="266">
        <v>0</v>
      </c>
      <c r="AS105" s="358">
        <v>1525.35</v>
      </c>
      <c r="AT105" s="371">
        <v>142.74</v>
      </c>
      <c r="AU105" s="373">
        <v>2932.4700000000003</v>
      </c>
    </row>
    <row r="106" spans="1:47">
      <c r="A106" s="238" t="s">
        <v>1620</v>
      </c>
      <c r="B106" s="238" t="s">
        <v>1675</v>
      </c>
      <c r="C106" s="266">
        <v>0</v>
      </c>
      <c r="D106" s="266">
        <v>0</v>
      </c>
      <c r="E106" s="266">
        <v>0</v>
      </c>
      <c r="F106" s="266">
        <v>0</v>
      </c>
      <c r="G106" s="266">
        <v>273657.57</v>
      </c>
      <c r="H106" s="266">
        <v>90968.01</v>
      </c>
      <c r="I106" s="266">
        <v>0</v>
      </c>
      <c r="J106" s="266">
        <v>81341.88</v>
      </c>
      <c r="K106" s="266">
        <v>131118.26</v>
      </c>
      <c r="L106" s="266">
        <v>69272.81</v>
      </c>
      <c r="M106" s="266">
        <v>7505.09</v>
      </c>
      <c r="N106" s="266">
        <v>443653.05</v>
      </c>
      <c r="O106" s="123">
        <v>0.08</v>
      </c>
      <c r="P106" s="123">
        <v>0.1</v>
      </c>
      <c r="Q106" s="266">
        <v>0</v>
      </c>
      <c r="R106" s="266">
        <v>0</v>
      </c>
      <c r="S106" s="266">
        <v>0</v>
      </c>
      <c r="T106" s="266">
        <v>0</v>
      </c>
      <c r="U106" s="266">
        <v>0</v>
      </c>
      <c r="V106" s="266">
        <v>0</v>
      </c>
      <c r="W106" s="266">
        <v>0</v>
      </c>
      <c r="X106" s="266">
        <v>0</v>
      </c>
      <c r="Y106" s="266">
        <v>0</v>
      </c>
      <c r="Z106" s="266">
        <v>0</v>
      </c>
      <c r="AA106" s="266">
        <v>0</v>
      </c>
      <c r="AB106" s="266">
        <v>0</v>
      </c>
      <c r="AC106" s="266">
        <v>0</v>
      </c>
      <c r="AD106" s="266">
        <v>0</v>
      </c>
      <c r="AE106" s="237">
        <v>0</v>
      </c>
      <c r="AF106" s="266">
        <v>0</v>
      </c>
      <c r="AG106" s="237">
        <f t="shared" si="49"/>
        <v>0</v>
      </c>
      <c r="AH106" s="237">
        <f t="shared" si="50"/>
        <v>0</v>
      </c>
      <c r="AI106" s="237">
        <f t="shared" si="51"/>
        <v>0</v>
      </c>
      <c r="AJ106" s="237">
        <v>0</v>
      </c>
      <c r="AK106" s="266">
        <v>0</v>
      </c>
      <c r="AL106" s="237">
        <f t="shared" si="52"/>
        <v>0</v>
      </c>
      <c r="AM106" s="237">
        <f t="shared" si="53"/>
        <v>0</v>
      </c>
      <c r="AN106" s="237">
        <f t="shared" si="54"/>
        <v>0</v>
      </c>
      <c r="AO106" s="266">
        <v>0</v>
      </c>
      <c r="AP106" s="266">
        <v>0</v>
      </c>
      <c r="AQ106" s="266">
        <v>0</v>
      </c>
      <c r="AR106" s="266">
        <v>0</v>
      </c>
      <c r="AS106" s="358">
        <v>0</v>
      </c>
      <c r="AT106" s="371">
        <v>11819.37</v>
      </c>
      <c r="AU106" s="373">
        <v>23951.08</v>
      </c>
    </row>
    <row r="107" spans="1:47">
      <c r="A107" s="238" t="s">
        <v>220</v>
      </c>
      <c r="B107" s="238" t="s">
        <v>1370</v>
      </c>
      <c r="C107" s="266">
        <v>0</v>
      </c>
      <c r="D107" s="266">
        <v>0</v>
      </c>
      <c r="E107" s="266">
        <v>42.13</v>
      </c>
      <c r="F107" s="266">
        <v>0</v>
      </c>
      <c r="G107" s="266">
        <v>0</v>
      </c>
      <c r="H107" s="266">
        <v>0</v>
      </c>
      <c r="I107" s="266">
        <v>0</v>
      </c>
      <c r="J107" s="266">
        <v>0</v>
      </c>
      <c r="K107" s="266">
        <v>49980.81</v>
      </c>
      <c r="L107" s="266">
        <v>0</v>
      </c>
      <c r="M107" s="266">
        <v>4387.63</v>
      </c>
      <c r="N107" s="266">
        <v>182049.87</v>
      </c>
      <c r="O107" s="123">
        <v>0.1371</v>
      </c>
      <c r="P107" s="123">
        <v>0.32800000000000001</v>
      </c>
      <c r="Q107" s="266">
        <v>0</v>
      </c>
      <c r="R107" s="266">
        <v>0</v>
      </c>
      <c r="S107" s="266">
        <v>0</v>
      </c>
      <c r="T107" s="266">
        <v>0</v>
      </c>
      <c r="U107" s="266">
        <v>0</v>
      </c>
      <c r="V107" s="266">
        <v>0</v>
      </c>
      <c r="W107" s="266">
        <v>0</v>
      </c>
      <c r="X107" s="266">
        <v>0</v>
      </c>
      <c r="Y107" s="266">
        <v>0</v>
      </c>
      <c r="Z107" s="266">
        <v>173.45</v>
      </c>
      <c r="AA107" s="266">
        <v>0</v>
      </c>
      <c r="AB107" s="266">
        <v>0</v>
      </c>
      <c r="AC107" s="266">
        <v>0</v>
      </c>
      <c r="AD107" s="266">
        <v>0</v>
      </c>
      <c r="AE107" s="237">
        <v>0</v>
      </c>
      <c r="AF107" s="266">
        <v>0</v>
      </c>
      <c r="AG107" s="237">
        <f t="shared" si="49"/>
        <v>0</v>
      </c>
      <c r="AH107" s="237">
        <f t="shared" si="50"/>
        <v>0</v>
      </c>
      <c r="AI107" s="237">
        <f t="shared" si="51"/>
        <v>0</v>
      </c>
      <c r="AJ107" s="237">
        <v>0</v>
      </c>
      <c r="AK107" s="266">
        <v>0</v>
      </c>
      <c r="AL107" s="237">
        <f t="shared" si="52"/>
        <v>0</v>
      </c>
      <c r="AM107" s="237">
        <f t="shared" si="53"/>
        <v>0</v>
      </c>
      <c r="AN107" s="237">
        <f t="shared" si="54"/>
        <v>0</v>
      </c>
      <c r="AO107" s="266">
        <v>0</v>
      </c>
      <c r="AP107" s="266">
        <v>0</v>
      </c>
      <c r="AQ107" s="266">
        <v>0</v>
      </c>
      <c r="AR107" s="266">
        <v>0</v>
      </c>
      <c r="AS107" s="358">
        <v>19716.88</v>
      </c>
      <c r="AT107" s="371">
        <v>581.68000000000029</v>
      </c>
      <c r="AU107" s="373">
        <v>9329.5500000000011</v>
      </c>
    </row>
    <row r="108" spans="1:47">
      <c r="A108" s="238" t="s">
        <v>653</v>
      </c>
      <c r="B108" s="238" t="s">
        <v>1371</v>
      </c>
      <c r="C108" s="266">
        <v>0</v>
      </c>
      <c r="D108" s="266">
        <v>0</v>
      </c>
      <c r="E108" s="266">
        <v>2663.81</v>
      </c>
      <c r="F108" s="266">
        <v>0</v>
      </c>
      <c r="G108" s="266">
        <v>836342.05</v>
      </c>
      <c r="H108" s="266">
        <v>139892.20000000001</v>
      </c>
      <c r="I108" s="266">
        <v>50828.36</v>
      </c>
      <c r="J108" s="266">
        <v>0</v>
      </c>
      <c r="K108" s="266">
        <v>65528.28</v>
      </c>
      <c r="L108" s="266">
        <v>3648.16</v>
      </c>
      <c r="M108" s="266">
        <v>17168.98</v>
      </c>
      <c r="N108" s="266">
        <v>691553.02</v>
      </c>
      <c r="O108" s="123">
        <v>4.3499999999999997E-2</v>
      </c>
      <c r="P108" s="123">
        <v>0.19539999999999999</v>
      </c>
      <c r="Q108" s="266">
        <v>0</v>
      </c>
      <c r="R108" s="266">
        <v>0</v>
      </c>
      <c r="S108" s="266">
        <v>0</v>
      </c>
      <c r="T108" s="266">
        <v>0</v>
      </c>
      <c r="U108" s="266">
        <v>0</v>
      </c>
      <c r="V108" s="266">
        <v>0</v>
      </c>
      <c r="W108" s="266">
        <v>0</v>
      </c>
      <c r="X108" s="266">
        <v>0</v>
      </c>
      <c r="Y108" s="266">
        <v>0</v>
      </c>
      <c r="Z108" s="266">
        <v>712.46</v>
      </c>
      <c r="AA108" s="266">
        <v>0</v>
      </c>
      <c r="AB108" s="266">
        <v>0</v>
      </c>
      <c r="AC108" s="266">
        <v>0</v>
      </c>
      <c r="AD108" s="266">
        <v>0</v>
      </c>
      <c r="AE108" s="237">
        <v>0</v>
      </c>
      <c r="AF108" s="266">
        <v>0</v>
      </c>
      <c r="AG108" s="237">
        <f t="shared" si="49"/>
        <v>0</v>
      </c>
      <c r="AH108" s="237">
        <f t="shared" si="50"/>
        <v>0</v>
      </c>
      <c r="AI108" s="237">
        <f t="shared" si="51"/>
        <v>0</v>
      </c>
      <c r="AJ108" s="237">
        <v>0</v>
      </c>
      <c r="AK108" s="266">
        <v>0</v>
      </c>
      <c r="AL108" s="237">
        <f t="shared" si="52"/>
        <v>0</v>
      </c>
      <c r="AM108" s="237">
        <f t="shared" si="53"/>
        <v>0</v>
      </c>
      <c r="AN108" s="237">
        <f t="shared" si="54"/>
        <v>0</v>
      </c>
      <c r="AO108" s="266">
        <v>1067.7</v>
      </c>
      <c r="AP108" s="266">
        <v>0</v>
      </c>
      <c r="AQ108" s="266">
        <v>0</v>
      </c>
      <c r="AR108" s="266">
        <v>0</v>
      </c>
      <c r="AS108" s="358">
        <v>89562.84</v>
      </c>
      <c r="AT108" s="371">
        <v>0</v>
      </c>
      <c r="AU108" s="373">
        <v>38176.33</v>
      </c>
    </row>
    <row r="109" spans="1:47">
      <c r="A109" s="238" t="s">
        <v>457</v>
      </c>
      <c r="B109" s="238" t="s">
        <v>1372</v>
      </c>
      <c r="C109" s="266">
        <v>0</v>
      </c>
      <c r="D109" s="266">
        <v>0</v>
      </c>
      <c r="E109" s="266">
        <v>3355.83</v>
      </c>
      <c r="F109" s="266">
        <v>0</v>
      </c>
      <c r="G109" s="266">
        <v>175816.66</v>
      </c>
      <c r="H109" s="266">
        <v>22141.62</v>
      </c>
      <c r="I109" s="266">
        <v>0</v>
      </c>
      <c r="J109" s="266">
        <v>0</v>
      </c>
      <c r="K109" s="266">
        <v>19245.86</v>
      </c>
      <c r="L109" s="266">
        <v>0</v>
      </c>
      <c r="M109" s="266">
        <v>0</v>
      </c>
      <c r="N109" s="266">
        <v>260353.88</v>
      </c>
      <c r="O109" s="123">
        <v>4.0399999999999998E-2</v>
      </c>
      <c r="P109" s="123">
        <v>0.2157</v>
      </c>
      <c r="Q109" s="266">
        <v>0</v>
      </c>
      <c r="R109" s="266">
        <v>0</v>
      </c>
      <c r="S109" s="266">
        <v>0</v>
      </c>
      <c r="T109" s="266">
        <v>0</v>
      </c>
      <c r="U109" s="266">
        <v>0</v>
      </c>
      <c r="V109" s="266">
        <v>0</v>
      </c>
      <c r="W109" s="266">
        <v>0</v>
      </c>
      <c r="X109" s="266">
        <v>0</v>
      </c>
      <c r="Y109" s="266">
        <v>0</v>
      </c>
      <c r="Z109" s="266">
        <v>0</v>
      </c>
      <c r="AA109" s="266">
        <v>0</v>
      </c>
      <c r="AB109" s="266">
        <v>0</v>
      </c>
      <c r="AC109" s="266">
        <v>9353.5400000000009</v>
      </c>
      <c r="AD109" s="266">
        <v>51530.15</v>
      </c>
      <c r="AE109" s="237">
        <v>6.11</v>
      </c>
      <c r="AF109" s="266">
        <v>48539.54</v>
      </c>
      <c r="AG109" s="237">
        <f t="shared" si="49"/>
        <v>7944.2782324058917</v>
      </c>
      <c r="AH109" s="237">
        <f t="shared" si="50"/>
        <v>8433.7397708674307</v>
      </c>
      <c r="AI109" s="237">
        <f t="shared" si="51"/>
        <v>489.46153846153902</v>
      </c>
      <c r="AJ109" s="237">
        <v>1.1100000000000001</v>
      </c>
      <c r="AK109" s="266">
        <v>8553.6299999999992</v>
      </c>
      <c r="AL109" s="237">
        <f t="shared" si="52"/>
        <v>7705.9729729729715</v>
      </c>
      <c r="AM109" s="237">
        <f t="shared" si="53"/>
        <v>8426.6126126126128</v>
      </c>
      <c r="AN109" s="237">
        <f t="shared" si="54"/>
        <v>720.63963963964125</v>
      </c>
      <c r="AO109" s="266">
        <v>511.1</v>
      </c>
      <c r="AP109" s="266">
        <v>0</v>
      </c>
      <c r="AQ109" s="266">
        <v>0</v>
      </c>
      <c r="AR109" s="266">
        <v>0</v>
      </c>
      <c r="AS109" s="358">
        <v>24413.79</v>
      </c>
      <c r="AT109" s="371">
        <v>914.59999999999945</v>
      </c>
      <c r="AU109" s="373">
        <v>15600.23</v>
      </c>
    </row>
    <row r="110" spans="1:47">
      <c r="A110" s="238" t="s">
        <v>731</v>
      </c>
      <c r="B110" s="238" t="s">
        <v>1373</v>
      </c>
      <c r="C110" s="266">
        <v>0</v>
      </c>
      <c r="D110" s="266">
        <v>0</v>
      </c>
      <c r="E110" s="266">
        <v>2599.5500000000002</v>
      </c>
      <c r="F110" s="266">
        <v>29978.21</v>
      </c>
      <c r="G110" s="266">
        <v>1221826.1399999999</v>
      </c>
      <c r="H110" s="266">
        <v>309871.32</v>
      </c>
      <c r="I110" s="266">
        <v>58575.360000000001</v>
      </c>
      <c r="J110" s="266">
        <v>314478.49</v>
      </c>
      <c r="K110" s="266">
        <v>564382.53</v>
      </c>
      <c r="L110" s="266">
        <v>542358.42000000004</v>
      </c>
      <c r="M110" s="266">
        <v>29950.34</v>
      </c>
      <c r="N110" s="266">
        <v>779069.69</v>
      </c>
      <c r="O110" s="123">
        <v>3.9699999999999999E-2</v>
      </c>
      <c r="P110" s="123">
        <v>0.2142</v>
      </c>
      <c r="Q110" s="266">
        <v>0</v>
      </c>
      <c r="R110" s="266">
        <v>0</v>
      </c>
      <c r="S110" s="266">
        <v>0</v>
      </c>
      <c r="T110" s="266">
        <v>0</v>
      </c>
      <c r="U110" s="266">
        <v>0</v>
      </c>
      <c r="V110" s="266">
        <v>0</v>
      </c>
      <c r="W110" s="266">
        <v>0</v>
      </c>
      <c r="X110" s="266">
        <v>0</v>
      </c>
      <c r="Y110" s="266">
        <v>0</v>
      </c>
      <c r="Z110" s="266">
        <v>1293.19</v>
      </c>
      <c r="AA110" s="266">
        <v>0</v>
      </c>
      <c r="AB110" s="266">
        <v>0</v>
      </c>
      <c r="AC110" s="266">
        <v>0</v>
      </c>
      <c r="AD110" s="266">
        <v>395437.02</v>
      </c>
      <c r="AE110" s="237">
        <v>47.87</v>
      </c>
      <c r="AF110" s="266">
        <v>373586.92</v>
      </c>
      <c r="AG110" s="237">
        <f t="shared" si="49"/>
        <v>7804.1972007520371</v>
      </c>
      <c r="AH110" s="237">
        <f t="shared" si="50"/>
        <v>8260.6438270315448</v>
      </c>
      <c r="AI110" s="237">
        <f t="shared" si="51"/>
        <v>456.44662627950765</v>
      </c>
      <c r="AJ110" s="237">
        <v>0</v>
      </c>
      <c r="AK110" s="266">
        <v>0</v>
      </c>
      <c r="AL110" s="237">
        <f t="shared" si="52"/>
        <v>0</v>
      </c>
      <c r="AM110" s="237">
        <f t="shared" si="53"/>
        <v>0</v>
      </c>
      <c r="AN110" s="237">
        <f t="shared" si="54"/>
        <v>0</v>
      </c>
      <c r="AO110" s="266">
        <v>15659.64</v>
      </c>
      <c r="AP110" s="266">
        <v>0</v>
      </c>
      <c r="AQ110" s="266">
        <v>0</v>
      </c>
      <c r="AR110" s="266">
        <v>0</v>
      </c>
      <c r="AS110" s="358">
        <v>43027.68</v>
      </c>
      <c r="AT110" s="371">
        <v>12406.689999999991</v>
      </c>
      <c r="AU110" s="373">
        <v>76151.5</v>
      </c>
    </row>
    <row r="111" spans="1:47">
      <c r="A111" s="238" t="s">
        <v>349</v>
      </c>
      <c r="B111" s="238" t="s">
        <v>1374</v>
      </c>
      <c r="C111" s="266">
        <v>0</v>
      </c>
      <c r="D111" s="266">
        <v>0</v>
      </c>
      <c r="E111" s="266">
        <v>784558.58</v>
      </c>
      <c r="F111" s="266">
        <v>509929.51</v>
      </c>
      <c r="G111" s="266">
        <v>27890429.969999999</v>
      </c>
      <c r="H111" s="266">
        <v>6084855.9400000004</v>
      </c>
      <c r="I111" s="266">
        <v>2012088.6</v>
      </c>
      <c r="J111" s="266">
        <v>5157759.01</v>
      </c>
      <c r="K111" s="266">
        <v>8719914.9499999993</v>
      </c>
      <c r="L111" s="266">
        <v>9727634.8300000001</v>
      </c>
      <c r="M111" s="266">
        <v>587714.32999999996</v>
      </c>
      <c r="N111" s="266">
        <v>6898230.1500000004</v>
      </c>
      <c r="O111" s="123">
        <v>3.2399999999999998E-2</v>
      </c>
      <c r="P111" s="123">
        <v>0.1434</v>
      </c>
      <c r="Q111" s="266">
        <v>0</v>
      </c>
      <c r="R111" s="266">
        <v>0</v>
      </c>
      <c r="S111" s="266">
        <v>0</v>
      </c>
      <c r="T111" s="266">
        <v>0</v>
      </c>
      <c r="U111" s="266">
        <v>0</v>
      </c>
      <c r="V111" s="266">
        <v>0</v>
      </c>
      <c r="W111" s="266">
        <v>0</v>
      </c>
      <c r="X111" s="266">
        <v>0</v>
      </c>
      <c r="Y111" s="266">
        <v>0</v>
      </c>
      <c r="Z111" s="266">
        <v>21258.62</v>
      </c>
      <c r="AA111" s="266">
        <v>102049.02</v>
      </c>
      <c r="AB111" s="266">
        <v>341367.65</v>
      </c>
      <c r="AC111" s="266">
        <v>1365007.54</v>
      </c>
      <c r="AD111" s="266">
        <v>5530812.5</v>
      </c>
      <c r="AE111" s="237">
        <v>547.35</v>
      </c>
      <c r="AF111" s="266">
        <v>4805461.05</v>
      </c>
      <c r="AG111" s="237">
        <f t="shared" si="49"/>
        <v>8779.5031515483679</v>
      </c>
      <c r="AH111" s="237">
        <f t="shared" si="50"/>
        <v>10104.709052708504</v>
      </c>
      <c r="AI111" s="237">
        <f t="shared" si="51"/>
        <v>1325.2059011601359</v>
      </c>
      <c r="AJ111" s="237">
        <v>147.15</v>
      </c>
      <c r="AK111" s="266">
        <v>1250527.24</v>
      </c>
      <c r="AL111" s="237">
        <f t="shared" si="52"/>
        <v>8498.3162759089355</v>
      </c>
      <c r="AM111" s="237">
        <f t="shared" si="53"/>
        <v>9276.2999660210662</v>
      </c>
      <c r="AN111" s="237">
        <f t="shared" si="54"/>
        <v>777.98369011213072</v>
      </c>
      <c r="AO111" s="266">
        <v>0</v>
      </c>
      <c r="AP111" s="266">
        <v>0</v>
      </c>
      <c r="AQ111" s="266">
        <v>0</v>
      </c>
      <c r="AR111" s="266">
        <v>0</v>
      </c>
      <c r="AS111" s="358">
        <v>0</v>
      </c>
      <c r="AT111" s="371">
        <v>48157.130000000005</v>
      </c>
      <c r="AU111" s="373">
        <v>1497782.76</v>
      </c>
    </row>
    <row r="112" spans="1:47">
      <c r="A112" s="238" t="s">
        <v>217</v>
      </c>
      <c r="B112" s="238" t="s">
        <v>1375</v>
      </c>
      <c r="C112" s="266">
        <v>0</v>
      </c>
      <c r="D112" s="266">
        <v>0</v>
      </c>
      <c r="E112" s="266">
        <v>21307.5</v>
      </c>
      <c r="F112" s="266">
        <v>0</v>
      </c>
      <c r="G112" s="266">
        <v>1918787.33</v>
      </c>
      <c r="H112" s="266">
        <v>337211.38</v>
      </c>
      <c r="I112" s="266">
        <v>36852.35</v>
      </c>
      <c r="J112" s="266">
        <v>0</v>
      </c>
      <c r="K112" s="266">
        <v>227457.56</v>
      </c>
      <c r="L112" s="266">
        <v>107793.04</v>
      </c>
      <c r="M112" s="266">
        <v>58219.51</v>
      </c>
      <c r="N112" s="266">
        <v>1333599.3999999999</v>
      </c>
      <c r="O112" s="123">
        <v>3.1300000000000001E-2</v>
      </c>
      <c r="P112" s="123">
        <v>0.1963</v>
      </c>
      <c r="Q112" s="266">
        <v>0</v>
      </c>
      <c r="R112" s="266">
        <v>0</v>
      </c>
      <c r="S112" s="266">
        <v>0</v>
      </c>
      <c r="T112" s="266">
        <v>0</v>
      </c>
      <c r="U112" s="266">
        <v>0</v>
      </c>
      <c r="V112" s="266">
        <v>0</v>
      </c>
      <c r="W112" s="266">
        <v>0</v>
      </c>
      <c r="X112" s="266">
        <v>0</v>
      </c>
      <c r="Y112" s="266">
        <v>0</v>
      </c>
      <c r="Z112" s="266">
        <v>2229.6</v>
      </c>
      <c r="AA112" s="266">
        <v>218.2</v>
      </c>
      <c r="AB112" s="266">
        <v>18964.14</v>
      </c>
      <c r="AC112" s="266">
        <v>94274.36</v>
      </c>
      <c r="AD112" s="266">
        <v>328277.38</v>
      </c>
      <c r="AE112" s="237">
        <v>37.42</v>
      </c>
      <c r="AF112" s="266">
        <v>304015.53999999998</v>
      </c>
      <c r="AG112" s="237">
        <f t="shared" si="49"/>
        <v>8124.4131480491706</v>
      </c>
      <c r="AH112" s="237">
        <f t="shared" si="50"/>
        <v>8772.7787279529657</v>
      </c>
      <c r="AI112" s="237">
        <f t="shared" si="51"/>
        <v>648.36557990379515</v>
      </c>
      <c r="AJ112" s="237">
        <v>10.98</v>
      </c>
      <c r="AK112" s="266">
        <v>86205.92</v>
      </c>
      <c r="AL112" s="237">
        <f t="shared" si="52"/>
        <v>7851.1766848816023</v>
      </c>
      <c r="AM112" s="237">
        <f t="shared" si="53"/>
        <v>8586.0072859744996</v>
      </c>
      <c r="AN112" s="237">
        <f t="shared" si="54"/>
        <v>734.83060109289727</v>
      </c>
      <c r="AO112" s="266">
        <v>0</v>
      </c>
      <c r="AP112" s="266">
        <v>0</v>
      </c>
      <c r="AQ112" s="266">
        <v>0</v>
      </c>
      <c r="AR112" s="266">
        <v>0</v>
      </c>
      <c r="AS112" s="358">
        <v>0</v>
      </c>
      <c r="AT112" s="371">
        <v>0</v>
      </c>
      <c r="AU112" s="373">
        <v>117929.25000000001</v>
      </c>
    </row>
    <row r="113" spans="1:47">
      <c r="A113" s="238" t="s">
        <v>473</v>
      </c>
      <c r="B113" s="238" t="s">
        <v>1376</v>
      </c>
      <c r="C113" s="266">
        <v>0</v>
      </c>
      <c r="D113" s="266">
        <v>0</v>
      </c>
      <c r="E113" s="266">
        <v>2289.4899999999998</v>
      </c>
      <c r="F113" s="266">
        <v>8067.73</v>
      </c>
      <c r="G113" s="266">
        <v>405323.64</v>
      </c>
      <c r="H113" s="266">
        <v>79994.91</v>
      </c>
      <c r="I113" s="266">
        <v>15434.02</v>
      </c>
      <c r="J113" s="266">
        <v>53414.61</v>
      </c>
      <c r="K113" s="266">
        <v>144696.35</v>
      </c>
      <c r="L113" s="266">
        <v>0</v>
      </c>
      <c r="M113" s="266">
        <v>8584.5</v>
      </c>
      <c r="N113" s="266">
        <v>523417.48</v>
      </c>
      <c r="O113" s="123">
        <v>5.5800000000000002E-2</v>
      </c>
      <c r="P113" s="123">
        <v>0.22159999999999999</v>
      </c>
      <c r="Q113" s="266">
        <v>0</v>
      </c>
      <c r="R113" s="266">
        <v>0</v>
      </c>
      <c r="S113" s="266">
        <v>0</v>
      </c>
      <c r="T113" s="266">
        <v>0</v>
      </c>
      <c r="U113" s="266">
        <v>0</v>
      </c>
      <c r="V113" s="266">
        <v>0</v>
      </c>
      <c r="W113" s="266">
        <v>0</v>
      </c>
      <c r="X113" s="266">
        <v>0</v>
      </c>
      <c r="Y113" s="266">
        <v>0</v>
      </c>
      <c r="Z113" s="266">
        <v>373.25</v>
      </c>
      <c r="AA113" s="266">
        <v>0</v>
      </c>
      <c r="AB113" s="266">
        <v>0</v>
      </c>
      <c r="AC113" s="266">
        <v>0</v>
      </c>
      <c r="AD113" s="266">
        <v>0</v>
      </c>
      <c r="AE113" s="237">
        <v>0</v>
      </c>
      <c r="AF113" s="266">
        <v>0</v>
      </c>
      <c r="AG113" s="237">
        <f t="shared" si="49"/>
        <v>0</v>
      </c>
      <c r="AH113" s="237">
        <f t="shared" si="50"/>
        <v>0</v>
      </c>
      <c r="AI113" s="237">
        <f t="shared" si="51"/>
        <v>0</v>
      </c>
      <c r="AJ113" s="237">
        <v>0</v>
      </c>
      <c r="AK113" s="266">
        <v>0</v>
      </c>
      <c r="AL113" s="237">
        <f t="shared" si="52"/>
        <v>0</v>
      </c>
      <c r="AM113" s="237">
        <f t="shared" si="53"/>
        <v>0</v>
      </c>
      <c r="AN113" s="237">
        <f t="shared" si="54"/>
        <v>0</v>
      </c>
      <c r="AO113" s="266">
        <v>2092.3000000000002</v>
      </c>
      <c r="AP113" s="266">
        <v>0</v>
      </c>
      <c r="AQ113" s="266">
        <v>0</v>
      </c>
      <c r="AR113" s="266">
        <v>0</v>
      </c>
      <c r="AS113" s="358">
        <v>69679.38</v>
      </c>
      <c r="AT113" s="371">
        <v>122.08000000000175</v>
      </c>
      <c r="AU113" s="373">
        <v>21062.17</v>
      </c>
    </row>
    <row r="114" spans="1:47">
      <c r="A114" s="238" t="s">
        <v>301</v>
      </c>
      <c r="B114" s="238" t="s">
        <v>1377</v>
      </c>
      <c r="C114" s="266">
        <v>175160.03</v>
      </c>
      <c r="D114" s="266">
        <v>0</v>
      </c>
      <c r="E114" s="266">
        <v>63652.63</v>
      </c>
      <c r="F114" s="266">
        <v>18792</v>
      </c>
      <c r="G114" s="266">
        <v>1985999.67</v>
      </c>
      <c r="H114" s="266">
        <v>452669.92</v>
      </c>
      <c r="I114" s="266">
        <v>143651.26999999999</v>
      </c>
      <c r="J114" s="266">
        <v>457457.95</v>
      </c>
      <c r="K114" s="266">
        <v>631913.86</v>
      </c>
      <c r="L114" s="266">
        <v>134233.23000000001</v>
      </c>
      <c r="M114" s="266">
        <v>43876.28</v>
      </c>
      <c r="N114" s="266">
        <v>1081607.76</v>
      </c>
      <c r="O114" s="123">
        <v>4.2900000000000001E-2</v>
      </c>
      <c r="P114" s="123">
        <v>0.20300000000000001</v>
      </c>
      <c r="Q114" s="266">
        <v>0</v>
      </c>
      <c r="R114" s="266">
        <v>0</v>
      </c>
      <c r="S114" s="266">
        <v>0</v>
      </c>
      <c r="T114" s="266">
        <v>0</v>
      </c>
      <c r="U114" s="266">
        <v>0</v>
      </c>
      <c r="V114" s="266">
        <v>0</v>
      </c>
      <c r="W114" s="266">
        <v>0</v>
      </c>
      <c r="X114" s="266">
        <v>0</v>
      </c>
      <c r="Y114" s="266">
        <v>0</v>
      </c>
      <c r="Z114" s="266">
        <v>0</v>
      </c>
      <c r="AA114" s="266">
        <v>4176.13</v>
      </c>
      <c r="AB114" s="266">
        <v>0</v>
      </c>
      <c r="AC114" s="266">
        <v>82928.78</v>
      </c>
      <c r="AD114" s="266">
        <v>1083500.98</v>
      </c>
      <c r="AE114" s="237">
        <v>131.47</v>
      </c>
      <c r="AF114" s="266">
        <v>1025962.45</v>
      </c>
      <c r="AG114" s="237">
        <f t="shared" si="49"/>
        <v>7803.7761466494258</v>
      </c>
      <c r="AH114" s="237">
        <f t="shared" si="50"/>
        <v>8241.4313531604166</v>
      </c>
      <c r="AI114" s="237">
        <f t="shared" si="51"/>
        <v>437.65520651099087</v>
      </c>
      <c r="AJ114" s="237">
        <v>10.08</v>
      </c>
      <c r="AK114" s="266">
        <v>76030.13</v>
      </c>
      <c r="AL114" s="237">
        <f t="shared" si="52"/>
        <v>7542.6716269841272</v>
      </c>
      <c r="AM114" s="237">
        <f t="shared" si="53"/>
        <v>8227.061507936507</v>
      </c>
      <c r="AN114" s="237">
        <f t="shared" si="54"/>
        <v>684.38988095237983</v>
      </c>
      <c r="AO114" s="266">
        <v>666.44</v>
      </c>
      <c r="AP114" s="266">
        <v>512.42999999999995</v>
      </c>
      <c r="AQ114" s="266">
        <v>0</v>
      </c>
      <c r="AR114" s="266">
        <v>0</v>
      </c>
      <c r="AS114" s="358">
        <v>0</v>
      </c>
      <c r="AT114" s="371">
        <v>5284.9500000000044</v>
      </c>
      <c r="AU114" s="373">
        <v>100759.10999999999</v>
      </c>
    </row>
    <row r="115" spans="1:47">
      <c r="A115" s="267" t="s">
        <v>1686</v>
      </c>
      <c r="B115" s="238" t="s">
        <v>1705</v>
      </c>
      <c r="C115" s="266">
        <v>0</v>
      </c>
      <c r="D115" s="266">
        <v>0</v>
      </c>
      <c r="E115" s="266">
        <v>0</v>
      </c>
      <c r="F115" s="266">
        <v>0</v>
      </c>
      <c r="G115" s="266">
        <v>142405.20000000001</v>
      </c>
      <c r="H115" s="266">
        <v>61934.02</v>
      </c>
      <c r="I115" s="266">
        <v>0</v>
      </c>
      <c r="J115" s="266">
        <v>57502.2</v>
      </c>
      <c r="K115" s="266">
        <v>81452.25</v>
      </c>
      <c r="L115" s="266">
        <v>127721.76</v>
      </c>
      <c r="M115" s="266">
        <v>8608.77</v>
      </c>
      <c r="N115" s="266">
        <v>87788.41</v>
      </c>
      <c r="O115" s="123">
        <v>0.08</v>
      </c>
      <c r="P115" s="123">
        <v>0.1</v>
      </c>
      <c r="Q115" s="266">
        <v>0</v>
      </c>
      <c r="R115" s="266">
        <v>0</v>
      </c>
      <c r="S115" s="266">
        <v>0</v>
      </c>
      <c r="T115" s="266">
        <v>0</v>
      </c>
      <c r="U115" s="266">
        <v>0</v>
      </c>
      <c r="V115" s="266">
        <v>0</v>
      </c>
      <c r="W115" s="266">
        <v>0</v>
      </c>
      <c r="X115" s="266">
        <v>0</v>
      </c>
      <c r="Y115" s="266">
        <v>0</v>
      </c>
      <c r="Z115" s="266">
        <v>0</v>
      </c>
      <c r="AA115" s="266">
        <v>0</v>
      </c>
      <c r="AB115" s="266">
        <v>0</v>
      </c>
      <c r="AC115" s="266">
        <v>0</v>
      </c>
      <c r="AD115" s="266">
        <v>0</v>
      </c>
      <c r="AE115" s="237">
        <v>0</v>
      </c>
      <c r="AF115" s="266">
        <v>0</v>
      </c>
      <c r="AG115" s="237">
        <f t="shared" si="49"/>
        <v>0</v>
      </c>
      <c r="AH115" s="237">
        <f t="shared" si="50"/>
        <v>0</v>
      </c>
      <c r="AI115" s="237">
        <f t="shared" si="51"/>
        <v>0</v>
      </c>
      <c r="AJ115" s="237">
        <v>0</v>
      </c>
      <c r="AK115" s="266">
        <v>0</v>
      </c>
      <c r="AL115" s="237">
        <f t="shared" si="52"/>
        <v>0</v>
      </c>
      <c r="AM115" s="237">
        <f t="shared" si="53"/>
        <v>0</v>
      </c>
      <c r="AN115" s="237">
        <f t="shared" si="54"/>
        <v>0</v>
      </c>
      <c r="AO115" s="266">
        <v>0</v>
      </c>
      <c r="AP115" s="266">
        <v>0</v>
      </c>
      <c r="AQ115" s="266">
        <v>0</v>
      </c>
      <c r="AR115" s="266">
        <v>0</v>
      </c>
      <c r="AS115" s="358">
        <v>0</v>
      </c>
      <c r="AT115" s="371">
        <v>8074.01</v>
      </c>
      <c r="AU115" s="373">
        <v>24853.040000000001</v>
      </c>
    </row>
    <row r="116" spans="1:47">
      <c r="A116" s="238" t="s">
        <v>265</v>
      </c>
      <c r="B116" s="238" t="s">
        <v>1378</v>
      </c>
      <c r="C116" s="266">
        <v>0</v>
      </c>
      <c r="D116" s="266">
        <v>0</v>
      </c>
      <c r="E116" s="266">
        <v>0</v>
      </c>
      <c r="F116" s="266">
        <v>0</v>
      </c>
      <c r="G116" s="266">
        <v>212276.93</v>
      </c>
      <c r="H116" s="266">
        <v>22535.58</v>
      </c>
      <c r="I116" s="266">
        <v>0</v>
      </c>
      <c r="J116" s="266">
        <v>58565.3</v>
      </c>
      <c r="K116" s="266">
        <v>97767.81</v>
      </c>
      <c r="L116" s="266">
        <v>0</v>
      </c>
      <c r="M116" s="266">
        <v>5913.75</v>
      </c>
      <c r="N116" s="266">
        <v>0</v>
      </c>
      <c r="O116" s="123">
        <v>5.2699999999999997E-2</v>
      </c>
      <c r="P116" s="123">
        <v>0.28599999999999998</v>
      </c>
      <c r="Q116" s="266">
        <v>0</v>
      </c>
      <c r="R116" s="266">
        <v>0</v>
      </c>
      <c r="S116" s="266">
        <v>0</v>
      </c>
      <c r="T116" s="266">
        <v>0</v>
      </c>
      <c r="U116" s="266">
        <v>0</v>
      </c>
      <c r="V116" s="266">
        <v>0</v>
      </c>
      <c r="W116" s="266">
        <v>0</v>
      </c>
      <c r="X116" s="266">
        <v>0</v>
      </c>
      <c r="Y116" s="266">
        <v>0</v>
      </c>
      <c r="Z116" s="266">
        <v>0</v>
      </c>
      <c r="AA116" s="266">
        <v>0</v>
      </c>
      <c r="AB116" s="266">
        <v>0</v>
      </c>
      <c r="AC116" s="266">
        <v>0</v>
      </c>
      <c r="AD116" s="266">
        <v>9247.57</v>
      </c>
      <c r="AE116" s="237">
        <v>0</v>
      </c>
      <c r="AF116" s="266">
        <v>0</v>
      </c>
      <c r="AG116" s="237">
        <f t="shared" si="49"/>
        <v>0</v>
      </c>
      <c r="AH116" s="237">
        <f t="shared" si="50"/>
        <v>0</v>
      </c>
      <c r="AI116" s="237">
        <f t="shared" si="51"/>
        <v>0</v>
      </c>
      <c r="AJ116" s="237">
        <v>0</v>
      </c>
      <c r="AK116" s="266">
        <v>0</v>
      </c>
      <c r="AL116" s="237">
        <f t="shared" si="52"/>
        <v>0</v>
      </c>
      <c r="AM116" s="237">
        <f t="shared" si="53"/>
        <v>0</v>
      </c>
      <c r="AN116" s="237">
        <f t="shared" si="54"/>
        <v>0</v>
      </c>
      <c r="AO116" s="266">
        <v>822.44</v>
      </c>
      <c r="AP116" s="266">
        <v>0</v>
      </c>
      <c r="AQ116" s="266">
        <v>0</v>
      </c>
      <c r="AR116" s="266">
        <v>0</v>
      </c>
      <c r="AS116" s="358">
        <v>0</v>
      </c>
      <c r="AT116" s="371">
        <v>986.35000000000036</v>
      </c>
      <c r="AU116" s="373">
        <v>18685.43</v>
      </c>
    </row>
    <row r="117" spans="1:47">
      <c r="A117" s="238" t="s">
        <v>579</v>
      </c>
      <c r="B117" s="238" t="s">
        <v>1379</v>
      </c>
      <c r="C117" s="266">
        <v>0</v>
      </c>
      <c r="D117" s="266">
        <v>0</v>
      </c>
      <c r="E117" s="266">
        <v>0</v>
      </c>
      <c r="F117" s="266">
        <v>0</v>
      </c>
      <c r="G117" s="266">
        <v>36611.06</v>
      </c>
      <c r="H117" s="266">
        <v>3548.8</v>
      </c>
      <c r="I117" s="266">
        <v>10014.620000000001</v>
      </c>
      <c r="J117" s="266">
        <v>0</v>
      </c>
      <c r="K117" s="266">
        <v>8324.5300000000007</v>
      </c>
      <c r="L117" s="266">
        <v>0</v>
      </c>
      <c r="M117" s="266">
        <v>0</v>
      </c>
      <c r="N117" s="266">
        <v>96421.1</v>
      </c>
      <c r="O117" s="123">
        <v>0.1966</v>
      </c>
      <c r="P117" s="123">
        <v>0.42049999999999998</v>
      </c>
      <c r="Q117" s="266">
        <v>0</v>
      </c>
      <c r="R117" s="266">
        <v>0</v>
      </c>
      <c r="S117" s="266">
        <v>0</v>
      </c>
      <c r="T117" s="266">
        <v>0</v>
      </c>
      <c r="U117" s="266">
        <v>0</v>
      </c>
      <c r="V117" s="266">
        <v>0</v>
      </c>
      <c r="W117" s="266">
        <v>0</v>
      </c>
      <c r="X117" s="266">
        <v>0</v>
      </c>
      <c r="Y117" s="266">
        <v>0</v>
      </c>
      <c r="Z117" s="266">
        <v>35.130000000000003</v>
      </c>
      <c r="AA117" s="266">
        <v>0</v>
      </c>
      <c r="AB117" s="266">
        <v>0</v>
      </c>
      <c r="AC117" s="266">
        <v>0</v>
      </c>
      <c r="AD117" s="266">
        <v>0</v>
      </c>
      <c r="AE117" s="237">
        <v>0</v>
      </c>
      <c r="AF117" s="266">
        <v>0</v>
      </c>
      <c r="AG117" s="237">
        <f t="shared" si="49"/>
        <v>0</v>
      </c>
      <c r="AH117" s="237">
        <f t="shared" si="50"/>
        <v>0</v>
      </c>
      <c r="AI117" s="237">
        <f t="shared" si="51"/>
        <v>0</v>
      </c>
      <c r="AJ117" s="237">
        <v>0</v>
      </c>
      <c r="AK117" s="266">
        <v>0</v>
      </c>
      <c r="AL117" s="237">
        <f t="shared" si="52"/>
        <v>0</v>
      </c>
      <c r="AM117" s="237">
        <f t="shared" si="53"/>
        <v>0</v>
      </c>
      <c r="AN117" s="237">
        <f t="shared" si="54"/>
        <v>0</v>
      </c>
      <c r="AO117" s="266">
        <v>0</v>
      </c>
      <c r="AP117" s="266">
        <v>0</v>
      </c>
      <c r="AQ117" s="266">
        <v>0</v>
      </c>
      <c r="AR117" s="266">
        <v>0</v>
      </c>
      <c r="AS117" s="358">
        <v>16946.79</v>
      </c>
      <c r="AT117" s="371">
        <v>167.45000000000005</v>
      </c>
      <c r="AU117" s="373">
        <v>4084.3900000000003</v>
      </c>
    </row>
    <row r="118" spans="1:47">
      <c r="A118" s="238" t="s">
        <v>367</v>
      </c>
      <c r="B118" s="238" t="s">
        <v>1380</v>
      </c>
      <c r="C118" s="266">
        <v>0</v>
      </c>
      <c r="D118" s="266">
        <v>0</v>
      </c>
      <c r="E118" s="266">
        <v>0</v>
      </c>
      <c r="F118" s="266">
        <v>0</v>
      </c>
      <c r="G118" s="266">
        <v>18763870.960000001</v>
      </c>
      <c r="H118" s="266">
        <v>3661627.36</v>
      </c>
      <c r="I118" s="266">
        <v>1567625.38</v>
      </c>
      <c r="J118" s="266">
        <v>0</v>
      </c>
      <c r="K118" s="266">
        <v>1207877.1399999999</v>
      </c>
      <c r="L118" s="266">
        <v>2681723.7999999998</v>
      </c>
      <c r="M118" s="266">
        <v>663096.30000000005</v>
      </c>
      <c r="N118" s="266">
        <v>9984533.8399999999</v>
      </c>
      <c r="O118" s="123">
        <v>4.1599999999999998E-2</v>
      </c>
      <c r="P118" s="123">
        <v>0.13200000000000001</v>
      </c>
      <c r="Q118" s="266">
        <v>0</v>
      </c>
      <c r="R118" s="266">
        <v>0</v>
      </c>
      <c r="S118" s="266">
        <v>0</v>
      </c>
      <c r="T118" s="266">
        <v>1787254.7000000002</v>
      </c>
      <c r="U118" s="266">
        <v>0</v>
      </c>
      <c r="V118" s="266">
        <v>65632.679999999993</v>
      </c>
      <c r="W118" s="266">
        <v>0</v>
      </c>
      <c r="X118" s="266">
        <v>0</v>
      </c>
      <c r="Y118" s="266">
        <v>0</v>
      </c>
      <c r="Z118" s="266">
        <v>17937.82</v>
      </c>
      <c r="AA118" s="266">
        <v>48392.81</v>
      </c>
      <c r="AB118" s="266">
        <v>0</v>
      </c>
      <c r="AC118" s="266">
        <v>721211.54</v>
      </c>
      <c r="AD118" s="266">
        <v>9932126.75</v>
      </c>
      <c r="AE118" s="237">
        <v>1015.16</v>
      </c>
      <c r="AF118" s="266">
        <v>8912782.3599999994</v>
      </c>
      <c r="AG118" s="237">
        <f t="shared" si="49"/>
        <v>8779.6823751920874</v>
      </c>
      <c r="AH118" s="237">
        <f t="shared" si="50"/>
        <v>9783.8042771582805</v>
      </c>
      <c r="AI118" s="237">
        <f t="shared" si="51"/>
        <v>1004.121901966193</v>
      </c>
      <c r="AJ118" s="237">
        <v>77.739999999999995</v>
      </c>
      <c r="AK118" s="266">
        <v>660568.24</v>
      </c>
      <c r="AL118" s="237">
        <f t="shared" si="52"/>
        <v>8497.1474144584517</v>
      </c>
      <c r="AM118" s="237">
        <f t="shared" si="53"/>
        <v>9277.2258811422707</v>
      </c>
      <c r="AN118" s="237">
        <f t="shared" si="54"/>
        <v>780.07846668381899</v>
      </c>
      <c r="AO118" s="266">
        <v>22816.46</v>
      </c>
      <c r="AP118" s="266">
        <v>0</v>
      </c>
      <c r="AQ118" s="266">
        <v>0</v>
      </c>
      <c r="AR118" s="266">
        <v>0</v>
      </c>
      <c r="AS118" s="358">
        <v>923197.71</v>
      </c>
      <c r="AT118" s="371">
        <v>49273.380000000005</v>
      </c>
      <c r="AU118" s="373">
        <v>1362594.86</v>
      </c>
    </row>
    <row r="119" spans="1:47">
      <c r="A119" s="238" t="s">
        <v>275</v>
      </c>
      <c r="B119" s="238" t="s">
        <v>1381</v>
      </c>
      <c r="C119" s="266">
        <v>0</v>
      </c>
      <c r="D119" s="266">
        <v>0</v>
      </c>
      <c r="E119" s="266">
        <v>0</v>
      </c>
      <c r="F119" s="266">
        <v>0</v>
      </c>
      <c r="G119" s="266">
        <v>0</v>
      </c>
      <c r="H119" s="266">
        <v>0</v>
      </c>
      <c r="I119" s="266">
        <v>0</v>
      </c>
      <c r="J119" s="266">
        <v>12830.57</v>
      </c>
      <c r="K119" s="266">
        <v>19048.45</v>
      </c>
      <c r="L119" s="266">
        <v>0</v>
      </c>
      <c r="M119" s="266">
        <v>0</v>
      </c>
      <c r="N119" s="266">
        <v>96268.95</v>
      </c>
      <c r="O119" s="123">
        <v>6.1000000000000004E-3</v>
      </c>
      <c r="P119" s="123">
        <v>0.50849999999999995</v>
      </c>
      <c r="Q119" s="266">
        <v>0</v>
      </c>
      <c r="R119" s="266">
        <v>0</v>
      </c>
      <c r="S119" s="266">
        <v>0</v>
      </c>
      <c r="T119" s="266">
        <v>0</v>
      </c>
      <c r="U119" s="266">
        <v>0</v>
      </c>
      <c r="V119" s="266">
        <v>0</v>
      </c>
      <c r="W119" s="266">
        <v>0</v>
      </c>
      <c r="X119" s="266">
        <v>0</v>
      </c>
      <c r="Y119" s="266">
        <v>0</v>
      </c>
      <c r="Z119" s="266">
        <v>0</v>
      </c>
      <c r="AA119" s="266">
        <v>0</v>
      </c>
      <c r="AB119" s="266">
        <v>0</v>
      </c>
      <c r="AC119" s="266">
        <v>0</v>
      </c>
      <c r="AD119" s="266">
        <v>31311.87</v>
      </c>
      <c r="AE119" s="237">
        <v>3.71</v>
      </c>
      <c r="AF119" s="266">
        <v>29621.360000000001</v>
      </c>
      <c r="AG119" s="237">
        <f t="shared" si="49"/>
        <v>7984.1940700808627</v>
      </c>
      <c r="AH119" s="237">
        <f t="shared" si="50"/>
        <v>8439.8571428571431</v>
      </c>
      <c r="AI119" s="237">
        <f t="shared" si="51"/>
        <v>455.66307277628039</v>
      </c>
      <c r="AJ119" s="237">
        <v>0</v>
      </c>
      <c r="AK119" s="266">
        <v>0</v>
      </c>
      <c r="AL119" s="237">
        <f t="shared" si="52"/>
        <v>0</v>
      </c>
      <c r="AM119" s="237">
        <f t="shared" si="53"/>
        <v>0</v>
      </c>
      <c r="AN119" s="237">
        <f t="shared" si="54"/>
        <v>0</v>
      </c>
      <c r="AO119" s="266">
        <v>0</v>
      </c>
      <c r="AP119" s="266">
        <v>0</v>
      </c>
      <c r="AQ119" s="266">
        <v>0</v>
      </c>
      <c r="AR119" s="266">
        <v>0</v>
      </c>
      <c r="AS119" s="358">
        <v>0</v>
      </c>
      <c r="AT119" s="371">
        <v>0</v>
      </c>
      <c r="AU119" s="373">
        <v>12338.36</v>
      </c>
    </row>
    <row r="120" spans="1:47">
      <c r="A120" s="238" t="s">
        <v>241</v>
      </c>
      <c r="B120" s="238" t="s">
        <v>1382</v>
      </c>
      <c r="C120" s="266">
        <v>0</v>
      </c>
      <c r="D120" s="266">
        <v>0</v>
      </c>
      <c r="E120" s="266">
        <v>19246.64</v>
      </c>
      <c r="F120" s="266">
        <v>0</v>
      </c>
      <c r="G120" s="266">
        <v>0</v>
      </c>
      <c r="H120" s="266">
        <v>0</v>
      </c>
      <c r="I120" s="266">
        <v>0</v>
      </c>
      <c r="J120" s="266">
        <v>0</v>
      </c>
      <c r="K120" s="266">
        <v>201258.6</v>
      </c>
      <c r="L120" s="266">
        <v>0</v>
      </c>
      <c r="M120" s="266">
        <v>28614.97</v>
      </c>
      <c r="N120" s="266">
        <v>0</v>
      </c>
      <c r="O120" s="123">
        <v>1.8599999999999998E-2</v>
      </c>
      <c r="P120" s="123">
        <v>0.1777</v>
      </c>
      <c r="Q120" s="266">
        <v>0</v>
      </c>
      <c r="R120" s="266">
        <v>0</v>
      </c>
      <c r="S120" s="266">
        <v>0</v>
      </c>
      <c r="T120" s="266">
        <v>0</v>
      </c>
      <c r="U120" s="266">
        <v>0</v>
      </c>
      <c r="V120" s="266">
        <v>0</v>
      </c>
      <c r="W120" s="266">
        <v>0</v>
      </c>
      <c r="X120" s="266">
        <v>0</v>
      </c>
      <c r="Y120" s="266">
        <v>0</v>
      </c>
      <c r="Z120" s="266">
        <v>1170.24</v>
      </c>
      <c r="AA120" s="266">
        <v>742.14</v>
      </c>
      <c r="AB120" s="266">
        <v>0</v>
      </c>
      <c r="AC120" s="266">
        <v>47792.06</v>
      </c>
      <c r="AD120" s="266">
        <v>308407.53000000003</v>
      </c>
      <c r="AE120" s="237">
        <v>36.76</v>
      </c>
      <c r="AF120" s="266">
        <v>286832.67</v>
      </c>
      <c r="AG120" s="237">
        <f t="shared" si="49"/>
        <v>7802.8473884657233</v>
      </c>
      <c r="AH120" s="237">
        <f t="shared" si="50"/>
        <v>8389.7587051142564</v>
      </c>
      <c r="AI120" s="237">
        <f t="shared" si="51"/>
        <v>586.9113166485331</v>
      </c>
      <c r="AJ120" s="237">
        <v>5.78</v>
      </c>
      <c r="AK120" s="266">
        <v>43578.7</v>
      </c>
      <c r="AL120" s="237">
        <f t="shared" si="52"/>
        <v>7539.5674740484419</v>
      </c>
      <c r="AM120" s="237">
        <f t="shared" si="53"/>
        <v>8268.5224913494803</v>
      </c>
      <c r="AN120" s="237">
        <f t="shared" si="54"/>
        <v>728.95501730103842</v>
      </c>
      <c r="AO120" s="266">
        <v>0</v>
      </c>
      <c r="AP120" s="266">
        <v>0</v>
      </c>
      <c r="AQ120" s="266">
        <v>0</v>
      </c>
      <c r="AR120" s="266">
        <v>0</v>
      </c>
      <c r="AS120" s="358">
        <v>0</v>
      </c>
      <c r="AT120" s="371">
        <v>0</v>
      </c>
      <c r="AU120" s="373">
        <v>52375.3</v>
      </c>
    </row>
    <row r="121" spans="1:47">
      <c r="A121" s="238" t="s">
        <v>259</v>
      </c>
      <c r="B121" s="238" t="s">
        <v>1383</v>
      </c>
      <c r="C121" s="266">
        <v>0</v>
      </c>
      <c r="D121" s="266">
        <v>0</v>
      </c>
      <c r="E121" s="266">
        <v>0</v>
      </c>
      <c r="F121" s="266">
        <v>0</v>
      </c>
      <c r="G121" s="266">
        <v>41406.620000000003</v>
      </c>
      <c r="H121" s="266">
        <v>7297.89</v>
      </c>
      <c r="I121" s="266">
        <v>0</v>
      </c>
      <c r="J121" s="266">
        <v>9442.94</v>
      </c>
      <c r="K121" s="266">
        <v>10301.39</v>
      </c>
      <c r="L121" s="266">
        <v>0</v>
      </c>
      <c r="M121" s="266">
        <v>0</v>
      </c>
      <c r="N121" s="266">
        <v>92230.62</v>
      </c>
      <c r="O121" s="123">
        <v>5.9299999999999999E-2</v>
      </c>
      <c r="P121" s="123">
        <v>0.4304</v>
      </c>
      <c r="Q121" s="266">
        <v>0</v>
      </c>
      <c r="R121" s="266">
        <v>0</v>
      </c>
      <c r="S121" s="266">
        <v>0</v>
      </c>
      <c r="T121" s="266">
        <v>0</v>
      </c>
      <c r="U121" s="266">
        <v>0</v>
      </c>
      <c r="V121" s="266">
        <v>0</v>
      </c>
      <c r="W121" s="266">
        <v>0</v>
      </c>
      <c r="X121" s="266">
        <v>0</v>
      </c>
      <c r="Y121" s="266">
        <v>0</v>
      </c>
      <c r="Z121" s="266">
        <v>0</v>
      </c>
      <c r="AA121" s="266">
        <v>0</v>
      </c>
      <c r="AB121" s="266">
        <v>0</v>
      </c>
      <c r="AC121" s="266">
        <v>0</v>
      </c>
      <c r="AD121" s="266">
        <v>0</v>
      </c>
      <c r="AE121" s="237">
        <v>0</v>
      </c>
      <c r="AF121" s="266">
        <v>0</v>
      </c>
      <c r="AG121" s="237">
        <f t="shared" si="49"/>
        <v>0</v>
      </c>
      <c r="AH121" s="237">
        <f t="shared" si="50"/>
        <v>0</v>
      </c>
      <c r="AI121" s="237">
        <f t="shared" si="51"/>
        <v>0</v>
      </c>
      <c r="AJ121" s="237">
        <v>0</v>
      </c>
      <c r="AK121" s="266">
        <v>0</v>
      </c>
      <c r="AL121" s="237">
        <f t="shared" si="52"/>
        <v>0</v>
      </c>
      <c r="AM121" s="237">
        <f t="shared" si="53"/>
        <v>0</v>
      </c>
      <c r="AN121" s="237">
        <f t="shared" si="54"/>
        <v>0</v>
      </c>
      <c r="AO121" s="266">
        <v>142.91</v>
      </c>
      <c r="AP121" s="266">
        <v>0</v>
      </c>
      <c r="AQ121" s="266">
        <v>0</v>
      </c>
      <c r="AR121" s="266">
        <v>0</v>
      </c>
      <c r="AS121" s="358">
        <v>15740.37</v>
      </c>
      <c r="AT121" s="371">
        <v>116.76000000000022</v>
      </c>
      <c r="AU121" s="373">
        <v>2997.93</v>
      </c>
    </row>
    <row r="122" spans="1:47">
      <c r="A122" s="238" t="s">
        <v>245</v>
      </c>
      <c r="B122" s="238" t="s">
        <v>1384</v>
      </c>
      <c r="C122" s="266">
        <v>0</v>
      </c>
      <c r="D122" s="266">
        <v>0</v>
      </c>
      <c r="E122" s="266">
        <v>170629.63</v>
      </c>
      <c r="F122" s="266">
        <v>49701.89</v>
      </c>
      <c r="G122" s="266">
        <v>6725350.5499999998</v>
      </c>
      <c r="H122" s="266">
        <v>1600924.65</v>
      </c>
      <c r="I122" s="266">
        <v>539226.1</v>
      </c>
      <c r="J122" s="266">
        <v>895076.18</v>
      </c>
      <c r="K122" s="266">
        <v>1765925</v>
      </c>
      <c r="L122" s="266">
        <v>439461.84</v>
      </c>
      <c r="M122" s="266">
        <v>136302.62</v>
      </c>
      <c r="N122" s="266">
        <v>2337131.98</v>
      </c>
      <c r="O122" s="123">
        <v>4.2500000000000003E-2</v>
      </c>
      <c r="P122" s="123">
        <v>0.1608</v>
      </c>
      <c r="Q122" s="266">
        <v>0</v>
      </c>
      <c r="R122" s="266">
        <v>0</v>
      </c>
      <c r="S122" s="266">
        <v>0</v>
      </c>
      <c r="T122" s="266">
        <v>0</v>
      </c>
      <c r="U122" s="266">
        <v>0</v>
      </c>
      <c r="V122" s="266">
        <v>0</v>
      </c>
      <c r="W122" s="266">
        <v>0</v>
      </c>
      <c r="X122" s="266">
        <v>0</v>
      </c>
      <c r="Y122" s="266">
        <v>0</v>
      </c>
      <c r="Z122" s="266">
        <v>5622.86</v>
      </c>
      <c r="AA122" s="266">
        <v>36286.480000000003</v>
      </c>
      <c r="AB122" s="266">
        <v>152312.78</v>
      </c>
      <c r="AC122" s="266">
        <v>439907.26</v>
      </c>
      <c r="AD122" s="266">
        <v>2830669.3</v>
      </c>
      <c r="AE122" s="237">
        <v>336.85</v>
      </c>
      <c r="AF122" s="266">
        <v>2628488.9</v>
      </c>
      <c r="AG122" s="237">
        <f t="shared" si="49"/>
        <v>7803.1435356983811</v>
      </c>
      <c r="AH122" s="237">
        <f t="shared" si="50"/>
        <v>8403.352530800059</v>
      </c>
      <c r="AI122" s="237">
        <f t="shared" si="51"/>
        <v>600.20899510167783</v>
      </c>
      <c r="AJ122" s="237">
        <v>53.44</v>
      </c>
      <c r="AK122" s="266">
        <v>402719.32</v>
      </c>
      <c r="AL122" s="237">
        <f t="shared" si="52"/>
        <v>7535.9154191616772</v>
      </c>
      <c r="AM122" s="237">
        <f t="shared" si="53"/>
        <v>8231.7975299401205</v>
      </c>
      <c r="AN122" s="237">
        <f t="shared" si="54"/>
        <v>695.88211077844335</v>
      </c>
      <c r="AO122" s="266">
        <v>0</v>
      </c>
      <c r="AP122" s="266">
        <v>0</v>
      </c>
      <c r="AQ122" s="266">
        <v>0</v>
      </c>
      <c r="AR122" s="266">
        <v>0</v>
      </c>
      <c r="AS122" s="358">
        <v>221510.39999999999</v>
      </c>
      <c r="AT122" s="371">
        <v>0</v>
      </c>
      <c r="AU122" s="373">
        <v>321784.86000000004</v>
      </c>
    </row>
    <row r="123" spans="1:47">
      <c r="A123" s="238" t="s">
        <v>179</v>
      </c>
      <c r="B123" s="238" t="s">
        <v>1385</v>
      </c>
      <c r="C123" s="266">
        <v>0</v>
      </c>
      <c r="D123" s="266">
        <v>0</v>
      </c>
      <c r="E123" s="266">
        <v>298973.81</v>
      </c>
      <c r="F123" s="266">
        <v>169655.45</v>
      </c>
      <c r="G123" s="266">
        <v>20763395.829999998</v>
      </c>
      <c r="H123" s="266">
        <v>5277623.1100000003</v>
      </c>
      <c r="I123" s="266">
        <v>1214755.25</v>
      </c>
      <c r="J123" s="266">
        <v>2642019.91</v>
      </c>
      <c r="K123" s="266">
        <v>6638004.71</v>
      </c>
      <c r="L123" s="266">
        <v>4217168.76</v>
      </c>
      <c r="M123" s="266">
        <v>516500.16</v>
      </c>
      <c r="N123" s="266">
        <v>8171333.0899999999</v>
      </c>
      <c r="O123" s="123">
        <v>3.5799999999999998E-2</v>
      </c>
      <c r="P123" s="123">
        <v>0.14269999999999999</v>
      </c>
      <c r="Q123" s="266">
        <v>146878.78</v>
      </c>
      <c r="R123" s="266">
        <v>13810.614000000001</v>
      </c>
      <c r="S123" s="266">
        <v>6309.44</v>
      </c>
      <c r="T123" s="266">
        <v>621901.19000000006</v>
      </c>
      <c r="U123" s="266">
        <v>0</v>
      </c>
      <c r="V123" s="266">
        <v>24256.37</v>
      </c>
      <c r="W123" s="266">
        <v>0</v>
      </c>
      <c r="X123" s="266">
        <v>0</v>
      </c>
      <c r="Y123" s="266">
        <v>0</v>
      </c>
      <c r="Z123" s="266">
        <v>650.99</v>
      </c>
      <c r="AA123" s="266">
        <v>24720.16</v>
      </c>
      <c r="AB123" s="266">
        <v>294999.74</v>
      </c>
      <c r="AC123" s="266">
        <v>1369302.29</v>
      </c>
      <c r="AD123" s="266">
        <v>6983447.1699999999</v>
      </c>
      <c r="AE123" s="237">
        <v>819.24</v>
      </c>
      <c r="AF123" s="266">
        <v>6392805</v>
      </c>
      <c r="AG123" s="237">
        <f t="shared" si="49"/>
        <v>7803.3360187490844</v>
      </c>
      <c r="AH123" s="237">
        <f t="shared" si="50"/>
        <v>8524.2995581270443</v>
      </c>
      <c r="AI123" s="237">
        <f t="shared" si="51"/>
        <v>720.96353937795993</v>
      </c>
      <c r="AJ123" s="237">
        <v>166.37</v>
      </c>
      <c r="AK123" s="266">
        <v>1253804.81</v>
      </c>
      <c r="AL123" s="237">
        <f t="shared" si="52"/>
        <v>7536.2433732043037</v>
      </c>
      <c r="AM123" s="237">
        <f t="shared" si="53"/>
        <v>8230.4639658592296</v>
      </c>
      <c r="AN123" s="237">
        <f t="shared" si="54"/>
        <v>694.22059265492589</v>
      </c>
      <c r="AO123" s="266">
        <v>0</v>
      </c>
      <c r="AP123" s="266">
        <v>0</v>
      </c>
      <c r="AQ123" s="266">
        <v>0</v>
      </c>
      <c r="AR123" s="266">
        <v>0</v>
      </c>
      <c r="AS123" s="358">
        <v>0</v>
      </c>
      <c r="AT123" s="371">
        <v>0</v>
      </c>
      <c r="AU123" s="373">
        <v>1199384.1200000001</v>
      </c>
    </row>
    <row r="124" spans="1:47">
      <c r="A124" s="238" t="s">
        <v>373</v>
      </c>
      <c r="B124" s="238" t="s">
        <v>1386</v>
      </c>
      <c r="C124" s="266">
        <v>0</v>
      </c>
      <c r="D124" s="266">
        <v>0</v>
      </c>
      <c r="E124" s="266">
        <v>537703.43000000005</v>
      </c>
      <c r="F124" s="266">
        <v>395554.52</v>
      </c>
      <c r="G124" s="266">
        <v>32881212.559999999</v>
      </c>
      <c r="H124" s="266">
        <v>6723098.9199999999</v>
      </c>
      <c r="I124" s="266">
        <v>2556504.0699999998</v>
      </c>
      <c r="J124" s="266">
        <v>3856068.31</v>
      </c>
      <c r="K124" s="266">
        <v>9465787.9000000004</v>
      </c>
      <c r="L124" s="266">
        <v>10366460.07</v>
      </c>
      <c r="M124" s="266">
        <v>849067.88</v>
      </c>
      <c r="N124" s="266">
        <v>13880551.27</v>
      </c>
      <c r="O124" s="123">
        <v>4.0500000000000001E-2</v>
      </c>
      <c r="P124" s="123">
        <v>0.13009999999999999</v>
      </c>
      <c r="Q124" s="266">
        <v>0</v>
      </c>
      <c r="R124" s="266">
        <v>0</v>
      </c>
      <c r="S124" s="266">
        <v>0</v>
      </c>
      <c r="T124" s="266">
        <v>0</v>
      </c>
      <c r="U124" s="266">
        <v>0</v>
      </c>
      <c r="V124" s="266">
        <v>0</v>
      </c>
      <c r="W124" s="266">
        <v>0</v>
      </c>
      <c r="X124" s="266">
        <v>0</v>
      </c>
      <c r="Y124" s="266">
        <v>0</v>
      </c>
      <c r="Z124" s="266">
        <v>30114.45</v>
      </c>
      <c r="AA124" s="266">
        <v>169956.54</v>
      </c>
      <c r="AB124" s="266">
        <v>1218408.26</v>
      </c>
      <c r="AC124" s="266">
        <v>2139100.66</v>
      </c>
      <c r="AD124" s="266">
        <v>11948729.52</v>
      </c>
      <c r="AE124" s="237">
        <v>1207.54</v>
      </c>
      <c r="AF124" s="266">
        <v>10601771.060000001</v>
      </c>
      <c r="AG124" s="237">
        <f t="shared" si="49"/>
        <v>8779.6437881974925</v>
      </c>
      <c r="AH124" s="237">
        <f t="shared" si="50"/>
        <v>9895.1003859085413</v>
      </c>
      <c r="AI124" s="237">
        <f t="shared" si="51"/>
        <v>1115.4565977110487</v>
      </c>
      <c r="AJ124" s="237">
        <v>230.58</v>
      </c>
      <c r="AK124" s="266">
        <v>1959592.38</v>
      </c>
      <c r="AL124" s="237">
        <f t="shared" si="52"/>
        <v>8498.5357793390576</v>
      </c>
      <c r="AM124" s="237">
        <f t="shared" si="53"/>
        <v>9277.0433688958274</v>
      </c>
      <c r="AN124" s="237">
        <f t="shared" si="54"/>
        <v>778.50758955676974</v>
      </c>
      <c r="AO124" s="266">
        <v>0</v>
      </c>
      <c r="AP124" s="266">
        <v>0</v>
      </c>
      <c r="AQ124" s="266">
        <v>0</v>
      </c>
      <c r="AR124" s="266">
        <v>0</v>
      </c>
      <c r="AS124" s="358">
        <v>1515708.04</v>
      </c>
      <c r="AT124" s="371">
        <v>221338.32999999984</v>
      </c>
      <c r="AU124" s="373">
        <v>1961263.98</v>
      </c>
    </row>
    <row r="125" spans="1:47">
      <c r="A125" s="238" t="s">
        <v>641</v>
      </c>
      <c r="B125" s="238" t="s">
        <v>1387</v>
      </c>
      <c r="C125" s="266">
        <v>0</v>
      </c>
      <c r="D125" s="266">
        <v>0</v>
      </c>
      <c r="E125" s="266">
        <v>24086.94</v>
      </c>
      <c r="F125" s="266">
        <v>4557.82</v>
      </c>
      <c r="G125" s="266">
        <v>1315053.8400000001</v>
      </c>
      <c r="H125" s="266">
        <v>231340.42</v>
      </c>
      <c r="I125" s="266">
        <v>16227.94</v>
      </c>
      <c r="J125" s="266">
        <v>225916.69</v>
      </c>
      <c r="K125" s="266">
        <v>300235.28000000003</v>
      </c>
      <c r="L125" s="266">
        <v>0</v>
      </c>
      <c r="M125" s="266">
        <v>29510.3</v>
      </c>
      <c r="N125" s="266">
        <v>954574.01</v>
      </c>
      <c r="O125" s="123">
        <v>2.64E-2</v>
      </c>
      <c r="P125" s="123">
        <v>0.20349999999999999</v>
      </c>
      <c r="Q125" s="266">
        <v>0</v>
      </c>
      <c r="R125" s="266">
        <v>0</v>
      </c>
      <c r="S125" s="266">
        <v>0</v>
      </c>
      <c r="T125" s="266">
        <v>0</v>
      </c>
      <c r="U125" s="266">
        <v>0</v>
      </c>
      <c r="V125" s="266">
        <v>0</v>
      </c>
      <c r="W125" s="266">
        <v>0</v>
      </c>
      <c r="X125" s="266">
        <v>0</v>
      </c>
      <c r="Y125" s="266">
        <v>0</v>
      </c>
      <c r="Z125" s="266">
        <v>0</v>
      </c>
      <c r="AA125" s="266">
        <v>0</v>
      </c>
      <c r="AB125" s="266">
        <v>26097.040000000001</v>
      </c>
      <c r="AC125" s="266">
        <v>0</v>
      </c>
      <c r="AD125" s="266">
        <v>522629.95</v>
      </c>
      <c r="AE125" s="237">
        <v>61.18</v>
      </c>
      <c r="AF125" s="266">
        <v>486946.7</v>
      </c>
      <c r="AG125" s="237">
        <f t="shared" si="49"/>
        <v>7959.2464857796667</v>
      </c>
      <c r="AH125" s="237">
        <f t="shared" si="50"/>
        <v>8542.4967309578296</v>
      </c>
      <c r="AI125" s="237">
        <f t="shared" si="51"/>
        <v>583.25024517816291</v>
      </c>
      <c r="AJ125" s="237">
        <v>0</v>
      </c>
      <c r="AK125" s="266">
        <v>0</v>
      </c>
      <c r="AL125" s="237">
        <f t="shared" si="52"/>
        <v>0</v>
      </c>
      <c r="AM125" s="237">
        <f t="shared" si="53"/>
        <v>0</v>
      </c>
      <c r="AN125" s="237">
        <f t="shared" si="54"/>
        <v>0</v>
      </c>
      <c r="AO125" s="266">
        <v>0</v>
      </c>
      <c r="AP125" s="266">
        <v>0</v>
      </c>
      <c r="AQ125" s="266">
        <v>0</v>
      </c>
      <c r="AR125" s="266">
        <v>0</v>
      </c>
      <c r="AS125" s="358">
        <v>50948.59</v>
      </c>
      <c r="AT125" s="371">
        <v>3763.9799999999959</v>
      </c>
      <c r="AU125" s="373">
        <v>54061.7</v>
      </c>
    </row>
    <row r="126" spans="1:47">
      <c r="A126" s="238" t="s">
        <v>183</v>
      </c>
      <c r="B126" s="238" t="s">
        <v>1388</v>
      </c>
      <c r="C126" s="266">
        <v>0</v>
      </c>
      <c r="D126" s="266">
        <v>0</v>
      </c>
      <c r="E126" s="266">
        <v>53768.55</v>
      </c>
      <c r="F126" s="266">
        <v>34080.26</v>
      </c>
      <c r="G126" s="266">
        <v>1638322.39</v>
      </c>
      <c r="H126" s="266">
        <v>473714.36</v>
      </c>
      <c r="I126" s="266">
        <v>224228.32</v>
      </c>
      <c r="J126" s="266">
        <v>386683.6</v>
      </c>
      <c r="K126" s="266">
        <v>595477.44999999995</v>
      </c>
      <c r="L126" s="266">
        <v>492968.07</v>
      </c>
      <c r="M126" s="266">
        <v>37390.22</v>
      </c>
      <c r="N126" s="266">
        <v>731218.03</v>
      </c>
      <c r="O126" s="123">
        <v>4.8300000000000003E-2</v>
      </c>
      <c r="P126" s="123">
        <v>0.19139999999999999</v>
      </c>
      <c r="Q126" s="266">
        <v>0</v>
      </c>
      <c r="R126" s="266">
        <v>0</v>
      </c>
      <c r="S126" s="266">
        <v>0</v>
      </c>
      <c r="T126" s="266">
        <v>0</v>
      </c>
      <c r="U126" s="266">
        <v>0</v>
      </c>
      <c r="V126" s="266">
        <v>0</v>
      </c>
      <c r="W126" s="266">
        <v>0</v>
      </c>
      <c r="X126" s="266">
        <v>0</v>
      </c>
      <c r="Y126" s="266">
        <v>0</v>
      </c>
      <c r="Z126" s="266">
        <v>1570.93</v>
      </c>
      <c r="AA126" s="266">
        <v>0</v>
      </c>
      <c r="AB126" s="266">
        <v>40020.550000000003</v>
      </c>
      <c r="AC126" s="266">
        <v>0</v>
      </c>
      <c r="AD126" s="266">
        <v>655970.56000000006</v>
      </c>
      <c r="AE126" s="237">
        <v>78.680000000000007</v>
      </c>
      <c r="AF126" s="266">
        <v>614015.96</v>
      </c>
      <c r="AG126" s="237">
        <f t="shared" si="49"/>
        <v>7803.9649211997958</v>
      </c>
      <c r="AH126" s="237">
        <f t="shared" si="50"/>
        <v>8337.1957295373668</v>
      </c>
      <c r="AI126" s="237">
        <f t="shared" si="51"/>
        <v>533.23080833757103</v>
      </c>
      <c r="AJ126" s="237">
        <v>0</v>
      </c>
      <c r="AK126" s="266">
        <v>0</v>
      </c>
      <c r="AL126" s="237">
        <f t="shared" si="52"/>
        <v>0</v>
      </c>
      <c r="AM126" s="237">
        <f t="shared" si="53"/>
        <v>0</v>
      </c>
      <c r="AN126" s="237">
        <f t="shared" si="54"/>
        <v>0</v>
      </c>
      <c r="AO126" s="266">
        <v>0</v>
      </c>
      <c r="AP126" s="266">
        <v>0</v>
      </c>
      <c r="AQ126" s="266">
        <v>0</v>
      </c>
      <c r="AR126" s="266">
        <v>0</v>
      </c>
      <c r="AS126" s="358">
        <v>72725.09</v>
      </c>
      <c r="AT126" s="371">
        <v>0</v>
      </c>
      <c r="AU126" s="373">
        <v>93852.72</v>
      </c>
    </row>
    <row r="127" spans="1:47">
      <c r="A127" s="238" t="s">
        <v>395</v>
      </c>
      <c r="B127" s="238" t="s">
        <v>1389</v>
      </c>
      <c r="C127" s="266">
        <v>0</v>
      </c>
      <c r="D127" s="266">
        <v>0</v>
      </c>
      <c r="E127" s="266">
        <v>8388.16</v>
      </c>
      <c r="F127" s="266">
        <v>2398.48</v>
      </c>
      <c r="G127" s="266">
        <v>853251.92</v>
      </c>
      <c r="H127" s="266">
        <v>125915.07</v>
      </c>
      <c r="I127" s="266">
        <v>48976.81</v>
      </c>
      <c r="J127" s="266">
        <v>0</v>
      </c>
      <c r="K127" s="266">
        <v>177412.8</v>
      </c>
      <c r="L127" s="266">
        <v>70905.09</v>
      </c>
      <c r="M127" s="266">
        <v>17836.66</v>
      </c>
      <c r="N127" s="266">
        <v>410998.92</v>
      </c>
      <c r="O127" s="123">
        <v>7.0400000000000004E-2</v>
      </c>
      <c r="P127" s="123">
        <v>0.26479999999999998</v>
      </c>
      <c r="Q127" s="266">
        <v>0</v>
      </c>
      <c r="R127" s="266">
        <v>0</v>
      </c>
      <c r="S127" s="266">
        <v>0</v>
      </c>
      <c r="T127" s="266">
        <v>137769.80000000002</v>
      </c>
      <c r="U127" s="266">
        <v>12089.182000000001</v>
      </c>
      <c r="V127" s="266">
        <v>5418.07</v>
      </c>
      <c r="W127" s="266">
        <v>0</v>
      </c>
      <c r="X127" s="266">
        <v>0</v>
      </c>
      <c r="Y127" s="266">
        <v>0</v>
      </c>
      <c r="Z127" s="266">
        <v>746.49</v>
      </c>
      <c r="AA127" s="266">
        <v>7028.56</v>
      </c>
      <c r="AB127" s="266">
        <v>5630.85</v>
      </c>
      <c r="AC127" s="266">
        <v>136726.92000000001</v>
      </c>
      <c r="AD127" s="266">
        <v>383103.15</v>
      </c>
      <c r="AE127" s="237">
        <v>46.47</v>
      </c>
      <c r="AF127" s="266">
        <v>362710.53</v>
      </c>
      <c r="AG127" s="237">
        <f t="shared" si="49"/>
        <v>7805.2621045836031</v>
      </c>
      <c r="AH127" s="237">
        <f t="shared" si="50"/>
        <v>8244.0961910910264</v>
      </c>
      <c r="AI127" s="237">
        <f t="shared" si="51"/>
        <v>438.83408650742331</v>
      </c>
      <c r="AJ127" s="237">
        <v>16.61</v>
      </c>
      <c r="AK127" s="266">
        <v>125176.89</v>
      </c>
      <c r="AL127" s="237">
        <f t="shared" si="52"/>
        <v>7536.2366044551482</v>
      </c>
      <c r="AM127" s="237">
        <f t="shared" si="53"/>
        <v>8231.6026490066233</v>
      </c>
      <c r="AN127" s="237">
        <f t="shared" si="54"/>
        <v>695.36604455147517</v>
      </c>
      <c r="AO127" s="266">
        <v>0</v>
      </c>
      <c r="AP127" s="266">
        <v>0</v>
      </c>
      <c r="AQ127" s="266">
        <v>0</v>
      </c>
      <c r="AR127" s="266">
        <v>0</v>
      </c>
      <c r="AS127" s="358">
        <v>0</v>
      </c>
      <c r="AT127" s="371">
        <v>2482.1100000000006</v>
      </c>
      <c r="AU127" s="373">
        <v>41069.39</v>
      </c>
    </row>
    <row r="128" spans="1:47">
      <c r="A128" s="238" t="s">
        <v>409</v>
      </c>
      <c r="B128" s="238" t="s">
        <v>1390</v>
      </c>
      <c r="C128" s="266">
        <v>0</v>
      </c>
      <c r="D128" s="266">
        <v>0</v>
      </c>
      <c r="E128" s="266">
        <v>0</v>
      </c>
      <c r="F128" s="266">
        <v>0</v>
      </c>
      <c r="G128" s="266">
        <v>0</v>
      </c>
      <c r="H128" s="266">
        <v>0</v>
      </c>
      <c r="I128" s="266">
        <v>0</v>
      </c>
      <c r="J128" s="266">
        <v>25068.95</v>
      </c>
      <c r="K128" s="266">
        <v>28227.25</v>
      </c>
      <c r="L128" s="266">
        <v>0</v>
      </c>
      <c r="M128" s="266">
        <v>2270.02</v>
      </c>
      <c r="N128" s="266">
        <v>95438.48</v>
      </c>
      <c r="O128" s="123">
        <v>3.5400000000000001E-2</v>
      </c>
      <c r="P128" s="123">
        <v>0.3332</v>
      </c>
      <c r="Q128" s="266">
        <v>0</v>
      </c>
      <c r="R128" s="266">
        <v>0</v>
      </c>
      <c r="S128" s="266">
        <v>0</v>
      </c>
      <c r="T128" s="266">
        <v>0</v>
      </c>
      <c r="U128" s="266">
        <v>0</v>
      </c>
      <c r="V128" s="266">
        <v>0</v>
      </c>
      <c r="W128" s="266">
        <v>0</v>
      </c>
      <c r="X128" s="266">
        <v>0</v>
      </c>
      <c r="Y128" s="266">
        <v>0</v>
      </c>
      <c r="Z128" s="266">
        <v>81.239999999999995</v>
      </c>
      <c r="AA128" s="266">
        <v>0</v>
      </c>
      <c r="AB128" s="266">
        <v>0</v>
      </c>
      <c r="AC128" s="266">
        <v>0</v>
      </c>
      <c r="AD128" s="266">
        <v>0</v>
      </c>
      <c r="AE128" s="237">
        <v>0</v>
      </c>
      <c r="AF128" s="266">
        <v>0</v>
      </c>
      <c r="AG128" s="237">
        <f t="shared" si="49"/>
        <v>0</v>
      </c>
      <c r="AH128" s="237">
        <f t="shared" si="50"/>
        <v>0</v>
      </c>
      <c r="AI128" s="237">
        <f t="shared" si="51"/>
        <v>0</v>
      </c>
      <c r="AJ128" s="237">
        <v>0</v>
      </c>
      <c r="AK128" s="266">
        <v>0</v>
      </c>
      <c r="AL128" s="237">
        <f t="shared" si="52"/>
        <v>0</v>
      </c>
      <c r="AM128" s="237">
        <f t="shared" si="53"/>
        <v>0</v>
      </c>
      <c r="AN128" s="237">
        <f t="shared" si="54"/>
        <v>0</v>
      </c>
      <c r="AO128" s="266">
        <v>0</v>
      </c>
      <c r="AP128" s="266">
        <v>640</v>
      </c>
      <c r="AQ128" s="266">
        <v>0</v>
      </c>
      <c r="AR128" s="266">
        <v>0</v>
      </c>
      <c r="AS128" s="358">
        <v>17653.310000000001</v>
      </c>
      <c r="AT128" s="371">
        <v>2941.46</v>
      </c>
      <c r="AU128" s="373">
        <v>12611.93</v>
      </c>
    </row>
    <row r="129" spans="1:47">
      <c r="A129" s="238" t="s">
        <v>553</v>
      </c>
      <c r="B129" s="238" t="s">
        <v>1391</v>
      </c>
      <c r="C129" s="266">
        <v>0</v>
      </c>
      <c r="D129" s="266">
        <v>0</v>
      </c>
      <c r="E129" s="266">
        <v>0</v>
      </c>
      <c r="F129" s="266">
        <v>17380.04</v>
      </c>
      <c r="G129" s="266">
        <v>882742.73</v>
      </c>
      <c r="H129" s="266">
        <v>184059.39</v>
      </c>
      <c r="I129" s="266">
        <v>20082.900000000001</v>
      </c>
      <c r="J129" s="266">
        <v>189332.96</v>
      </c>
      <c r="K129" s="266">
        <v>240959.35</v>
      </c>
      <c r="L129" s="266">
        <v>33788.870000000003</v>
      </c>
      <c r="M129" s="266">
        <v>19237.63</v>
      </c>
      <c r="N129" s="266">
        <v>580603.93000000005</v>
      </c>
      <c r="O129" s="123">
        <v>7.1300000000000002E-2</v>
      </c>
      <c r="P129" s="123">
        <v>0.23760000000000001</v>
      </c>
      <c r="Q129" s="266">
        <v>0</v>
      </c>
      <c r="R129" s="266">
        <v>0</v>
      </c>
      <c r="S129" s="266">
        <v>0</v>
      </c>
      <c r="T129" s="266">
        <v>0</v>
      </c>
      <c r="U129" s="266">
        <v>0</v>
      </c>
      <c r="V129" s="266">
        <v>0</v>
      </c>
      <c r="W129" s="266">
        <v>0</v>
      </c>
      <c r="X129" s="266">
        <v>0</v>
      </c>
      <c r="Y129" s="266">
        <v>0</v>
      </c>
      <c r="Z129" s="266">
        <v>0</v>
      </c>
      <c r="AA129" s="266">
        <v>0</v>
      </c>
      <c r="AB129" s="266">
        <v>0</v>
      </c>
      <c r="AC129" s="266">
        <v>0</v>
      </c>
      <c r="AD129" s="266">
        <v>120585.31</v>
      </c>
      <c r="AE129" s="237">
        <v>13</v>
      </c>
      <c r="AF129" s="266">
        <v>112036.71</v>
      </c>
      <c r="AG129" s="237">
        <f t="shared" si="49"/>
        <v>8618.2084615384629</v>
      </c>
      <c r="AH129" s="237">
        <f t="shared" si="50"/>
        <v>9275.793076923077</v>
      </c>
      <c r="AI129" s="237">
        <f t="shared" si="51"/>
        <v>657.58461538461415</v>
      </c>
      <c r="AJ129" s="237">
        <v>0</v>
      </c>
      <c r="AK129" s="266">
        <v>0</v>
      </c>
      <c r="AL129" s="237">
        <f t="shared" si="52"/>
        <v>0</v>
      </c>
      <c r="AM129" s="237">
        <f t="shared" si="53"/>
        <v>0</v>
      </c>
      <c r="AN129" s="237">
        <f t="shared" si="54"/>
        <v>0</v>
      </c>
      <c r="AO129" s="266">
        <v>0</v>
      </c>
      <c r="AP129" s="266">
        <v>0</v>
      </c>
      <c r="AQ129" s="266">
        <v>0</v>
      </c>
      <c r="AR129" s="266">
        <v>0</v>
      </c>
      <c r="AS129" s="358">
        <v>0</v>
      </c>
      <c r="AT129" s="371">
        <v>0</v>
      </c>
      <c r="AU129" s="373">
        <v>47848.420000000006</v>
      </c>
    </row>
    <row r="130" spans="1:47">
      <c r="A130" s="238" t="s">
        <v>219</v>
      </c>
      <c r="B130" s="238" t="s">
        <v>1392</v>
      </c>
      <c r="C130" s="266">
        <v>0</v>
      </c>
      <c r="D130" s="266">
        <v>0</v>
      </c>
      <c r="E130" s="266">
        <v>9193.86</v>
      </c>
      <c r="F130" s="266">
        <v>0</v>
      </c>
      <c r="G130" s="266">
        <v>2135658.86</v>
      </c>
      <c r="H130" s="266">
        <v>371199.4</v>
      </c>
      <c r="I130" s="266">
        <v>38871.18</v>
      </c>
      <c r="J130" s="266">
        <v>0</v>
      </c>
      <c r="K130" s="266">
        <v>249275.33</v>
      </c>
      <c r="L130" s="266">
        <v>63251.57</v>
      </c>
      <c r="M130" s="266">
        <v>49875.8</v>
      </c>
      <c r="N130" s="266">
        <v>0</v>
      </c>
      <c r="O130" s="123">
        <v>0.1123</v>
      </c>
      <c r="P130" s="123">
        <v>0.1653</v>
      </c>
      <c r="Q130" s="266">
        <v>0</v>
      </c>
      <c r="R130" s="266">
        <v>0</v>
      </c>
      <c r="S130" s="266">
        <v>0</v>
      </c>
      <c r="T130" s="266">
        <v>0</v>
      </c>
      <c r="U130" s="266">
        <v>0</v>
      </c>
      <c r="V130" s="266">
        <v>0</v>
      </c>
      <c r="W130" s="266">
        <v>0</v>
      </c>
      <c r="X130" s="266">
        <v>0</v>
      </c>
      <c r="Y130" s="266">
        <v>0</v>
      </c>
      <c r="Z130" s="266">
        <v>1896.97</v>
      </c>
      <c r="AA130" s="266">
        <v>0</v>
      </c>
      <c r="AB130" s="266">
        <v>0</v>
      </c>
      <c r="AC130" s="266">
        <v>0</v>
      </c>
      <c r="AD130" s="266">
        <v>370382.56</v>
      </c>
      <c r="AE130" s="237">
        <v>40.299999999999997</v>
      </c>
      <c r="AF130" s="266">
        <v>333899.2</v>
      </c>
      <c r="AG130" s="237">
        <f t="shared" si="49"/>
        <v>8285.3399503722085</v>
      </c>
      <c r="AH130" s="237">
        <f t="shared" si="50"/>
        <v>9190.6342431761786</v>
      </c>
      <c r="AI130" s="237">
        <f t="shared" si="51"/>
        <v>905.29429280397017</v>
      </c>
      <c r="AJ130" s="237">
        <v>0</v>
      </c>
      <c r="AK130" s="266">
        <v>0</v>
      </c>
      <c r="AL130" s="237">
        <f t="shared" si="52"/>
        <v>0</v>
      </c>
      <c r="AM130" s="237">
        <f t="shared" si="53"/>
        <v>0</v>
      </c>
      <c r="AN130" s="237">
        <f t="shared" si="54"/>
        <v>0</v>
      </c>
      <c r="AO130" s="266">
        <v>0</v>
      </c>
      <c r="AP130" s="266">
        <v>0</v>
      </c>
      <c r="AQ130" s="266">
        <v>0</v>
      </c>
      <c r="AR130" s="266">
        <v>0</v>
      </c>
      <c r="AS130" s="358">
        <v>0</v>
      </c>
      <c r="AT130" s="371">
        <v>45455.72</v>
      </c>
      <c r="AU130" s="373">
        <v>105514.59999999999</v>
      </c>
    </row>
    <row r="131" spans="1:47">
      <c r="A131" s="238" t="s">
        <v>688</v>
      </c>
      <c r="B131" s="238" t="s">
        <v>1393</v>
      </c>
      <c r="C131" s="266">
        <v>0</v>
      </c>
      <c r="D131" s="266">
        <v>0</v>
      </c>
      <c r="E131" s="266">
        <v>0</v>
      </c>
      <c r="F131" s="266">
        <v>0</v>
      </c>
      <c r="G131" s="266">
        <v>90257.64</v>
      </c>
      <c r="H131" s="266">
        <v>16321.93</v>
      </c>
      <c r="I131" s="266">
        <v>0</v>
      </c>
      <c r="J131" s="266">
        <v>0</v>
      </c>
      <c r="K131" s="266">
        <v>14311.02</v>
      </c>
      <c r="L131" s="266">
        <v>0</v>
      </c>
      <c r="M131" s="266">
        <v>2270.02</v>
      </c>
      <c r="N131" s="266">
        <v>236759.56</v>
      </c>
      <c r="O131" s="123">
        <v>5.7700000000000001E-2</v>
      </c>
      <c r="P131" s="123">
        <v>0.27850000000000003</v>
      </c>
      <c r="Q131" s="266">
        <v>0</v>
      </c>
      <c r="R131" s="266">
        <v>0</v>
      </c>
      <c r="S131" s="266">
        <v>0</v>
      </c>
      <c r="T131" s="266">
        <v>0</v>
      </c>
      <c r="U131" s="266">
        <v>0</v>
      </c>
      <c r="V131" s="266">
        <v>0</v>
      </c>
      <c r="W131" s="266">
        <v>0</v>
      </c>
      <c r="X131" s="266">
        <v>0</v>
      </c>
      <c r="Y131" s="266">
        <v>0</v>
      </c>
      <c r="Z131" s="266">
        <v>0</v>
      </c>
      <c r="AA131" s="266">
        <v>0</v>
      </c>
      <c r="AB131" s="266">
        <v>0</v>
      </c>
      <c r="AC131" s="266">
        <v>0</v>
      </c>
      <c r="AD131" s="266">
        <v>31117.46</v>
      </c>
      <c r="AE131" s="237">
        <v>3.69</v>
      </c>
      <c r="AF131" s="266">
        <v>29417.91</v>
      </c>
      <c r="AG131" s="237">
        <f t="shared" si="49"/>
        <v>7972.333333333333</v>
      </c>
      <c r="AH131" s="237">
        <f t="shared" si="50"/>
        <v>8432.915989159892</v>
      </c>
      <c r="AI131" s="237">
        <f t="shared" si="51"/>
        <v>460.58265582655895</v>
      </c>
      <c r="AJ131" s="237">
        <v>0</v>
      </c>
      <c r="AK131" s="266">
        <v>0</v>
      </c>
      <c r="AL131" s="237">
        <f t="shared" si="52"/>
        <v>0</v>
      </c>
      <c r="AM131" s="237">
        <f t="shared" si="53"/>
        <v>0</v>
      </c>
      <c r="AN131" s="237">
        <f t="shared" si="54"/>
        <v>0</v>
      </c>
      <c r="AO131" s="266">
        <v>0</v>
      </c>
      <c r="AP131" s="266">
        <v>0</v>
      </c>
      <c r="AQ131" s="266">
        <v>0</v>
      </c>
      <c r="AR131" s="266">
        <v>0</v>
      </c>
      <c r="AS131" s="358">
        <v>0</v>
      </c>
      <c r="AT131" s="371">
        <v>4897.58</v>
      </c>
      <c r="AU131" s="373">
        <v>12832.039999999999</v>
      </c>
    </row>
    <row r="132" spans="1:47">
      <c r="A132" s="238" t="s">
        <v>197</v>
      </c>
      <c r="B132" s="238" t="s">
        <v>1394</v>
      </c>
      <c r="C132" s="266">
        <v>0</v>
      </c>
      <c r="D132" s="266">
        <v>0</v>
      </c>
      <c r="E132" s="266">
        <v>0</v>
      </c>
      <c r="F132" s="266">
        <v>29522.98</v>
      </c>
      <c r="G132" s="266">
        <v>1213984.49</v>
      </c>
      <c r="H132" s="266">
        <v>158845.85</v>
      </c>
      <c r="I132" s="266">
        <v>36393.61</v>
      </c>
      <c r="J132" s="266">
        <v>391166.59</v>
      </c>
      <c r="K132" s="266">
        <v>523176.98</v>
      </c>
      <c r="L132" s="266">
        <v>577249.69999999995</v>
      </c>
      <c r="M132" s="266">
        <v>37676.379999999997</v>
      </c>
      <c r="N132" s="266">
        <v>784172.17</v>
      </c>
      <c r="O132" s="123">
        <v>5.1400000000000001E-2</v>
      </c>
      <c r="P132" s="123">
        <v>0.17519999999999999</v>
      </c>
      <c r="Q132" s="266">
        <v>0</v>
      </c>
      <c r="R132" s="266">
        <v>0</v>
      </c>
      <c r="S132" s="266">
        <v>0</v>
      </c>
      <c r="T132" s="266">
        <v>0</v>
      </c>
      <c r="U132" s="266">
        <v>0</v>
      </c>
      <c r="V132" s="266">
        <v>0</v>
      </c>
      <c r="W132" s="266">
        <v>0</v>
      </c>
      <c r="X132" s="266">
        <v>0</v>
      </c>
      <c r="Y132" s="266">
        <v>0</v>
      </c>
      <c r="Z132" s="266">
        <v>1579.71</v>
      </c>
      <c r="AA132" s="266">
        <v>0</v>
      </c>
      <c r="AB132" s="266">
        <v>44257.3</v>
      </c>
      <c r="AC132" s="266">
        <v>311.51</v>
      </c>
      <c r="AD132" s="266">
        <v>941981.18</v>
      </c>
      <c r="AE132" s="237">
        <v>109.39</v>
      </c>
      <c r="AF132" s="266">
        <v>853689.72</v>
      </c>
      <c r="AG132" s="237">
        <f t="shared" si="49"/>
        <v>7804.0928786909217</v>
      </c>
      <c r="AH132" s="237">
        <f t="shared" si="50"/>
        <v>8611.2183929061157</v>
      </c>
      <c r="AI132" s="237">
        <f t="shared" si="51"/>
        <v>807.12551421519402</v>
      </c>
      <c r="AJ132" s="237">
        <v>0.04</v>
      </c>
      <c r="AK132" s="266">
        <v>318.44</v>
      </c>
      <c r="AL132" s="237">
        <f t="shared" si="52"/>
        <v>7961</v>
      </c>
      <c r="AM132" s="237">
        <f t="shared" si="53"/>
        <v>7787.75</v>
      </c>
      <c r="AN132" s="237">
        <f t="shared" si="54"/>
        <v>-173.25</v>
      </c>
      <c r="AO132" s="266">
        <v>4854.34</v>
      </c>
      <c r="AP132" s="266">
        <v>0</v>
      </c>
      <c r="AQ132" s="266">
        <v>0</v>
      </c>
      <c r="AR132" s="266">
        <v>0</v>
      </c>
      <c r="AS132" s="358">
        <v>44262.37</v>
      </c>
      <c r="AT132" s="371">
        <v>38608.43</v>
      </c>
      <c r="AU132" s="373">
        <v>92561.78</v>
      </c>
    </row>
    <row r="133" spans="1:47">
      <c r="A133" s="238" t="s">
        <v>569</v>
      </c>
      <c r="B133" s="238" t="s">
        <v>1395</v>
      </c>
      <c r="C133" s="266">
        <v>0</v>
      </c>
      <c r="D133" s="266">
        <v>0</v>
      </c>
      <c r="E133" s="266">
        <v>0</v>
      </c>
      <c r="F133" s="266">
        <v>0</v>
      </c>
      <c r="G133" s="266">
        <v>14233085.9</v>
      </c>
      <c r="H133" s="266">
        <v>3360657.68</v>
      </c>
      <c r="I133" s="266">
        <v>1051234.7</v>
      </c>
      <c r="J133" s="266">
        <v>0</v>
      </c>
      <c r="K133" s="266">
        <v>1633209.74</v>
      </c>
      <c r="L133" s="266">
        <v>858714.28</v>
      </c>
      <c r="M133" s="266">
        <v>305368.81</v>
      </c>
      <c r="N133" s="266">
        <v>5638631.1100000003</v>
      </c>
      <c r="O133" s="123">
        <v>3.4599999999999999E-2</v>
      </c>
      <c r="P133" s="123">
        <v>0.1419</v>
      </c>
      <c r="Q133" s="266">
        <v>0</v>
      </c>
      <c r="R133" s="266">
        <v>0</v>
      </c>
      <c r="S133" s="266">
        <v>0</v>
      </c>
      <c r="T133" s="266">
        <v>0</v>
      </c>
      <c r="U133" s="266">
        <v>0</v>
      </c>
      <c r="V133" s="266">
        <v>0</v>
      </c>
      <c r="W133" s="266">
        <v>0</v>
      </c>
      <c r="X133" s="266">
        <v>0</v>
      </c>
      <c r="Y133" s="266">
        <v>0</v>
      </c>
      <c r="Z133" s="266">
        <v>10293.94</v>
      </c>
      <c r="AA133" s="266">
        <v>50669.48</v>
      </c>
      <c r="AB133" s="266">
        <v>338463.4</v>
      </c>
      <c r="AC133" s="266">
        <v>1017573.97</v>
      </c>
      <c r="AD133" s="266">
        <v>3942449.33</v>
      </c>
      <c r="AE133" s="237">
        <v>401.31</v>
      </c>
      <c r="AF133" s="266">
        <v>3653883.65</v>
      </c>
      <c r="AG133" s="237">
        <f t="shared" si="49"/>
        <v>9104.8906082579542</v>
      </c>
      <c r="AH133" s="237">
        <f t="shared" si="50"/>
        <v>9823.9498891131552</v>
      </c>
      <c r="AI133" s="237">
        <f t="shared" si="51"/>
        <v>719.059280855201</v>
      </c>
      <c r="AJ133" s="237">
        <v>105.71</v>
      </c>
      <c r="AK133" s="266">
        <v>932231.03</v>
      </c>
      <c r="AL133" s="237">
        <f t="shared" si="52"/>
        <v>8818.7591523980718</v>
      </c>
      <c r="AM133" s="237">
        <f t="shared" si="53"/>
        <v>9626.0899631066131</v>
      </c>
      <c r="AN133" s="237">
        <f t="shared" si="54"/>
        <v>807.33081070854132</v>
      </c>
      <c r="AO133" s="266">
        <v>0</v>
      </c>
      <c r="AP133" s="266">
        <v>0</v>
      </c>
      <c r="AQ133" s="266">
        <v>0</v>
      </c>
      <c r="AR133" s="266">
        <v>0</v>
      </c>
      <c r="AS133" s="358">
        <v>807418.74</v>
      </c>
      <c r="AT133" s="371">
        <v>0</v>
      </c>
      <c r="AU133" s="373">
        <v>677651.62999999989</v>
      </c>
    </row>
    <row r="134" spans="1:47">
      <c r="A134" s="238" t="s">
        <v>371</v>
      </c>
      <c r="B134" s="238" t="s">
        <v>1396</v>
      </c>
      <c r="C134" s="266">
        <v>0</v>
      </c>
      <c r="D134" s="266">
        <v>0</v>
      </c>
      <c r="E134" s="266">
        <v>155994.85</v>
      </c>
      <c r="F134" s="266">
        <v>0</v>
      </c>
      <c r="G134" s="266">
        <v>37546287.18</v>
      </c>
      <c r="H134" s="266">
        <v>6921984.29</v>
      </c>
      <c r="I134" s="266">
        <v>3480283.64</v>
      </c>
      <c r="J134" s="266">
        <v>0</v>
      </c>
      <c r="K134" s="266">
        <v>2330218.4</v>
      </c>
      <c r="L134" s="266">
        <v>6514675.1600000001</v>
      </c>
      <c r="M134" s="266">
        <v>997403.66</v>
      </c>
      <c r="N134" s="266">
        <v>11224335.289999999</v>
      </c>
      <c r="O134" s="123">
        <v>2.8000000000000001E-2</v>
      </c>
      <c r="P134" s="123">
        <v>0.1119</v>
      </c>
      <c r="Q134" s="266">
        <v>0</v>
      </c>
      <c r="R134" s="266">
        <v>0</v>
      </c>
      <c r="S134" s="266">
        <v>0</v>
      </c>
      <c r="T134" s="266">
        <v>0</v>
      </c>
      <c r="U134" s="266">
        <v>0</v>
      </c>
      <c r="V134" s="266">
        <v>0</v>
      </c>
      <c r="W134" s="266">
        <v>0</v>
      </c>
      <c r="X134" s="266">
        <v>0</v>
      </c>
      <c r="Y134" s="266">
        <v>0</v>
      </c>
      <c r="Z134" s="266">
        <v>12578.43</v>
      </c>
      <c r="AA134" s="266">
        <v>0</v>
      </c>
      <c r="AB134" s="266">
        <v>0</v>
      </c>
      <c r="AC134" s="266">
        <v>2295453.63</v>
      </c>
      <c r="AD134" s="266">
        <v>12207205.949999999</v>
      </c>
      <c r="AE134" s="237">
        <v>1261.6300000000001</v>
      </c>
      <c r="AF134" s="266">
        <v>11076790.310000001</v>
      </c>
      <c r="AG134" s="237">
        <f t="shared" si="49"/>
        <v>8779.7454959060888</v>
      </c>
      <c r="AH134" s="237">
        <f t="shared" si="50"/>
        <v>9675.741659599089</v>
      </c>
      <c r="AI134" s="237">
        <f t="shared" si="51"/>
        <v>895.9961636930002</v>
      </c>
      <c r="AJ134" s="237">
        <v>247.45</v>
      </c>
      <c r="AK134" s="266">
        <v>2102941.2400000002</v>
      </c>
      <c r="AL134" s="237">
        <f t="shared" si="52"/>
        <v>8498.4491412406551</v>
      </c>
      <c r="AM134" s="237">
        <f t="shared" si="53"/>
        <v>9276.4341483127901</v>
      </c>
      <c r="AN134" s="237">
        <f t="shared" si="54"/>
        <v>777.98500707213498</v>
      </c>
      <c r="AO134" s="266">
        <v>0</v>
      </c>
      <c r="AP134" s="266">
        <v>0</v>
      </c>
      <c r="AQ134" s="266">
        <v>0</v>
      </c>
      <c r="AR134" s="266">
        <v>0</v>
      </c>
      <c r="AS134" s="358">
        <v>1023389.49</v>
      </c>
      <c r="AT134" s="371">
        <v>0</v>
      </c>
      <c r="AU134" s="373">
        <v>2210473.4900000002</v>
      </c>
    </row>
    <row r="135" spans="1:47">
      <c r="A135" s="238" t="s">
        <v>585</v>
      </c>
      <c r="B135" s="238" t="s">
        <v>1397</v>
      </c>
      <c r="C135" s="266">
        <v>0</v>
      </c>
      <c r="D135" s="266">
        <v>0</v>
      </c>
      <c r="E135" s="266">
        <v>56920.7</v>
      </c>
      <c r="F135" s="266">
        <v>0</v>
      </c>
      <c r="G135" s="266">
        <v>3865660.17</v>
      </c>
      <c r="H135" s="266">
        <v>924065.65</v>
      </c>
      <c r="I135" s="266">
        <v>303795.20000000001</v>
      </c>
      <c r="J135" s="266">
        <v>0</v>
      </c>
      <c r="K135" s="266">
        <v>623694.61</v>
      </c>
      <c r="L135" s="266">
        <v>287482.18</v>
      </c>
      <c r="M135" s="266">
        <v>79465.59</v>
      </c>
      <c r="N135" s="266">
        <v>1848168.89</v>
      </c>
      <c r="O135" s="123">
        <v>4.6300000000000001E-2</v>
      </c>
      <c r="P135" s="123">
        <v>0.19470000000000001</v>
      </c>
      <c r="Q135" s="266">
        <v>0</v>
      </c>
      <c r="R135" s="266">
        <v>0</v>
      </c>
      <c r="S135" s="266">
        <v>0</v>
      </c>
      <c r="T135" s="266">
        <v>0</v>
      </c>
      <c r="U135" s="266">
        <v>0</v>
      </c>
      <c r="V135" s="266">
        <v>0</v>
      </c>
      <c r="W135" s="266">
        <v>0</v>
      </c>
      <c r="X135" s="266">
        <v>0</v>
      </c>
      <c r="Y135" s="266">
        <v>0</v>
      </c>
      <c r="Z135" s="266">
        <v>2871.81</v>
      </c>
      <c r="AA135" s="266">
        <v>0</v>
      </c>
      <c r="AB135" s="266">
        <v>101398.56</v>
      </c>
      <c r="AC135" s="266">
        <v>113596.09</v>
      </c>
      <c r="AD135" s="266">
        <v>1084870.46</v>
      </c>
      <c r="AE135" s="237">
        <v>112.78</v>
      </c>
      <c r="AF135" s="266">
        <v>990211.55</v>
      </c>
      <c r="AG135" s="237">
        <f t="shared" ref="AG135:AG198" si="55">IFERROR(AF135/AE135,0)</f>
        <v>8780.0279304841279</v>
      </c>
      <c r="AH135" s="237">
        <f t="shared" ref="AH135:AH198" si="56">IFERROR(AD135/AE135,0)</f>
        <v>9619.351480759</v>
      </c>
      <c r="AI135" s="237">
        <f t="shared" ref="AI135:AI198" si="57">AH135-AG135</f>
        <v>839.3235502748721</v>
      </c>
      <c r="AJ135" s="237">
        <v>12.24</v>
      </c>
      <c r="AK135" s="266">
        <v>104037.18</v>
      </c>
      <c r="AL135" s="237">
        <f t="shared" ref="AL135:AL198" si="58">IFERROR(AK135/AJ135,0)</f>
        <v>8499.7696078431363</v>
      </c>
      <c r="AM135" s="237">
        <f t="shared" ref="AM135:AM198" si="59">IFERROR(AC135/AJ135,0)</f>
        <v>9280.7263071895413</v>
      </c>
      <c r="AN135" s="237">
        <f t="shared" ref="AN135:AN198" si="60">AM135-AL135</f>
        <v>780.956699346405</v>
      </c>
      <c r="AO135" s="266">
        <v>0</v>
      </c>
      <c r="AP135" s="266">
        <v>0</v>
      </c>
      <c r="AQ135" s="266">
        <v>0</v>
      </c>
      <c r="AR135" s="266">
        <v>0</v>
      </c>
      <c r="AS135" s="358">
        <v>374080.14</v>
      </c>
      <c r="AT135" s="371">
        <v>0</v>
      </c>
      <c r="AU135" s="373">
        <v>183212.68</v>
      </c>
    </row>
    <row r="136" spans="1:47">
      <c r="A136" s="238" t="s">
        <v>690</v>
      </c>
      <c r="B136" s="238" t="s">
        <v>1398</v>
      </c>
      <c r="C136" s="266">
        <v>0</v>
      </c>
      <c r="D136" s="266">
        <v>0</v>
      </c>
      <c r="E136" s="266">
        <v>0</v>
      </c>
      <c r="F136" s="266">
        <v>0</v>
      </c>
      <c r="G136" s="266">
        <v>39369.81</v>
      </c>
      <c r="H136" s="266">
        <v>15288.4</v>
      </c>
      <c r="I136" s="266">
        <v>0</v>
      </c>
      <c r="J136" s="266">
        <v>9824.48</v>
      </c>
      <c r="K136" s="266">
        <v>15738.22</v>
      </c>
      <c r="L136" s="266">
        <v>0</v>
      </c>
      <c r="M136" s="266">
        <v>1049.21</v>
      </c>
      <c r="N136" s="266">
        <v>81641.7</v>
      </c>
      <c r="O136" s="123">
        <v>0.1651</v>
      </c>
      <c r="P136" s="123">
        <v>0.37480000000000002</v>
      </c>
      <c r="Q136" s="266">
        <v>0</v>
      </c>
      <c r="R136" s="266">
        <v>0</v>
      </c>
      <c r="S136" s="266">
        <v>0</v>
      </c>
      <c r="T136" s="266">
        <v>0</v>
      </c>
      <c r="U136" s="266">
        <v>0</v>
      </c>
      <c r="V136" s="266">
        <v>0</v>
      </c>
      <c r="W136" s="266">
        <v>0</v>
      </c>
      <c r="X136" s="266">
        <v>0</v>
      </c>
      <c r="Y136" s="266">
        <v>0</v>
      </c>
      <c r="Z136" s="266">
        <v>43.91</v>
      </c>
      <c r="AA136" s="266">
        <v>0</v>
      </c>
      <c r="AB136" s="266">
        <v>0</v>
      </c>
      <c r="AC136" s="266">
        <v>0</v>
      </c>
      <c r="AD136" s="266">
        <v>0</v>
      </c>
      <c r="AE136" s="237">
        <v>0</v>
      </c>
      <c r="AF136" s="266">
        <v>0</v>
      </c>
      <c r="AG136" s="237">
        <f t="shared" si="55"/>
        <v>0</v>
      </c>
      <c r="AH136" s="237">
        <f t="shared" si="56"/>
        <v>0</v>
      </c>
      <c r="AI136" s="237">
        <f t="shared" si="57"/>
        <v>0</v>
      </c>
      <c r="AJ136" s="237">
        <v>0</v>
      </c>
      <c r="AK136" s="266">
        <v>0</v>
      </c>
      <c r="AL136" s="237">
        <f t="shared" si="58"/>
        <v>0</v>
      </c>
      <c r="AM136" s="237">
        <f t="shared" si="59"/>
        <v>0</v>
      </c>
      <c r="AN136" s="237">
        <f t="shared" si="60"/>
        <v>0</v>
      </c>
      <c r="AO136" s="266">
        <v>0</v>
      </c>
      <c r="AP136" s="266">
        <v>0</v>
      </c>
      <c r="AQ136" s="266">
        <v>0</v>
      </c>
      <c r="AR136" s="266">
        <v>0</v>
      </c>
      <c r="AS136" s="358">
        <v>5302.02</v>
      </c>
      <c r="AT136" s="371">
        <v>253.01000000000022</v>
      </c>
      <c r="AU136" s="373">
        <v>3949.9700000000003</v>
      </c>
    </row>
    <row r="137" spans="1:47">
      <c r="A137" s="238" t="s">
        <v>614</v>
      </c>
      <c r="B137" s="238" t="s">
        <v>1399</v>
      </c>
      <c r="C137" s="266">
        <v>0</v>
      </c>
      <c r="D137" s="266">
        <v>0</v>
      </c>
      <c r="E137" s="266">
        <v>0</v>
      </c>
      <c r="F137" s="266">
        <v>0</v>
      </c>
      <c r="G137" s="266">
        <v>615371.52000000002</v>
      </c>
      <c r="H137" s="266">
        <v>125181.97</v>
      </c>
      <c r="I137" s="266">
        <v>26867.75</v>
      </c>
      <c r="J137" s="266">
        <v>0</v>
      </c>
      <c r="K137" s="266">
        <v>101201.61</v>
      </c>
      <c r="L137" s="266">
        <v>7202.75</v>
      </c>
      <c r="M137" s="266">
        <v>14975.15</v>
      </c>
      <c r="N137" s="266">
        <v>562495.16</v>
      </c>
      <c r="O137" s="123">
        <v>2.8899999999999999E-2</v>
      </c>
      <c r="P137" s="123">
        <v>0.24779999999999999</v>
      </c>
      <c r="Q137" s="266">
        <v>0</v>
      </c>
      <c r="R137" s="266">
        <v>0</v>
      </c>
      <c r="S137" s="266">
        <v>0</v>
      </c>
      <c r="T137" s="266">
        <v>0</v>
      </c>
      <c r="U137" s="266">
        <v>0</v>
      </c>
      <c r="V137" s="266">
        <v>0</v>
      </c>
      <c r="W137" s="266">
        <v>0</v>
      </c>
      <c r="X137" s="266">
        <v>0</v>
      </c>
      <c r="Y137" s="266">
        <v>0</v>
      </c>
      <c r="Z137" s="266">
        <v>0</v>
      </c>
      <c r="AA137" s="266">
        <v>0</v>
      </c>
      <c r="AB137" s="266">
        <v>0</v>
      </c>
      <c r="AC137" s="266">
        <v>0</v>
      </c>
      <c r="AD137" s="266">
        <v>231695.58</v>
      </c>
      <c r="AE137" s="237">
        <v>27.95</v>
      </c>
      <c r="AF137" s="266">
        <v>218154.05</v>
      </c>
      <c r="AG137" s="237">
        <f t="shared" si="55"/>
        <v>7805.1538461538457</v>
      </c>
      <c r="AH137" s="237">
        <f t="shared" si="56"/>
        <v>8289.6450805008935</v>
      </c>
      <c r="AI137" s="237">
        <f t="shared" si="57"/>
        <v>484.49123434704779</v>
      </c>
      <c r="AJ137" s="237">
        <v>0</v>
      </c>
      <c r="AK137" s="266">
        <v>0</v>
      </c>
      <c r="AL137" s="237">
        <f t="shared" si="58"/>
        <v>0</v>
      </c>
      <c r="AM137" s="237">
        <f t="shared" si="59"/>
        <v>0</v>
      </c>
      <c r="AN137" s="237">
        <f t="shared" si="60"/>
        <v>0</v>
      </c>
      <c r="AO137" s="266">
        <v>0</v>
      </c>
      <c r="AP137" s="266">
        <v>0</v>
      </c>
      <c r="AQ137" s="266">
        <v>0</v>
      </c>
      <c r="AR137" s="266">
        <v>0</v>
      </c>
      <c r="AS137" s="358">
        <v>86037.31</v>
      </c>
      <c r="AT137" s="371">
        <v>0</v>
      </c>
      <c r="AU137" s="373">
        <v>34801.15</v>
      </c>
    </row>
    <row r="138" spans="1:47">
      <c r="A138" s="238" t="s">
        <v>171</v>
      </c>
      <c r="B138" s="238" t="s">
        <v>1400</v>
      </c>
      <c r="C138" s="266">
        <v>0</v>
      </c>
      <c r="D138" s="266">
        <v>0</v>
      </c>
      <c r="E138" s="266">
        <v>0</v>
      </c>
      <c r="F138" s="266">
        <v>0</v>
      </c>
      <c r="G138" s="266">
        <v>216441.18</v>
      </c>
      <c r="H138" s="266">
        <v>37999.050000000003</v>
      </c>
      <c r="I138" s="266">
        <v>1075.44</v>
      </c>
      <c r="J138" s="266">
        <v>55417.65</v>
      </c>
      <c r="K138" s="266">
        <v>85177.22</v>
      </c>
      <c r="L138" s="266">
        <v>37884.660000000003</v>
      </c>
      <c r="M138" s="266">
        <v>0</v>
      </c>
      <c r="N138" s="266">
        <v>903728.93</v>
      </c>
      <c r="O138" s="123">
        <v>7.9299999999999995E-2</v>
      </c>
      <c r="P138" s="123">
        <v>0.25919999999999999</v>
      </c>
      <c r="Q138" s="266">
        <v>0</v>
      </c>
      <c r="R138" s="266">
        <v>0</v>
      </c>
      <c r="S138" s="266">
        <v>0</v>
      </c>
      <c r="T138" s="266">
        <v>0</v>
      </c>
      <c r="U138" s="266">
        <v>0</v>
      </c>
      <c r="V138" s="266">
        <v>0</v>
      </c>
      <c r="W138" s="266">
        <v>0</v>
      </c>
      <c r="X138" s="266">
        <v>0</v>
      </c>
      <c r="Y138" s="266">
        <v>0</v>
      </c>
      <c r="Z138" s="266">
        <v>0</v>
      </c>
      <c r="AA138" s="266">
        <v>0</v>
      </c>
      <c r="AB138" s="266">
        <v>0</v>
      </c>
      <c r="AC138" s="266">
        <v>52318.69</v>
      </c>
      <c r="AD138" s="266">
        <v>99065.32</v>
      </c>
      <c r="AE138" s="237">
        <v>12.02</v>
      </c>
      <c r="AF138" s="266">
        <v>93875.75</v>
      </c>
      <c r="AG138" s="237">
        <f t="shared" si="55"/>
        <v>7809.9625623960073</v>
      </c>
      <c r="AH138" s="237">
        <f t="shared" si="56"/>
        <v>8241.7071547420983</v>
      </c>
      <c r="AI138" s="237">
        <f t="shared" si="57"/>
        <v>431.74459234609094</v>
      </c>
      <c r="AJ138" s="237">
        <v>6.36</v>
      </c>
      <c r="AK138" s="266">
        <v>47956.04</v>
      </c>
      <c r="AL138" s="237">
        <f t="shared" si="58"/>
        <v>7540.2578616352203</v>
      </c>
      <c r="AM138" s="237">
        <f t="shared" si="59"/>
        <v>8226.2091194968561</v>
      </c>
      <c r="AN138" s="237">
        <f t="shared" si="60"/>
        <v>685.9512578616359</v>
      </c>
      <c r="AO138" s="266">
        <v>24.76</v>
      </c>
      <c r="AP138" s="266">
        <v>0</v>
      </c>
      <c r="AQ138" s="266">
        <v>0</v>
      </c>
      <c r="AR138" s="266">
        <v>0</v>
      </c>
      <c r="AS138" s="358">
        <v>4840.95</v>
      </c>
      <c r="AT138" s="371">
        <v>558.14999999999964</v>
      </c>
      <c r="AU138" s="373">
        <v>19069.79</v>
      </c>
    </row>
    <row r="139" spans="1:47">
      <c r="A139" s="238" t="s">
        <v>235</v>
      </c>
      <c r="B139" s="238" t="s">
        <v>1401</v>
      </c>
      <c r="C139" s="266">
        <v>0</v>
      </c>
      <c r="D139" s="266">
        <v>0</v>
      </c>
      <c r="E139" s="266">
        <v>185026.15</v>
      </c>
      <c r="F139" s="266">
        <v>52430.83</v>
      </c>
      <c r="G139" s="266">
        <v>9730681.3300000001</v>
      </c>
      <c r="H139" s="266">
        <v>2367203.9700000002</v>
      </c>
      <c r="I139" s="266">
        <v>811404.26</v>
      </c>
      <c r="J139" s="266">
        <v>1082790.3600000001</v>
      </c>
      <c r="K139" s="266">
        <v>2436087.54</v>
      </c>
      <c r="L139" s="266">
        <v>619437.29</v>
      </c>
      <c r="M139" s="266">
        <v>178175.86</v>
      </c>
      <c r="N139" s="266">
        <v>2687920.83</v>
      </c>
      <c r="O139" s="123">
        <v>5.1200000000000002E-2</v>
      </c>
      <c r="P139" s="123">
        <v>0.1822</v>
      </c>
      <c r="Q139" s="266">
        <v>0</v>
      </c>
      <c r="R139" s="266">
        <v>0</v>
      </c>
      <c r="S139" s="266">
        <v>0</v>
      </c>
      <c r="T139" s="266">
        <v>0</v>
      </c>
      <c r="U139" s="266">
        <v>0</v>
      </c>
      <c r="V139" s="266">
        <v>0</v>
      </c>
      <c r="W139" s="266">
        <v>0</v>
      </c>
      <c r="X139" s="266">
        <v>0</v>
      </c>
      <c r="Y139" s="266">
        <v>0</v>
      </c>
      <c r="Z139" s="266">
        <v>489.61</v>
      </c>
      <c r="AA139" s="266">
        <v>0</v>
      </c>
      <c r="AB139" s="266">
        <v>50081.08</v>
      </c>
      <c r="AC139" s="266">
        <v>646434.02</v>
      </c>
      <c r="AD139" s="266">
        <v>2651282.0699999998</v>
      </c>
      <c r="AE139" s="237">
        <v>313.08999999999997</v>
      </c>
      <c r="AF139" s="266">
        <v>2443193.9</v>
      </c>
      <c r="AG139" s="237">
        <f t="shared" si="55"/>
        <v>7803.4874956082922</v>
      </c>
      <c r="AH139" s="237">
        <f t="shared" si="56"/>
        <v>8468.114823213773</v>
      </c>
      <c r="AI139" s="237">
        <f t="shared" si="57"/>
        <v>664.62732760548079</v>
      </c>
      <c r="AJ139" s="237">
        <v>78.55</v>
      </c>
      <c r="AK139" s="266">
        <v>592055.39</v>
      </c>
      <c r="AL139" s="237">
        <f t="shared" si="58"/>
        <v>7537.3060471037561</v>
      </c>
      <c r="AM139" s="237">
        <f t="shared" si="59"/>
        <v>8229.586505410567</v>
      </c>
      <c r="AN139" s="237">
        <f t="shared" si="60"/>
        <v>692.28045830681094</v>
      </c>
      <c r="AO139" s="266">
        <v>0</v>
      </c>
      <c r="AP139" s="266">
        <v>373.08</v>
      </c>
      <c r="AQ139" s="266">
        <v>0</v>
      </c>
      <c r="AR139" s="266">
        <v>0</v>
      </c>
      <c r="AS139" s="358">
        <v>0</v>
      </c>
      <c r="AT139" s="371">
        <v>0</v>
      </c>
      <c r="AU139" s="373">
        <v>427087.6</v>
      </c>
    </row>
    <row r="140" spans="1:47">
      <c r="A140" s="238" t="s">
        <v>631</v>
      </c>
      <c r="B140" s="238" t="s">
        <v>1402</v>
      </c>
      <c r="C140" s="266">
        <v>0</v>
      </c>
      <c r="D140" s="266">
        <v>0</v>
      </c>
      <c r="E140" s="266">
        <v>0</v>
      </c>
      <c r="F140" s="266">
        <v>0</v>
      </c>
      <c r="G140" s="266">
        <v>120283.9</v>
      </c>
      <c r="H140" s="266">
        <v>16338.39</v>
      </c>
      <c r="I140" s="266">
        <v>8567.64</v>
      </c>
      <c r="J140" s="266">
        <v>30999.54</v>
      </c>
      <c r="K140" s="266">
        <v>53414.61</v>
      </c>
      <c r="L140" s="266">
        <v>0</v>
      </c>
      <c r="M140" s="266">
        <v>6199.91</v>
      </c>
      <c r="N140" s="266">
        <v>0</v>
      </c>
      <c r="O140" s="123">
        <v>0.1237</v>
      </c>
      <c r="P140" s="123">
        <v>0.30299999999999999</v>
      </c>
      <c r="Q140" s="266">
        <v>0</v>
      </c>
      <c r="R140" s="266">
        <v>0</v>
      </c>
      <c r="S140" s="266">
        <v>0</v>
      </c>
      <c r="T140" s="266">
        <v>0</v>
      </c>
      <c r="U140" s="266">
        <v>0</v>
      </c>
      <c r="V140" s="266">
        <v>0</v>
      </c>
      <c r="W140" s="266">
        <v>0</v>
      </c>
      <c r="X140" s="266">
        <v>0</v>
      </c>
      <c r="Y140" s="266">
        <v>0</v>
      </c>
      <c r="Z140" s="266">
        <v>270.06</v>
      </c>
      <c r="AA140" s="266">
        <v>0</v>
      </c>
      <c r="AB140" s="266">
        <v>0</v>
      </c>
      <c r="AC140" s="266">
        <v>0</v>
      </c>
      <c r="AD140" s="266">
        <v>0</v>
      </c>
      <c r="AE140" s="237">
        <v>0</v>
      </c>
      <c r="AF140" s="266">
        <v>0</v>
      </c>
      <c r="AG140" s="237">
        <f t="shared" si="55"/>
        <v>0</v>
      </c>
      <c r="AH140" s="237">
        <f t="shared" si="56"/>
        <v>0</v>
      </c>
      <c r="AI140" s="237">
        <f t="shared" si="57"/>
        <v>0</v>
      </c>
      <c r="AJ140" s="237">
        <v>0</v>
      </c>
      <c r="AK140" s="266">
        <v>0</v>
      </c>
      <c r="AL140" s="237">
        <f t="shared" si="58"/>
        <v>0</v>
      </c>
      <c r="AM140" s="237">
        <f t="shared" si="59"/>
        <v>0</v>
      </c>
      <c r="AN140" s="237">
        <f t="shared" si="60"/>
        <v>0</v>
      </c>
      <c r="AO140" s="266">
        <v>0</v>
      </c>
      <c r="AP140" s="266">
        <v>0</v>
      </c>
      <c r="AQ140" s="266">
        <v>0</v>
      </c>
      <c r="AR140" s="266">
        <v>0</v>
      </c>
      <c r="AS140" s="358">
        <v>0</v>
      </c>
      <c r="AT140" s="371">
        <v>474.21000000000004</v>
      </c>
      <c r="AU140" s="373">
        <v>7045.1799999999994</v>
      </c>
    </row>
    <row r="141" spans="1:47">
      <c r="A141" s="238" t="s">
        <v>542</v>
      </c>
      <c r="B141" s="238" t="s">
        <v>1403</v>
      </c>
      <c r="C141" s="266">
        <v>0</v>
      </c>
      <c r="D141" s="266">
        <v>0</v>
      </c>
      <c r="E141" s="266">
        <v>5497.25</v>
      </c>
      <c r="F141" s="266">
        <v>0</v>
      </c>
      <c r="G141" s="266">
        <v>373780.11</v>
      </c>
      <c r="H141" s="266">
        <v>33694.65</v>
      </c>
      <c r="I141" s="266">
        <v>13946.91</v>
      </c>
      <c r="J141" s="266">
        <v>0</v>
      </c>
      <c r="K141" s="266">
        <v>62381.21</v>
      </c>
      <c r="L141" s="266">
        <v>38442.46</v>
      </c>
      <c r="M141" s="266">
        <v>7270.8</v>
      </c>
      <c r="N141" s="266">
        <v>166732.9</v>
      </c>
      <c r="O141" s="123">
        <v>0.1002</v>
      </c>
      <c r="P141" s="123">
        <v>0.28720000000000001</v>
      </c>
      <c r="Q141" s="266">
        <v>0</v>
      </c>
      <c r="R141" s="266">
        <v>0</v>
      </c>
      <c r="S141" s="266">
        <v>0</v>
      </c>
      <c r="T141" s="266">
        <v>0</v>
      </c>
      <c r="U141" s="266">
        <v>0</v>
      </c>
      <c r="V141" s="266">
        <v>0</v>
      </c>
      <c r="W141" s="266">
        <v>0</v>
      </c>
      <c r="X141" s="266">
        <v>0</v>
      </c>
      <c r="Y141" s="266">
        <v>0</v>
      </c>
      <c r="Z141" s="266">
        <v>266.76</v>
      </c>
      <c r="AA141" s="266">
        <v>0</v>
      </c>
      <c r="AB141" s="266">
        <v>1167.57</v>
      </c>
      <c r="AC141" s="266">
        <v>8525.7099999999991</v>
      </c>
      <c r="AD141" s="266">
        <v>42082.06</v>
      </c>
      <c r="AE141" s="237">
        <v>4.72</v>
      </c>
      <c r="AF141" s="266">
        <v>39834.589999999997</v>
      </c>
      <c r="AG141" s="237">
        <f t="shared" si="55"/>
        <v>8439.5317796610161</v>
      </c>
      <c r="AH141" s="237">
        <f t="shared" si="56"/>
        <v>8915.6906779661022</v>
      </c>
      <c r="AI141" s="237">
        <f t="shared" si="57"/>
        <v>476.15889830508604</v>
      </c>
      <c r="AJ141" s="237">
        <v>0.95</v>
      </c>
      <c r="AK141" s="266">
        <v>7795</v>
      </c>
      <c r="AL141" s="237">
        <f t="shared" si="58"/>
        <v>8205.2631578947367</v>
      </c>
      <c r="AM141" s="237">
        <f t="shared" si="59"/>
        <v>8974.4315789473676</v>
      </c>
      <c r="AN141" s="237">
        <f t="shared" si="60"/>
        <v>769.16842105263095</v>
      </c>
      <c r="AO141" s="266">
        <v>0</v>
      </c>
      <c r="AP141" s="266">
        <v>0</v>
      </c>
      <c r="AQ141" s="266">
        <v>0</v>
      </c>
      <c r="AR141" s="266">
        <v>0</v>
      </c>
      <c r="AS141" s="358">
        <v>31553.82</v>
      </c>
      <c r="AT141" s="371">
        <v>3747.8200000000015</v>
      </c>
      <c r="AU141" s="373">
        <v>24192.289999999997</v>
      </c>
    </row>
    <row r="142" spans="1:47">
      <c r="A142" s="238" t="s">
        <v>1240</v>
      </c>
      <c r="B142" s="238" t="s">
        <v>1404</v>
      </c>
      <c r="C142" s="266">
        <v>0</v>
      </c>
      <c r="D142" s="266">
        <v>0</v>
      </c>
      <c r="E142" s="266">
        <v>0</v>
      </c>
      <c r="F142" s="266">
        <v>9305.23</v>
      </c>
      <c r="G142" s="266">
        <v>912347.77</v>
      </c>
      <c r="H142" s="266">
        <v>215203.63</v>
      </c>
      <c r="I142" s="266">
        <v>116337.75</v>
      </c>
      <c r="J142" s="266">
        <v>103266.2</v>
      </c>
      <c r="K142" s="266">
        <v>210958.07</v>
      </c>
      <c r="L142" s="266">
        <v>0</v>
      </c>
      <c r="M142" s="266">
        <v>0</v>
      </c>
      <c r="N142" s="266">
        <v>283188.21999999997</v>
      </c>
      <c r="O142" s="123">
        <v>0.08</v>
      </c>
      <c r="P142" s="123">
        <v>7.0000000000000007E-2</v>
      </c>
      <c r="Q142" s="266">
        <v>0</v>
      </c>
      <c r="R142" s="266">
        <v>0</v>
      </c>
      <c r="S142" s="266">
        <v>0</v>
      </c>
      <c r="T142" s="266">
        <v>0</v>
      </c>
      <c r="U142" s="266">
        <v>0</v>
      </c>
      <c r="V142" s="266">
        <v>0</v>
      </c>
      <c r="W142" s="266">
        <v>0</v>
      </c>
      <c r="X142" s="266">
        <v>0</v>
      </c>
      <c r="Y142" s="266">
        <v>0</v>
      </c>
      <c r="Z142" s="266">
        <v>0</v>
      </c>
      <c r="AA142" s="266">
        <v>0</v>
      </c>
      <c r="AB142" s="266">
        <v>0</v>
      </c>
      <c r="AC142" s="266">
        <v>0</v>
      </c>
      <c r="AD142" s="266">
        <v>0</v>
      </c>
      <c r="AE142" s="237">
        <v>0</v>
      </c>
      <c r="AF142" s="266">
        <v>0</v>
      </c>
      <c r="AG142" s="237">
        <f t="shared" si="55"/>
        <v>0</v>
      </c>
      <c r="AH142" s="237">
        <f t="shared" si="56"/>
        <v>0</v>
      </c>
      <c r="AI142" s="237">
        <f t="shared" si="57"/>
        <v>0</v>
      </c>
      <c r="AJ142" s="237">
        <v>0</v>
      </c>
      <c r="AK142" s="266">
        <v>0</v>
      </c>
      <c r="AL142" s="237">
        <f t="shared" si="58"/>
        <v>0</v>
      </c>
      <c r="AM142" s="237">
        <f t="shared" si="59"/>
        <v>0</v>
      </c>
      <c r="AN142" s="237">
        <f t="shared" si="60"/>
        <v>0</v>
      </c>
      <c r="AO142" s="266">
        <v>0</v>
      </c>
      <c r="AP142" s="266">
        <v>0</v>
      </c>
      <c r="AQ142" s="266">
        <v>0</v>
      </c>
      <c r="AR142" s="266">
        <v>0</v>
      </c>
      <c r="AS142" s="358">
        <v>0</v>
      </c>
      <c r="AT142" s="371">
        <v>15296.679999999998</v>
      </c>
      <c r="AU142" s="373">
        <v>35418.61</v>
      </c>
    </row>
    <row r="143" spans="1:47">
      <c r="A143" s="238" t="s">
        <v>417</v>
      </c>
      <c r="B143" s="238" t="s">
        <v>1405</v>
      </c>
      <c r="C143" s="266">
        <v>0</v>
      </c>
      <c r="D143" s="266">
        <v>0</v>
      </c>
      <c r="E143" s="266">
        <v>8660.48</v>
      </c>
      <c r="F143" s="266">
        <v>6518.15</v>
      </c>
      <c r="G143" s="266">
        <v>0</v>
      </c>
      <c r="H143" s="266">
        <v>0</v>
      </c>
      <c r="I143" s="266">
        <v>0</v>
      </c>
      <c r="J143" s="266">
        <v>68580.53</v>
      </c>
      <c r="K143" s="266">
        <v>99675.47</v>
      </c>
      <c r="L143" s="266">
        <v>18053.669999999998</v>
      </c>
      <c r="M143" s="266">
        <v>0</v>
      </c>
      <c r="N143" s="266">
        <v>220591.46</v>
      </c>
      <c r="O143" s="123">
        <v>5.1299999999999998E-2</v>
      </c>
      <c r="P143" s="123">
        <v>0.28899999999999998</v>
      </c>
      <c r="Q143" s="266">
        <v>0</v>
      </c>
      <c r="R143" s="266">
        <v>0</v>
      </c>
      <c r="S143" s="266">
        <v>0</v>
      </c>
      <c r="T143" s="266">
        <v>0</v>
      </c>
      <c r="U143" s="266">
        <v>0</v>
      </c>
      <c r="V143" s="266">
        <v>0</v>
      </c>
      <c r="W143" s="266">
        <v>0</v>
      </c>
      <c r="X143" s="266">
        <v>0</v>
      </c>
      <c r="Y143" s="266">
        <v>0</v>
      </c>
      <c r="Z143" s="266">
        <v>0</v>
      </c>
      <c r="AA143" s="266">
        <v>0</v>
      </c>
      <c r="AB143" s="266">
        <v>0</v>
      </c>
      <c r="AC143" s="266">
        <v>0</v>
      </c>
      <c r="AD143" s="266">
        <v>49309.96</v>
      </c>
      <c r="AE143" s="237">
        <v>5.23</v>
      </c>
      <c r="AF143" s="266">
        <v>40836.93</v>
      </c>
      <c r="AG143" s="237">
        <f t="shared" si="55"/>
        <v>7808.2084130019111</v>
      </c>
      <c r="AH143" s="237">
        <f t="shared" si="56"/>
        <v>9428.2906309751434</v>
      </c>
      <c r="AI143" s="237">
        <f t="shared" si="57"/>
        <v>1620.0822179732322</v>
      </c>
      <c r="AJ143" s="237">
        <v>0</v>
      </c>
      <c r="AK143" s="266">
        <v>0</v>
      </c>
      <c r="AL143" s="237">
        <f t="shared" si="58"/>
        <v>0</v>
      </c>
      <c r="AM143" s="237">
        <f t="shared" si="59"/>
        <v>0</v>
      </c>
      <c r="AN143" s="237">
        <f t="shared" si="60"/>
        <v>0</v>
      </c>
      <c r="AO143" s="266">
        <v>0</v>
      </c>
      <c r="AP143" s="266">
        <v>0</v>
      </c>
      <c r="AQ143" s="266">
        <v>0</v>
      </c>
      <c r="AR143" s="266">
        <v>0</v>
      </c>
      <c r="AS143" s="358">
        <v>28646.959999999999</v>
      </c>
      <c r="AT143" s="371">
        <v>0</v>
      </c>
      <c r="AU143" s="373">
        <v>19155.219999999998</v>
      </c>
    </row>
    <row r="144" spans="1:47">
      <c r="A144" s="238" t="s">
        <v>680</v>
      </c>
      <c r="B144" s="238" t="s">
        <v>1406</v>
      </c>
      <c r="C144" s="266">
        <v>0</v>
      </c>
      <c r="D144" s="266">
        <v>0</v>
      </c>
      <c r="E144" s="266">
        <v>20380.900000000001</v>
      </c>
      <c r="F144" s="266">
        <v>0</v>
      </c>
      <c r="G144" s="266">
        <v>5137121.76</v>
      </c>
      <c r="H144" s="266">
        <v>806876.04</v>
      </c>
      <c r="I144" s="266">
        <v>441106.74</v>
      </c>
      <c r="J144" s="266">
        <v>5018.93</v>
      </c>
      <c r="K144" s="266">
        <v>696927.55</v>
      </c>
      <c r="L144" s="266">
        <v>598817.47</v>
      </c>
      <c r="M144" s="266">
        <v>100077.32</v>
      </c>
      <c r="N144" s="266">
        <v>1460281.93</v>
      </c>
      <c r="O144" s="123">
        <v>4.2900000000000001E-2</v>
      </c>
      <c r="P144" s="123">
        <v>0.1424</v>
      </c>
      <c r="Q144" s="266">
        <v>0</v>
      </c>
      <c r="R144" s="266">
        <v>0</v>
      </c>
      <c r="S144" s="266">
        <v>0</v>
      </c>
      <c r="T144" s="266">
        <v>0</v>
      </c>
      <c r="U144" s="266">
        <v>0</v>
      </c>
      <c r="V144" s="266">
        <v>0</v>
      </c>
      <c r="W144" s="266">
        <v>0</v>
      </c>
      <c r="X144" s="266">
        <v>0</v>
      </c>
      <c r="Y144" s="266">
        <v>0</v>
      </c>
      <c r="Z144" s="266">
        <v>0</v>
      </c>
      <c r="AA144" s="266">
        <v>12767.24</v>
      </c>
      <c r="AB144" s="266">
        <v>25431.34</v>
      </c>
      <c r="AC144" s="266">
        <v>133819.01</v>
      </c>
      <c r="AD144" s="266">
        <v>1746810.76</v>
      </c>
      <c r="AE144" s="237">
        <v>194.46</v>
      </c>
      <c r="AF144" s="266">
        <v>1580764.07</v>
      </c>
      <c r="AG144" s="237">
        <f t="shared" si="55"/>
        <v>8128.9934690939008</v>
      </c>
      <c r="AH144" s="237">
        <f t="shared" si="56"/>
        <v>8982.8795639206</v>
      </c>
      <c r="AI144" s="237">
        <f t="shared" si="57"/>
        <v>853.88609482669926</v>
      </c>
      <c r="AJ144" s="237">
        <v>15.61</v>
      </c>
      <c r="AK144" s="266">
        <v>122591.94</v>
      </c>
      <c r="AL144" s="237">
        <f t="shared" si="58"/>
        <v>7853.4234465086483</v>
      </c>
      <c r="AM144" s="237">
        <f t="shared" si="59"/>
        <v>8572.6463805253061</v>
      </c>
      <c r="AN144" s="237">
        <f t="shared" si="60"/>
        <v>719.22293401665775</v>
      </c>
      <c r="AO144" s="266">
        <v>0</v>
      </c>
      <c r="AP144" s="266">
        <v>0</v>
      </c>
      <c r="AQ144" s="266">
        <v>0</v>
      </c>
      <c r="AR144" s="266">
        <v>0</v>
      </c>
      <c r="AS144" s="358">
        <v>78218.789999999994</v>
      </c>
      <c r="AT144" s="371">
        <v>0</v>
      </c>
      <c r="AU144" s="373">
        <v>212590.22999999998</v>
      </c>
    </row>
    <row r="145" spans="1:47">
      <c r="A145" s="238" t="s">
        <v>723</v>
      </c>
      <c r="B145" s="238" t="s">
        <v>1407</v>
      </c>
      <c r="C145" s="266">
        <v>0</v>
      </c>
      <c r="D145" s="266">
        <v>0</v>
      </c>
      <c r="E145" s="266">
        <v>43344.51</v>
      </c>
      <c r="F145" s="266">
        <v>7071.24</v>
      </c>
      <c r="G145" s="266">
        <v>851983.52</v>
      </c>
      <c r="H145" s="266">
        <v>131714.38</v>
      </c>
      <c r="I145" s="266">
        <v>43592.06</v>
      </c>
      <c r="J145" s="266">
        <v>230636.63</v>
      </c>
      <c r="K145" s="266">
        <v>464325.52</v>
      </c>
      <c r="L145" s="266">
        <v>586791.02</v>
      </c>
      <c r="M145" s="266">
        <v>0</v>
      </c>
      <c r="N145" s="266">
        <v>234438.11</v>
      </c>
      <c r="O145" s="123">
        <v>8.6900000000000005E-2</v>
      </c>
      <c r="P145" s="123">
        <v>0.27579999999999999</v>
      </c>
      <c r="Q145" s="266">
        <v>0</v>
      </c>
      <c r="R145" s="266">
        <v>0</v>
      </c>
      <c r="S145" s="266">
        <v>0</v>
      </c>
      <c r="T145" s="266">
        <v>0</v>
      </c>
      <c r="U145" s="266">
        <v>0</v>
      </c>
      <c r="V145" s="266">
        <v>0</v>
      </c>
      <c r="W145" s="266">
        <v>0</v>
      </c>
      <c r="X145" s="266">
        <v>0</v>
      </c>
      <c r="Y145" s="266">
        <v>0</v>
      </c>
      <c r="Z145" s="266">
        <v>0</v>
      </c>
      <c r="AA145" s="266">
        <v>4818.1400000000003</v>
      </c>
      <c r="AB145" s="266">
        <v>25800.57</v>
      </c>
      <c r="AC145" s="266">
        <v>40173.769999999997</v>
      </c>
      <c r="AD145" s="266">
        <v>632958.6</v>
      </c>
      <c r="AE145" s="237">
        <v>75.67</v>
      </c>
      <c r="AF145" s="266">
        <v>590469.21</v>
      </c>
      <c r="AG145" s="237">
        <f t="shared" si="55"/>
        <v>7803.214087485132</v>
      </c>
      <c r="AH145" s="237">
        <f t="shared" si="56"/>
        <v>8364.7231399497814</v>
      </c>
      <c r="AI145" s="237">
        <f t="shared" si="57"/>
        <v>561.50905246464936</v>
      </c>
      <c r="AJ145" s="237">
        <v>4.87</v>
      </c>
      <c r="AK145" s="266">
        <v>36639.54</v>
      </c>
      <c r="AL145" s="237">
        <f t="shared" si="58"/>
        <v>7523.5195071868584</v>
      </c>
      <c r="AM145" s="237">
        <f t="shared" si="59"/>
        <v>8249.2340862422989</v>
      </c>
      <c r="AN145" s="237">
        <f t="shared" si="60"/>
        <v>725.71457905544048</v>
      </c>
      <c r="AO145" s="266">
        <v>1198.3800000000001</v>
      </c>
      <c r="AP145" s="266">
        <v>0</v>
      </c>
      <c r="AQ145" s="266">
        <v>0</v>
      </c>
      <c r="AR145" s="266">
        <v>0</v>
      </c>
      <c r="AS145" s="358">
        <v>18484.79</v>
      </c>
      <c r="AT145" s="371">
        <v>0</v>
      </c>
      <c r="AU145" s="373">
        <v>61154.79</v>
      </c>
    </row>
    <row r="146" spans="1:47">
      <c r="A146" s="238" t="s">
        <v>255</v>
      </c>
      <c r="B146" s="238" t="s">
        <v>1408</v>
      </c>
      <c r="C146" s="266">
        <v>0</v>
      </c>
      <c r="D146" s="266">
        <v>0</v>
      </c>
      <c r="E146" s="266">
        <v>3603.16</v>
      </c>
      <c r="F146" s="266">
        <v>2425.08</v>
      </c>
      <c r="G146" s="266">
        <v>93826.35</v>
      </c>
      <c r="H146" s="266">
        <v>10022.51</v>
      </c>
      <c r="I146" s="266">
        <v>0</v>
      </c>
      <c r="J146" s="266">
        <v>24799.65</v>
      </c>
      <c r="K146" s="266">
        <v>40251.72</v>
      </c>
      <c r="L146" s="266">
        <v>11131.53</v>
      </c>
      <c r="M146" s="266">
        <v>0</v>
      </c>
      <c r="N146" s="266">
        <v>110763.28</v>
      </c>
      <c r="O146" s="123">
        <v>7.51E-2</v>
      </c>
      <c r="P146" s="123">
        <v>0.34510000000000002</v>
      </c>
      <c r="Q146" s="266">
        <v>0</v>
      </c>
      <c r="R146" s="266">
        <v>0</v>
      </c>
      <c r="S146" s="266">
        <v>0</v>
      </c>
      <c r="T146" s="266">
        <v>0</v>
      </c>
      <c r="U146" s="266">
        <v>0</v>
      </c>
      <c r="V146" s="266">
        <v>0</v>
      </c>
      <c r="W146" s="266">
        <v>0</v>
      </c>
      <c r="X146" s="266">
        <v>0</v>
      </c>
      <c r="Y146" s="266">
        <v>0</v>
      </c>
      <c r="Z146" s="266">
        <v>111.97</v>
      </c>
      <c r="AA146" s="266">
        <v>0</v>
      </c>
      <c r="AB146" s="266">
        <v>0</v>
      </c>
      <c r="AC146" s="266">
        <v>0</v>
      </c>
      <c r="AD146" s="266">
        <v>23970.29</v>
      </c>
      <c r="AE146" s="237">
        <v>2.9</v>
      </c>
      <c r="AF146" s="266">
        <v>22660.14</v>
      </c>
      <c r="AG146" s="237">
        <f t="shared" si="55"/>
        <v>7813.8413793103446</v>
      </c>
      <c r="AH146" s="237">
        <f t="shared" si="56"/>
        <v>8265.6172413793101</v>
      </c>
      <c r="AI146" s="237">
        <f t="shared" si="57"/>
        <v>451.77586206896558</v>
      </c>
      <c r="AJ146" s="237">
        <v>0</v>
      </c>
      <c r="AK146" s="266">
        <v>0</v>
      </c>
      <c r="AL146" s="237">
        <f t="shared" si="58"/>
        <v>0</v>
      </c>
      <c r="AM146" s="237">
        <f t="shared" si="59"/>
        <v>0</v>
      </c>
      <c r="AN146" s="237">
        <f t="shared" si="60"/>
        <v>0</v>
      </c>
      <c r="AO146" s="266">
        <v>0</v>
      </c>
      <c r="AP146" s="266">
        <v>0</v>
      </c>
      <c r="AQ146" s="266">
        <v>0</v>
      </c>
      <c r="AR146" s="266">
        <v>0</v>
      </c>
      <c r="AS146" s="358">
        <v>13463.92</v>
      </c>
      <c r="AT146" s="371">
        <v>2717.8199999999997</v>
      </c>
      <c r="AU146" s="373">
        <v>13049.989999999998</v>
      </c>
    </row>
    <row r="147" spans="1:47">
      <c r="A147" s="238" t="s">
        <v>191</v>
      </c>
      <c r="B147" s="238" t="s">
        <v>1409</v>
      </c>
      <c r="C147" s="266">
        <v>0</v>
      </c>
      <c r="D147" s="266">
        <v>0</v>
      </c>
      <c r="E147" s="266">
        <v>0</v>
      </c>
      <c r="F147" s="266">
        <v>0</v>
      </c>
      <c r="G147" s="266">
        <v>732991.02</v>
      </c>
      <c r="H147" s="266">
        <v>98391.46</v>
      </c>
      <c r="I147" s="266">
        <v>22231.11</v>
      </c>
      <c r="J147" s="266">
        <v>169305.22</v>
      </c>
      <c r="K147" s="266">
        <v>260205.44</v>
      </c>
      <c r="L147" s="266">
        <v>350690.19</v>
      </c>
      <c r="M147" s="266">
        <v>17168.98</v>
      </c>
      <c r="N147" s="266">
        <v>423186.25</v>
      </c>
      <c r="O147" s="123">
        <v>5.21E-2</v>
      </c>
      <c r="P147" s="123">
        <v>0.17510000000000001</v>
      </c>
      <c r="Q147" s="266">
        <v>0</v>
      </c>
      <c r="R147" s="266">
        <v>0</v>
      </c>
      <c r="S147" s="266">
        <v>0</v>
      </c>
      <c r="T147" s="266">
        <v>0</v>
      </c>
      <c r="U147" s="266">
        <v>0</v>
      </c>
      <c r="V147" s="266">
        <v>0</v>
      </c>
      <c r="W147" s="266">
        <v>0</v>
      </c>
      <c r="X147" s="266">
        <v>0</v>
      </c>
      <c r="Y147" s="266">
        <v>0</v>
      </c>
      <c r="Z147" s="266">
        <v>728.93</v>
      </c>
      <c r="AA147" s="266">
        <v>0</v>
      </c>
      <c r="AB147" s="266">
        <v>15846.46</v>
      </c>
      <c r="AC147" s="266">
        <v>26576.59</v>
      </c>
      <c r="AD147" s="266">
        <v>346256.81</v>
      </c>
      <c r="AE147" s="237">
        <v>41.11</v>
      </c>
      <c r="AF147" s="266">
        <v>320822.59999999998</v>
      </c>
      <c r="AG147" s="237">
        <f t="shared" si="55"/>
        <v>7804.0038919970802</v>
      </c>
      <c r="AH147" s="237">
        <f t="shared" si="56"/>
        <v>8422.69058623206</v>
      </c>
      <c r="AI147" s="237">
        <f t="shared" si="57"/>
        <v>618.68669423497977</v>
      </c>
      <c r="AJ147" s="237">
        <v>3.23</v>
      </c>
      <c r="AK147" s="266">
        <v>24328.880000000001</v>
      </c>
      <c r="AL147" s="237">
        <f t="shared" si="58"/>
        <v>7532.1609907120746</v>
      </c>
      <c r="AM147" s="237">
        <f t="shared" si="59"/>
        <v>8228.0464396284824</v>
      </c>
      <c r="AN147" s="237">
        <f t="shared" si="60"/>
        <v>695.88544891640777</v>
      </c>
      <c r="AO147" s="266">
        <v>0</v>
      </c>
      <c r="AP147" s="266">
        <v>0</v>
      </c>
      <c r="AQ147" s="266">
        <v>0</v>
      </c>
      <c r="AR147" s="266">
        <v>0</v>
      </c>
      <c r="AS147" s="358">
        <v>0</v>
      </c>
      <c r="AT147" s="371">
        <v>1521.3199999999997</v>
      </c>
      <c r="AU147" s="373">
        <v>44970.34</v>
      </c>
    </row>
    <row r="148" spans="1:47">
      <c r="A148" s="238" t="s">
        <v>467</v>
      </c>
      <c r="B148" s="238" t="s">
        <v>1410</v>
      </c>
      <c r="C148" s="266">
        <v>0</v>
      </c>
      <c r="D148" s="266">
        <v>0</v>
      </c>
      <c r="E148" s="266">
        <v>11674.22</v>
      </c>
      <c r="F148" s="266">
        <v>0</v>
      </c>
      <c r="G148" s="266">
        <v>1874005.5</v>
      </c>
      <c r="H148" s="266">
        <v>319824.96999999997</v>
      </c>
      <c r="I148" s="266">
        <v>0</v>
      </c>
      <c r="J148" s="266">
        <v>43494.75</v>
      </c>
      <c r="K148" s="266">
        <v>197920.2</v>
      </c>
      <c r="L148" s="266">
        <v>0</v>
      </c>
      <c r="M148" s="266">
        <v>0</v>
      </c>
      <c r="N148" s="266">
        <v>262188.45</v>
      </c>
      <c r="O148" s="123">
        <v>0</v>
      </c>
      <c r="P148" s="123">
        <v>7.7299999999999994E-2</v>
      </c>
      <c r="Q148" s="266">
        <v>0</v>
      </c>
      <c r="R148" s="266">
        <v>0</v>
      </c>
      <c r="S148" s="266">
        <v>0</v>
      </c>
      <c r="T148" s="266">
        <v>0</v>
      </c>
      <c r="U148" s="266">
        <v>0</v>
      </c>
      <c r="V148" s="266">
        <v>0</v>
      </c>
      <c r="W148" s="266">
        <v>0</v>
      </c>
      <c r="X148" s="266">
        <v>0</v>
      </c>
      <c r="Y148" s="266">
        <v>0</v>
      </c>
      <c r="Z148" s="266">
        <v>182.23</v>
      </c>
      <c r="AA148" s="266">
        <v>0</v>
      </c>
      <c r="AB148" s="266">
        <v>0</v>
      </c>
      <c r="AC148" s="266">
        <v>21639.87</v>
      </c>
      <c r="AD148" s="266">
        <v>59520.66</v>
      </c>
      <c r="AE148" s="237">
        <v>5.92</v>
      </c>
      <c r="AF148" s="266">
        <v>46146.879999999997</v>
      </c>
      <c r="AG148" s="237">
        <f t="shared" si="55"/>
        <v>7795.0810810810808</v>
      </c>
      <c r="AH148" s="237">
        <f t="shared" si="56"/>
        <v>10054.165540540542</v>
      </c>
      <c r="AI148" s="237">
        <f t="shared" si="57"/>
        <v>2259.084459459461</v>
      </c>
      <c r="AJ148" s="237">
        <v>2.63</v>
      </c>
      <c r="AK148" s="266">
        <v>19812</v>
      </c>
      <c r="AL148" s="237">
        <f t="shared" si="58"/>
        <v>7533.0798479087453</v>
      </c>
      <c r="AM148" s="237">
        <f t="shared" si="59"/>
        <v>8228.0874524714836</v>
      </c>
      <c r="AN148" s="237">
        <f t="shared" si="60"/>
        <v>695.00760456273838</v>
      </c>
      <c r="AO148" s="266">
        <v>0</v>
      </c>
      <c r="AP148" s="266">
        <v>0</v>
      </c>
      <c r="AQ148" s="266">
        <v>0</v>
      </c>
      <c r="AR148" s="266">
        <v>0</v>
      </c>
      <c r="AS148" s="358">
        <v>23985.61</v>
      </c>
      <c r="AT148" s="371">
        <v>4940.5</v>
      </c>
      <c r="AU148" s="373">
        <v>21965.48</v>
      </c>
    </row>
    <row r="149" spans="1:47">
      <c r="A149" s="238" t="s">
        <v>637</v>
      </c>
      <c r="B149" s="238" t="s">
        <v>1411</v>
      </c>
      <c r="C149" s="266">
        <v>50051.55</v>
      </c>
      <c r="D149" s="266">
        <v>0</v>
      </c>
      <c r="E149" s="266">
        <v>23494.62</v>
      </c>
      <c r="F149" s="266">
        <v>12531.68</v>
      </c>
      <c r="G149" s="266">
        <v>543886.19999999995</v>
      </c>
      <c r="H149" s="266">
        <v>95749.23</v>
      </c>
      <c r="I149" s="266">
        <v>0</v>
      </c>
      <c r="J149" s="266">
        <v>124761.26</v>
      </c>
      <c r="K149" s="266">
        <v>208603.12</v>
      </c>
      <c r="L149" s="266">
        <v>0</v>
      </c>
      <c r="M149" s="266">
        <v>12876.74</v>
      </c>
      <c r="N149" s="266">
        <v>408921.96</v>
      </c>
      <c r="O149" s="123">
        <v>5.9200000000000003E-2</v>
      </c>
      <c r="P149" s="123">
        <v>0.25469999999999998</v>
      </c>
      <c r="Q149" s="266">
        <v>0</v>
      </c>
      <c r="R149" s="266">
        <v>0</v>
      </c>
      <c r="S149" s="266">
        <v>0</v>
      </c>
      <c r="T149" s="266">
        <v>0</v>
      </c>
      <c r="U149" s="266">
        <v>0</v>
      </c>
      <c r="V149" s="266">
        <v>0</v>
      </c>
      <c r="W149" s="266">
        <v>0</v>
      </c>
      <c r="X149" s="266">
        <v>0</v>
      </c>
      <c r="Y149" s="266">
        <v>0</v>
      </c>
      <c r="Z149" s="266">
        <v>547.79999999999995</v>
      </c>
      <c r="AA149" s="266">
        <v>0</v>
      </c>
      <c r="AB149" s="266">
        <v>0</v>
      </c>
      <c r="AC149" s="266">
        <v>0</v>
      </c>
      <c r="AD149" s="266">
        <v>281174.15000000002</v>
      </c>
      <c r="AE149" s="237">
        <v>33.700000000000003</v>
      </c>
      <c r="AF149" s="266">
        <v>263020.38</v>
      </c>
      <c r="AG149" s="237">
        <f t="shared" si="55"/>
        <v>7804.7590504451036</v>
      </c>
      <c r="AH149" s="237">
        <f t="shared" si="56"/>
        <v>8343.4465875370915</v>
      </c>
      <c r="AI149" s="237">
        <f t="shared" si="57"/>
        <v>538.68753709198791</v>
      </c>
      <c r="AJ149" s="237">
        <v>0</v>
      </c>
      <c r="AK149" s="266">
        <v>0</v>
      </c>
      <c r="AL149" s="237">
        <f t="shared" si="58"/>
        <v>0</v>
      </c>
      <c r="AM149" s="237">
        <f t="shared" si="59"/>
        <v>0</v>
      </c>
      <c r="AN149" s="237">
        <f t="shared" si="60"/>
        <v>0</v>
      </c>
      <c r="AO149" s="266">
        <v>0</v>
      </c>
      <c r="AP149" s="266">
        <v>0</v>
      </c>
      <c r="AQ149" s="266">
        <v>0</v>
      </c>
      <c r="AR149" s="266">
        <v>0</v>
      </c>
      <c r="AS149" s="358">
        <v>0</v>
      </c>
      <c r="AT149" s="371">
        <v>275.80999999999949</v>
      </c>
      <c r="AU149" s="373">
        <v>29533.65</v>
      </c>
    </row>
    <row r="150" spans="1:47">
      <c r="A150" s="238" t="s">
        <v>577</v>
      </c>
      <c r="B150" s="238" t="s">
        <v>1412</v>
      </c>
      <c r="C150" s="266">
        <v>0</v>
      </c>
      <c r="D150" s="266">
        <v>0</v>
      </c>
      <c r="E150" s="266">
        <v>298194.27</v>
      </c>
      <c r="F150" s="266">
        <v>117049.29</v>
      </c>
      <c r="G150" s="266">
        <v>16889167.670000002</v>
      </c>
      <c r="H150" s="266">
        <v>3941263.43</v>
      </c>
      <c r="I150" s="266">
        <v>1356493.44</v>
      </c>
      <c r="J150" s="266">
        <v>1375417.11</v>
      </c>
      <c r="K150" s="266">
        <v>3598025.84</v>
      </c>
      <c r="L150" s="266">
        <v>1913986.2</v>
      </c>
      <c r="M150" s="266">
        <v>328678.56</v>
      </c>
      <c r="N150" s="266">
        <v>7774666.1100000003</v>
      </c>
      <c r="O150" s="123">
        <v>5.1400000000000001E-2</v>
      </c>
      <c r="P150" s="123">
        <v>0.17069999999999999</v>
      </c>
      <c r="Q150" s="266">
        <v>0</v>
      </c>
      <c r="R150" s="266">
        <v>0</v>
      </c>
      <c r="S150" s="266">
        <v>0</v>
      </c>
      <c r="T150" s="266">
        <v>0</v>
      </c>
      <c r="U150" s="266">
        <v>0</v>
      </c>
      <c r="V150" s="266">
        <v>0</v>
      </c>
      <c r="W150" s="266">
        <v>0</v>
      </c>
      <c r="X150" s="266">
        <v>0</v>
      </c>
      <c r="Y150" s="266">
        <v>0</v>
      </c>
      <c r="Z150" s="266">
        <v>12073.45</v>
      </c>
      <c r="AA150" s="266">
        <v>61685.29</v>
      </c>
      <c r="AB150" s="266">
        <v>194646.61</v>
      </c>
      <c r="AC150" s="266">
        <v>1693191.35</v>
      </c>
      <c r="AD150" s="266">
        <v>4279452.88</v>
      </c>
      <c r="AE150" s="237">
        <v>446.29</v>
      </c>
      <c r="AF150" s="266">
        <v>3918199.66</v>
      </c>
      <c r="AG150" s="237">
        <f t="shared" si="55"/>
        <v>8779.4923928387379</v>
      </c>
      <c r="AH150" s="237">
        <f t="shared" si="56"/>
        <v>9588.9508615474242</v>
      </c>
      <c r="AI150" s="237">
        <f t="shared" si="57"/>
        <v>809.45846870868627</v>
      </c>
      <c r="AJ150" s="237">
        <v>182.52</v>
      </c>
      <c r="AK150" s="266">
        <v>1551198.27</v>
      </c>
      <c r="AL150" s="237">
        <f t="shared" si="58"/>
        <v>8498.7851742274815</v>
      </c>
      <c r="AM150" s="237">
        <f t="shared" si="59"/>
        <v>9276.744192417269</v>
      </c>
      <c r="AN150" s="237">
        <f t="shared" si="60"/>
        <v>777.95901818978746</v>
      </c>
      <c r="AO150" s="266">
        <v>0</v>
      </c>
      <c r="AP150" s="266">
        <v>0</v>
      </c>
      <c r="AQ150" s="266">
        <v>0</v>
      </c>
      <c r="AR150" s="266">
        <v>0</v>
      </c>
      <c r="AS150" s="358">
        <v>1257354.8899999999</v>
      </c>
      <c r="AT150" s="371">
        <v>0</v>
      </c>
      <c r="AU150" s="373">
        <v>787163.36</v>
      </c>
    </row>
    <row r="151" spans="1:47">
      <c r="A151" s="238" t="s">
        <v>305</v>
      </c>
      <c r="B151" s="238" t="s">
        <v>1413</v>
      </c>
      <c r="C151" s="266">
        <v>0</v>
      </c>
      <c r="D151" s="266">
        <v>0</v>
      </c>
      <c r="E151" s="266">
        <v>10597.33</v>
      </c>
      <c r="F151" s="266">
        <v>5055.63</v>
      </c>
      <c r="G151" s="266">
        <v>464969.86</v>
      </c>
      <c r="H151" s="266">
        <v>111946.02</v>
      </c>
      <c r="I151" s="266">
        <v>17985.330000000002</v>
      </c>
      <c r="J151" s="266">
        <v>83651.09</v>
      </c>
      <c r="K151" s="266">
        <v>110930.69</v>
      </c>
      <c r="L151" s="266">
        <v>0</v>
      </c>
      <c r="M151" s="266">
        <v>8775.26</v>
      </c>
      <c r="N151" s="266">
        <v>228937.37</v>
      </c>
      <c r="O151" s="123">
        <v>7.4300000000000005E-2</v>
      </c>
      <c r="P151" s="123">
        <v>0.2145</v>
      </c>
      <c r="Q151" s="266">
        <v>0</v>
      </c>
      <c r="R151" s="266">
        <v>0</v>
      </c>
      <c r="S151" s="266">
        <v>0</v>
      </c>
      <c r="T151" s="266">
        <v>0</v>
      </c>
      <c r="U151" s="266">
        <v>0</v>
      </c>
      <c r="V151" s="266">
        <v>0</v>
      </c>
      <c r="W151" s="266">
        <v>0</v>
      </c>
      <c r="X151" s="266">
        <v>0</v>
      </c>
      <c r="Y151" s="266">
        <v>0</v>
      </c>
      <c r="Z151" s="266">
        <v>0</v>
      </c>
      <c r="AA151" s="266">
        <v>0</v>
      </c>
      <c r="AB151" s="266">
        <v>0</v>
      </c>
      <c r="AC151" s="266">
        <v>0</v>
      </c>
      <c r="AD151" s="266">
        <v>0</v>
      </c>
      <c r="AE151" s="237">
        <v>0</v>
      </c>
      <c r="AF151" s="266">
        <v>0</v>
      </c>
      <c r="AG151" s="237">
        <f t="shared" si="55"/>
        <v>0</v>
      </c>
      <c r="AH151" s="237">
        <f t="shared" si="56"/>
        <v>0</v>
      </c>
      <c r="AI151" s="237">
        <f t="shared" si="57"/>
        <v>0</v>
      </c>
      <c r="AJ151" s="237">
        <v>0</v>
      </c>
      <c r="AK151" s="266">
        <v>0</v>
      </c>
      <c r="AL151" s="237">
        <f t="shared" si="58"/>
        <v>0</v>
      </c>
      <c r="AM151" s="237">
        <f t="shared" si="59"/>
        <v>0</v>
      </c>
      <c r="AN151" s="237">
        <f t="shared" si="60"/>
        <v>0</v>
      </c>
      <c r="AO151" s="266">
        <v>0</v>
      </c>
      <c r="AP151" s="266">
        <v>0</v>
      </c>
      <c r="AQ151" s="266">
        <v>0</v>
      </c>
      <c r="AR151" s="266">
        <v>0</v>
      </c>
      <c r="AS151" s="358">
        <v>31666.639999999999</v>
      </c>
      <c r="AT151" s="371">
        <v>1336.9500000000007</v>
      </c>
      <c r="AU151" s="373">
        <v>22432.28</v>
      </c>
    </row>
    <row r="152" spans="1:47">
      <c r="A152" s="238" t="s">
        <v>605</v>
      </c>
      <c r="B152" s="238" t="s">
        <v>1414</v>
      </c>
      <c r="C152" s="266">
        <v>0</v>
      </c>
      <c r="D152" s="266">
        <v>0</v>
      </c>
      <c r="E152" s="266">
        <v>0</v>
      </c>
      <c r="F152" s="266">
        <v>18304.849999999999</v>
      </c>
      <c r="G152" s="266">
        <v>12590730.960000001</v>
      </c>
      <c r="H152" s="266">
        <v>3150613.34</v>
      </c>
      <c r="I152" s="266">
        <v>1234400.29</v>
      </c>
      <c r="J152" s="266">
        <v>189815.64</v>
      </c>
      <c r="K152" s="266">
        <v>1975046.32</v>
      </c>
      <c r="L152" s="266">
        <v>592025.03</v>
      </c>
      <c r="M152" s="266">
        <v>303845.57</v>
      </c>
      <c r="N152" s="266">
        <v>5430148.7800000003</v>
      </c>
      <c r="O152" s="123">
        <v>4.3299999999999998E-2</v>
      </c>
      <c r="P152" s="123">
        <v>0.18890000000000001</v>
      </c>
      <c r="Q152" s="266">
        <v>0</v>
      </c>
      <c r="R152" s="266">
        <v>0</v>
      </c>
      <c r="S152" s="266">
        <v>0</v>
      </c>
      <c r="T152" s="266">
        <v>0</v>
      </c>
      <c r="U152" s="266">
        <v>0</v>
      </c>
      <c r="V152" s="266">
        <v>0</v>
      </c>
      <c r="W152" s="266">
        <v>0</v>
      </c>
      <c r="X152" s="266">
        <v>0</v>
      </c>
      <c r="Y152" s="266">
        <v>0</v>
      </c>
      <c r="Z152" s="266">
        <v>11096.42</v>
      </c>
      <c r="AA152" s="266">
        <v>140354.1</v>
      </c>
      <c r="AB152" s="266">
        <v>0</v>
      </c>
      <c r="AC152" s="266">
        <v>3260823.64</v>
      </c>
      <c r="AD152" s="266">
        <v>2437680.4300000002</v>
      </c>
      <c r="AE152" s="237">
        <v>269.61</v>
      </c>
      <c r="AF152" s="266">
        <v>2191603.9</v>
      </c>
      <c r="AG152" s="237">
        <f t="shared" si="55"/>
        <v>8128.7930714736094</v>
      </c>
      <c r="AH152" s="237">
        <f t="shared" si="56"/>
        <v>9041.5059901338973</v>
      </c>
      <c r="AI152" s="237">
        <f t="shared" si="57"/>
        <v>912.71291866028787</v>
      </c>
      <c r="AJ152" s="237">
        <v>380.07</v>
      </c>
      <c r="AK152" s="266">
        <v>2986246.45</v>
      </c>
      <c r="AL152" s="237">
        <f t="shared" si="58"/>
        <v>7857.0959296971614</v>
      </c>
      <c r="AM152" s="237">
        <f t="shared" si="59"/>
        <v>8579.5344015576084</v>
      </c>
      <c r="AN152" s="237">
        <f t="shared" si="60"/>
        <v>722.43847186044695</v>
      </c>
      <c r="AO152" s="266">
        <v>0</v>
      </c>
      <c r="AP152" s="266">
        <v>0</v>
      </c>
      <c r="AQ152" s="266">
        <v>0</v>
      </c>
      <c r="AR152" s="266">
        <v>0</v>
      </c>
      <c r="AS152" s="358">
        <v>891604.37</v>
      </c>
      <c r="AT152" s="371">
        <v>0</v>
      </c>
      <c r="AU152" s="373">
        <v>630551.75</v>
      </c>
    </row>
    <row r="153" spans="1:47">
      <c r="A153" s="238" t="s">
        <v>603</v>
      </c>
      <c r="B153" s="238" t="s">
        <v>1415</v>
      </c>
      <c r="C153" s="266">
        <v>0</v>
      </c>
      <c r="D153" s="266">
        <v>0</v>
      </c>
      <c r="E153" s="266">
        <v>0</v>
      </c>
      <c r="F153" s="266">
        <v>0</v>
      </c>
      <c r="G153" s="266">
        <v>2134129.0099999998</v>
      </c>
      <c r="H153" s="266">
        <v>418140.89</v>
      </c>
      <c r="I153" s="266">
        <v>302585.83</v>
      </c>
      <c r="J153" s="266">
        <v>10015.24</v>
      </c>
      <c r="K153" s="266">
        <v>425790.71</v>
      </c>
      <c r="L153" s="266">
        <v>23104.95</v>
      </c>
      <c r="M153" s="266">
        <v>50171.58</v>
      </c>
      <c r="N153" s="266">
        <v>1152926.8</v>
      </c>
      <c r="O153" s="123">
        <v>2.6700000000000002E-2</v>
      </c>
      <c r="P153" s="123">
        <v>0.1893</v>
      </c>
      <c r="Q153" s="266">
        <v>0</v>
      </c>
      <c r="R153" s="266">
        <v>0</v>
      </c>
      <c r="S153" s="266">
        <v>0</v>
      </c>
      <c r="T153" s="266">
        <v>0</v>
      </c>
      <c r="U153" s="266">
        <v>0</v>
      </c>
      <c r="V153" s="266">
        <v>0</v>
      </c>
      <c r="W153" s="266">
        <v>193771.44</v>
      </c>
      <c r="X153" s="266">
        <v>8183.92</v>
      </c>
      <c r="Y153" s="266">
        <v>0</v>
      </c>
      <c r="Z153" s="266">
        <v>0</v>
      </c>
      <c r="AA153" s="266">
        <v>0</v>
      </c>
      <c r="AB153" s="266">
        <v>0</v>
      </c>
      <c r="AC153" s="266">
        <v>67182.14</v>
      </c>
      <c r="AD153" s="266">
        <v>954956.5</v>
      </c>
      <c r="AE153" s="237">
        <v>114.1</v>
      </c>
      <c r="AF153" s="266">
        <v>890309.46</v>
      </c>
      <c r="AG153" s="237">
        <f t="shared" si="55"/>
        <v>7802.8874671340927</v>
      </c>
      <c r="AH153" s="237">
        <f t="shared" si="56"/>
        <v>8369.4697633654687</v>
      </c>
      <c r="AI153" s="237">
        <f t="shared" si="57"/>
        <v>566.58229623137595</v>
      </c>
      <c r="AJ153" s="237">
        <v>8.16</v>
      </c>
      <c r="AK153" s="266">
        <v>61542.43</v>
      </c>
      <c r="AL153" s="237">
        <f t="shared" si="58"/>
        <v>7541.9644607843138</v>
      </c>
      <c r="AM153" s="237">
        <f t="shared" si="59"/>
        <v>8233.1053921568619</v>
      </c>
      <c r="AN153" s="237">
        <f t="shared" si="60"/>
        <v>691.14093137254804</v>
      </c>
      <c r="AO153" s="266">
        <v>0</v>
      </c>
      <c r="AP153" s="266">
        <v>0</v>
      </c>
      <c r="AQ153" s="266">
        <v>0</v>
      </c>
      <c r="AR153" s="266">
        <v>0</v>
      </c>
      <c r="AS153" s="358">
        <v>54780.05</v>
      </c>
      <c r="AT153" s="371">
        <v>0</v>
      </c>
      <c r="AU153" s="373">
        <v>109134.96999999999</v>
      </c>
    </row>
    <row r="154" spans="1:47">
      <c r="A154" s="238" t="s">
        <v>347</v>
      </c>
      <c r="B154" s="238" t="s">
        <v>1416</v>
      </c>
      <c r="C154" s="266">
        <v>0</v>
      </c>
      <c r="D154" s="266">
        <v>0</v>
      </c>
      <c r="E154" s="266">
        <v>0</v>
      </c>
      <c r="F154" s="266">
        <v>0</v>
      </c>
      <c r="G154" s="266">
        <v>4612231.1500000004</v>
      </c>
      <c r="H154" s="266">
        <v>840547.41</v>
      </c>
      <c r="I154" s="266">
        <v>350297.37</v>
      </c>
      <c r="J154" s="266">
        <v>0</v>
      </c>
      <c r="K154" s="266">
        <v>107609.66</v>
      </c>
      <c r="L154" s="266">
        <v>358162.1</v>
      </c>
      <c r="M154" s="266">
        <v>138512.95999999999</v>
      </c>
      <c r="N154" s="266">
        <v>1713308</v>
      </c>
      <c r="O154" s="123">
        <v>4.1099999999999998E-2</v>
      </c>
      <c r="P154" s="123">
        <v>0.16819999999999999</v>
      </c>
      <c r="Q154" s="266">
        <v>0</v>
      </c>
      <c r="R154" s="266">
        <v>0</v>
      </c>
      <c r="S154" s="266">
        <v>0</v>
      </c>
      <c r="T154" s="266">
        <v>0</v>
      </c>
      <c r="U154" s="266">
        <v>0</v>
      </c>
      <c r="V154" s="266">
        <v>0</v>
      </c>
      <c r="W154" s="266">
        <v>0</v>
      </c>
      <c r="X154" s="266">
        <v>0</v>
      </c>
      <c r="Y154" s="266">
        <v>0</v>
      </c>
      <c r="Z154" s="266">
        <v>0</v>
      </c>
      <c r="AA154" s="266">
        <v>7854.49</v>
      </c>
      <c r="AB154" s="266">
        <v>220663.08</v>
      </c>
      <c r="AC154" s="266">
        <v>148462.54999999999</v>
      </c>
      <c r="AD154" s="266">
        <v>2276874.0299999998</v>
      </c>
      <c r="AE154" s="237">
        <v>240.4</v>
      </c>
      <c r="AF154" s="266">
        <v>2110654.65</v>
      </c>
      <c r="AG154" s="237">
        <f t="shared" si="55"/>
        <v>8779.7614392678861</v>
      </c>
      <c r="AH154" s="237">
        <f t="shared" si="56"/>
        <v>9471.1898086522451</v>
      </c>
      <c r="AI154" s="237">
        <f t="shared" si="57"/>
        <v>691.42836938435903</v>
      </c>
      <c r="AJ154" s="237">
        <v>16.010000000000002</v>
      </c>
      <c r="AK154" s="266">
        <v>136024.26999999999</v>
      </c>
      <c r="AL154" s="237">
        <f t="shared" si="58"/>
        <v>8496.2067457838839</v>
      </c>
      <c r="AM154" s="237">
        <f t="shared" si="59"/>
        <v>9273.1136789506545</v>
      </c>
      <c r="AN154" s="237">
        <f t="shared" si="60"/>
        <v>776.90693316677061</v>
      </c>
      <c r="AO154" s="266">
        <v>0</v>
      </c>
      <c r="AP154" s="266">
        <v>0</v>
      </c>
      <c r="AQ154" s="266">
        <v>0</v>
      </c>
      <c r="AR154" s="266">
        <v>0</v>
      </c>
      <c r="AS154" s="358">
        <v>0</v>
      </c>
      <c r="AT154" s="371">
        <v>0</v>
      </c>
      <c r="AU154" s="373">
        <v>287521.94</v>
      </c>
    </row>
    <row r="155" spans="1:47">
      <c r="A155" s="238" t="s">
        <v>682</v>
      </c>
      <c r="B155" s="238" t="s">
        <v>1417</v>
      </c>
      <c r="C155" s="266">
        <v>0</v>
      </c>
      <c r="D155" s="266">
        <v>0</v>
      </c>
      <c r="E155" s="266">
        <v>24339.37</v>
      </c>
      <c r="F155" s="266">
        <v>0</v>
      </c>
      <c r="G155" s="266">
        <v>1942448.62</v>
      </c>
      <c r="H155" s="266">
        <v>316317.05</v>
      </c>
      <c r="I155" s="266">
        <v>184166.32</v>
      </c>
      <c r="J155" s="266">
        <v>0</v>
      </c>
      <c r="K155" s="266">
        <v>419080.02</v>
      </c>
      <c r="L155" s="266">
        <v>311664.67</v>
      </c>
      <c r="M155" s="266">
        <v>51594.53</v>
      </c>
      <c r="N155" s="266">
        <v>1004290.19</v>
      </c>
      <c r="O155" s="123">
        <v>4.1500000000000002E-2</v>
      </c>
      <c r="P155" s="123">
        <v>0.19359999999999999</v>
      </c>
      <c r="Q155" s="266">
        <v>0</v>
      </c>
      <c r="R155" s="266">
        <v>0</v>
      </c>
      <c r="S155" s="266">
        <v>0</v>
      </c>
      <c r="T155" s="266">
        <v>0</v>
      </c>
      <c r="U155" s="266">
        <v>0</v>
      </c>
      <c r="V155" s="266">
        <v>0</v>
      </c>
      <c r="W155" s="266">
        <v>0</v>
      </c>
      <c r="X155" s="266">
        <v>0</v>
      </c>
      <c r="Y155" s="266">
        <v>0</v>
      </c>
      <c r="Z155" s="266">
        <v>2023.22</v>
      </c>
      <c r="AA155" s="266">
        <v>0</v>
      </c>
      <c r="AB155" s="266">
        <v>0</v>
      </c>
      <c r="AC155" s="266">
        <v>0</v>
      </c>
      <c r="AD155" s="266">
        <v>294588.40000000002</v>
      </c>
      <c r="AE155" s="237">
        <v>24.31</v>
      </c>
      <c r="AF155" s="266">
        <v>197661.64</v>
      </c>
      <c r="AG155" s="237">
        <f t="shared" si="55"/>
        <v>8130.8778280542992</v>
      </c>
      <c r="AH155" s="237">
        <f t="shared" si="56"/>
        <v>12117.992595639656</v>
      </c>
      <c r="AI155" s="237">
        <f t="shared" si="57"/>
        <v>3987.1147675853572</v>
      </c>
      <c r="AJ155" s="237">
        <v>0</v>
      </c>
      <c r="AK155" s="266">
        <v>0</v>
      </c>
      <c r="AL155" s="237">
        <f t="shared" si="58"/>
        <v>0</v>
      </c>
      <c r="AM155" s="237">
        <f t="shared" si="59"/>
        <v>0</v>
      </c>
      <c r="AN155" s="237">
        <f t="shared" si="60"/>
        <v>0</v>
      </c>
      <c r="AO155" s="266">
        <v>0</v>
      </c>
      <c r="AP155" s="266">
        <v>0</v>
      </c>
      <c r="AQ155" s="266">
        <v>0</v>
      </c>
      <c r="AR155" s="266">
        <v>0</v>
      </c>
      <c r="AS155" s="358">
        <v>156783.66</v>
      </c>
      <c r="AT155" s="371">
        <v>46305.26</v>
      </c>
      <c r="AU155" s="373">
        <v>99282.540000000008</v>
      </c>
    </row>
    <row r="156" spans="1:47">
      <c r="A156" s="238" t="s">
        <v>485</v>
      </c>
      <c r="B156" s="238" t="s">
        <v>1418</v>
      </c>
      <c r="C156" s="266">
        <v>0</v>
      </c>
      <c r="D156" s="266">
        <v>0</v>
      </c>
      <c r="E156" s="266">
        <v>0</v>
      </c>
      <c r="F156" s="266">
        <v>0</v>
      </c>
      <c r="G156" s="266">
        <v>0</v>
      </c>
      <c r="H156" s="266">
        <v>0</v>
      </c>
      <c r="I156" s="266">
        <v>0</v>
      </c>
      <c r="J156" s="266">
        <v>6009.14</v>
      </c>
      <c r="K156" s="266">
        <v>165871.43</v>
      </c>
      <c r="L156" s="266">
        <v>26004.77</v>
      </c>
      <c r="M156" s="266">
        <v>19076.64</v>
      </c>
      <c r="N156" s="266">
        <v>625297.56999999995</v>
      </c>
      <c r="O156" s="123">
        <v>4.7899999999999998E-2</v>
      </c>
      <c r="P156" s="123">
        <v>0.21060000000000001</v>
      </c>
      <c r="Q156" s="266">
        <v>0</v>
      </c>
      <c r="R156" s="266">
        <v>0</v>
      </c>
      <c r="S156" s="266">
        <v>0</v>
      </c>
      <c r="T156" s="266">
        <v>0</v>
      </c>
      <c r="U156" s="266">
        <v>0</v>
      </c>
      <c r="V156" s="266">
        <v>0</v>
      </c>
      <c r="W156" s="266">
        <v>0</v>
      </c>
      <c r="X156" s="266">
        <v>0</v>
      </c>
      <c r="Y156" s="266">
        <v>0</v>
      </c>
      <c r="Z156" s="266">
        <v>0</v>
      </c>
      <c r="AA156" s="266">
        <v>0</v>
      </c>
      <c r="AB156" s="266">
        <v>31568.29</v>
      </c>
      <c r="AC156" s="266">
        <v>0</v>
      </c>
      <c r="AD156" s="266">
        <v>235474.09</v>
      </c>
      <c r="AE156" s="237">
        <v>28.01</v>
      </c>
      <c r="AF156" s="266">
        <v>218605.01</v>
      </c>
      <c r="AG156" s="237">
        <f t="shared" si="55"/>
        <v>7804.5344519814353</v>
      </c>
      <c r="AH156" s="237">
        <f t="shared" si="56"/>
        <v>8406.7865048197073</v>
      </c>
      <c r="AI156" s="237">
        <f t="shared" si="57"/>
        <v>602.25205283827199</v>
      </c>
      <c r="AJ156" s="237">
        <v>0</v>
      </c>
      <c r="AK156" s="266">
        <v>0</v>
      </c>
      <c r="AL156" s="237">
        <f t="shared" si="58"/>
        <v>0</v>
      </c>
      <c r="AM156" s="237">
        <f t="shared" si="59"/>
        <v>0</v>
      </c>
      <c r="AN156" s="237">
        <f t="shared" si="60"/>
        <v>0</v>
      </c>
      <c r="AO156" s="266">
        <v>0</v>
      </c>
      <c r="AP156" s="266">
        <v>0</v>
      </c>
      <c r="AQ156" s="266">
        <v>0</v>
      </c>
      <c r="AR156" s="266">
        <v>0</v>
      </c>
      <c r="AS156" s="358">
        <v>55221.34</v>
      </c>
      <c r="AT156" s="371">
        <v>0</v>
      </c>
      <c r="AU156" s="373">
        <v>37364.629999999997</v>
      </c>
    </row>
    <row r="157" spans="1:47">
      <c r="A157" s="238" t="s">
        <v>563</v>
      </c>
      <c r="B157" s="238" t="s">
        <v>1419</v>
      </c>
      <c r="C157" s="266">
        <v>0</v>
      </c>
      <c r="D157" s="266">
        <v>0</v>
      </c>
      <c r="E157" s="266">
        <v>1130.4000000000001</v>
      </c>
      <c r="F157" s="266">
        <v>601.66</v>
      </c>
      <c r="G157" s="266">
        <v>0</v>
      </c>
      <c r="H157" s="266">
        <v>0</v>
      </c>
      <c r="I157" s="266">
        <v>0</v>
      </c>
      <c r="J157" s="266">
        <v>8584.5</v>
      </c>
      <c r="K157" s="266">
        <v>13449.03</v>
      </c>
      <c r="L157" s="266">
        <v>0</v>
      </c>
      <c r="M157" s="266">
        <v>1430.75</v>
      </c>
      <c r="N157" s="266">
        <v>94208.91</v>
      </c>
      <c r="O157" s="123">
        <v>3.7400000000000003E-2</v>
      </c>
      <c r="P157" s="123">
        <v>0.1991</v>
      </c>
      <c r="Q157" s="266">
        <v>0</v>
      </c>
      <c r="R157" s="266">
        <v>0</v>
      </c>
      <c r="S157" s="266">
        <v>0</v>
      </c>
      <c r="T157" s="266">
        <v>0</v>
      </c>
      <c r="U157" s="266">
        <v>0</v>
      </c>
      <c r="V157" s="266">
        <v>0</v>
      </c>
      <c r="W157" s="266">
        <v>0</v>
      </c>
      <c r="X157" s="266">
        <v>0</v>
      </c>
      <c r="Y157" s="266">
        <v>0</v>
      </c>
      <c r="Z157" s="266">
        <v>0</v>
      </c>
      <c r="AA157" s="266">
        <v>0</v>
      </c>
      <c r="AB157" s="266">
        <v>0</v>
      </c>
      <c r="AC157" s="266">
        <v>0</v>
      </c>
      <c r="AD157" s="266">
        <v>0</v>
      </c>
      <c r="AE157" s="237">
        <v>0</v>
      </c>
      <c r="AF157" s="266">
        <v>0</v>
      </c>
      <c r="AG157" s="237">
        <f t="shared" si="55"/>
        <v>0</v>
      </c>
      <c r="AH157" s="237">
        <f t="shared" si="56"/>
        <v>0</v>
      </c>
      <c r="AI157" s="237">
        <f t="shared" si="57"/>
        <v>0</v>
      </c>
      <c r="AJ157" s="237">
        <v>0</v>
      </c>
      <c r="AK157" s="266">
        <v>0</v>
      </c>
      <c r="AL157" s="237">
        <f t="shared" si="58"/>
        <v>0</v>
      </c>
      <c r="AM157" s="237">
        <f t="shared" si="59"/>
        <v>0</v>
      </c>
      <c r="AN157" s="237">
        <f t="shared" si="60"/>
        <v>0</v>
      </c>
      <c r="AO157" s="266">
        <v>0</v>
      </c>
      <c r="AP157" s="266">
        <v>0</v>
      </c>
      <c r="AQ157" s="266">
        <v>0</v>
      </c>
      <c r="AR157" s="266">
        <v>0</v>
      </c>
      <c r="AS157" s="358">
        <v>0</v>
      </c>
      <c r="AT157" s="371">
        <v>5742.67</v>
      </c>
      <c r="AU157" s="373">
        <v>11765.5</v>
      </c>
    </row>
    <row r="158" spans="1:47">
      <c r="A158" s="238" t="s">
        <v>581</v>
      </c>
      <c r="B158" s="238" t="s">
        <v>1420</v>
      </c>
      <c r="C158" s="266">
        <v>0</v>
      </c>
      <c r="D158" s="266">
        <v>0</v>
      </c>
      <c r="E158" s="266">
        <v>28579.29</v>
      </c>
      <c r="F158" s="266">
        <v>17631.48</v>
      </c>
      <c r="G158" s="266">
        <v>8638856.5099999998</v>
      </c>
      <c r="H158" s="266">
        <v>1481198.57</v>
      </c>
      <c r="I158" s="266">
        <v>460639.06</v>
      </c>
      <c r="J158" s="266">
        <v>197008.47</v>
      </c>
      <c r="K158" s="266">
        <v>1312506.8400000001</v>
      </c>
      <c r="L158" s="266">
        <v>1073079.17</v>
      </c>
      <c r="M158" s="266">
        <v>206941.66</v>
      </c>
      <c r="N158" s="266">
        <v>3184750.02</v>
      </c>
      <c r="O158" s="123">
        <v>4.4999999999999998E-2</v>
      </c>
      <c r="P158" s="123">
        <v>0.1613</v>
      </c>
      <c r="Q158" s="266">
        <v>0</v>
      </c>
      <c r="R158" s="266">
        <v>0</v>
      </c>
      <c r="S158" s="266">
        <v>0</v>
      </c>
      <c r="T158" s="266">
        <v>0</v>
      </c>
      <c r="U158" s="266">
        <v>0</v>
      </c>
      <c r="V158" s="266">
        <v>0</v>
      </c>
      <c r="W158" s="266">
        <v>0</v>
      </c>
      <c r="X158" s="266">
        <v>0</v>
      </c>
      <c r="Y158" s="266">
        <v>0</v>
      </c>
      <c r="Z158" s="266">
        <v>7559.35</v>
      </c>
      <c r="AA158" s="266">
        <v>0</v>
      </c>
      <c r="AB158" s="266">
        <v>0</v>
      </c>
      <c r="AC158" s="266">
        <v>776323.86</v>
      </c>
      <c r="AD158" s="266">
        <v>4095780.84</v>
      </c>
      <c r="AE158" s="237">
        <v>425.82</v>
      </c>
      <c r="AF158" s="266">
        <v>3738683.14</v>
      </c>
      <c r="AG158" s="237">
        <f t="shared" si="55"/>
        <v>8779.9613451693203</v>
      </c>
      <c r="AH158" s="237">
        <f t="shared" si="56"/>
        <v>9618.5731999436375</v>
      </c>
      <c r="AI158" s="237">
        <f t="shared" si="57"/>
        <v>838.61185477431718</v>
      </c>
      <c r="AJ158" s="237">
        <v>83.68</v>
      </c>
      <c r="AK158" s="266">
        <v>711132.14</v>
      </c>
      <c r="AL158" s="237">
        <f t="shared" si="58"/>
        <v>8498.2330305927335</v>
      </c>
      <c r="AM158" s="237">
        <f t="shared" si="59"/>
        <v>9277.2927820267669</v>
      </c>
      <c r="AN158" s="237">
        <f t="shared" si="60"/>
        <v>779.05975143403339</v>
      </c>
      <c r="AO158" s="266">
        <v>0</v>
      </c>
      <c r="AP158" s="266">
        <v>0</v>
      </c>
      <c r="AQ158" s="266">
        <v>0</v>
      </c>
      <c r="AR158" s="266">
        <v>0</v>
      </c>
      <c r="AS158" s="358">
        <v>0</v>
      </c>
      <c r="AT158" s="371">
        <v>0</v>
      </c>
      <c r="AU158" s="373">
        <v>412061.2</v>
      </c>
    </row>
    <row r="159" spans="1:47">
      <c r="A159" s="238" t="s">
        <v>307</v>
      </c>
      <c r="B159" s="238" t="s">
        <v>1421</v>
      </c>
      <c r="C159" s="266">
        <v>0</v>
      </c>
      <c r="D159" s="266">
        <v>0</v>
      </c>
      <c r="E159" s="266">
        <v>0</v>
      </c>
      <c r="F159" s="266">
        <v>0</v>
      </c>
      <c r="G159" s="266">
        <v>1924252.88</v>
      </c>
      <c r="H159" s="266">
        <v>370519.75</v>
      </c>
      <c r="I159" s="266">
        <v>83174.5</v>
      </c>
      <c r="J159" s="266">
        <v>0</v>
      </c>
      <c r="K159" s="266">
        <v>320172.02</v>
      </c>
      <c r="L159" s="266">
        <v>44233.88</v>
      </c>
      <c r="M159" s="266">
        <v>40465.64</v>
      </c>
      <c r="N159" s="266">
        <v>596558.31000000006</v>
      </c>
      <c r="O159" s="123">
        <v>1.8800000000000001E-2</v>
      </c>
      <c r="P159" s="123">
        <v>0.1918</v>
      </c>
      <c r="Q159" s="266">
        <v>0</v>
      </c>
      <c r="R159" s="266">
        <v>0</v>
      </c>
      <c r="S159" s="266">
        <v>0</v>
      </c>
      <c r="T159" s="266">
        <v>0</v>
      </c>
      <c r="U159" s="266">
        <v>0</v>
      </c>
      <c r="V159" s="266">
        <v>0</v>
      </c>
      <c r="W159" s="266">
        <v>0</v>
      </c>
      <c r="X159" s="266">
        <v>0</v>
      </c>
      <c r="Y159" s="266">
        <v>0</v>
      </c>
      <c r="Z159" s="266">
        <v>0</v>
      </c>
      <c r="AA159" s="266">
        <v>0</v>
      </c>
      <c r="AB159" s="266">
        <v>0</v>
      </c>
      <c r="AC159" s="266">
        <v>144390.35999999999</v>
      </c>
      <c r="AD159" s="266">
        <v>954550.25</v>
      </c>
      <c r="AE159" s="237">
        <v>109.78</v>
      </c>
      <c r="AF159" s="266">
        <v>873786.02</v>
      </c>
      <c r="AG159" s="237">
        <f t="shared" si="55"/>
        <v>7959.4281289852433</v>
      </c>
      <c r="AH159" s="237">
        <f t="shared" si="56"/>
        <v>8695.1197850245953</v>
      </c>
      <c r="AI159" s="237">
        <f t="shared" si="57"/>
        <v>735.69165603935198</v>
      </c>
      <c r="AJ159" s="237">
        <v>17.18</v>
      </c>
      <c r="AK159" s="266">
        <v>132213.84</v>
      </c>
      <c r="AL159" s="237">
        <f t="shared" si="58"/>
        <v>7695.7997671711291</v>
      </c>
      <c r="AM159" s="237">
        <f t="shared" si="59"/>
        <v>8404.5611175785798</v>
      </c>
      <c r="AN159" s="237">
        <f t="shared" si="60"/>
        <v>708.76135040745066</v>
      </c>
      <c r="AO159" s="266">
        <v>1891.07</v>
      </c>
      <c r="AP159" s="266">
        <v>0</v>
      </c>
      <c r="AQ159" s="266">
        <v>0</v>
      </c>
      <c r="AR159" s="266">
        <v>0</v>
      </c>
      <c r="AS159" s="358">
        <v>65768.899999999994</v>
      </c>
      <c r="AT159" s="371">
        <v>4177.2800000000061</v>
      </c>
      <c r="AU159" s="373">
        <v>88486.040000000008</v>
      </c>
    </row>
    <row r="160" spans="1:47">
      <c r="A160" s="238" t="s">
        <v>425</v>
      </c>
      <c r="B160" s="238" t="s">
        <v>1422</v>
      </c>
      <c r="C160" s="266">
        <v>0</v>
      </c>
      <c r="D160" s="266">
        <v>0</v>
      </c>
      <c r="E160" s="266">
        <v>9700.4</v>
      </c>
      <c r="F160" s="266">
        <v>4960.84</v>
      </c>
      <c r="G160" s="266">
        <v>470951.54</v>
      </c>
      <c r="H160" s="266">
        <v>113370.53</v>
      </c>
      <c r="I160" s="266">
        <v>60651.7</v>
      </c>
      <c r="J160" s="266">
        <v>87180.27</v>
      </c>
      <c r="K160" s="266">
        <v>113124.51</v>
      </c>
      <c r="L160" s="266">
        <v>0</v>
      </c>
      <c r="M160" s="266">
        <v>9442.94</v>
      </c>
      <c r="N160" s="266">
        <v>254220.19</v>
      </c>
      <c r="O160" s="123">
        <v>2.75E-2</v>
      </c>
      <c r="P160" s="123">
        <v>0.27489999999999998</v>
      </c>
      <c r="Q160" s="266">
        <v>0</v>
      </c>
      <c r="R160" s="266">
        <v>0</v>
      </c>
      <c r="S160" s="266">
        <v>0</v>
      </c>
      <c r="T160" s="266">
        <v>0</v>
      </c>
      <c r="U160" s="266">
        <v>0</v>
      </c>
      <c r="V160" s="266">
        <v>0</v>
      </c>
      <c r="W160" s="266">
        <v>0</v>
      </c>
      <c r="X160" s="266">
        <v>0</v>
      </c>
      <c r="Y160" s="266">
        <v>0</v>
      </c>
      <c r="Z160" s="266">
        <v>405.08</v>
      </c>
      <c r="AA160" s="266">
        <v>9672.99</v>
      </c>
      <c r="AB160" s="266">
        <v>23624.75</v>
      </c>
      <c r="AC160" s="266">
        <v>128500.15</v>
      </c>
      <c r="AD160" s="266">
        <v>334236.49</v>
      </c>
      <c r="AE160" s="237">
        <v>39.61</v>
      </c>
      <c r="AF160" s="266">
        <v>309092.93</v>
      </c>
      <c r="AG160" s="237">
        <f t="shared" si="55"/>
        <v>7803.4064630143903</v>
      </c>
      <c r="AH160" s="237">
        <f t="shared" si="56"/>
        <v>8438.1845493562232</v>
      </c>
      <c r="AI160" s="237">
        <f t="shared" si="57"/>
        <v>634.77808634183293</v>
      </c>
      <c r="AJ160" s="237">
        <v>15.63</v>
      </c>
      <c r="AK160" s="266">
        <v>117613.72</v>
      </c>
      <c r="AL160" s="237">
        <f t="shared" si="58"/>
        <v>7524.8701215610999</v>
      </c>
      <c r="AM160" s="237">
        <f t="shared" si="59"/>
        <v>8221.3787587971838</v>
      </c>
      <c r="AN160" s="237">
        <f t="shared" si="60"/>
        <v>696.50863723608381</v>
      </c>
      <c r="AO160" s="266">
        <v>0</v>
      </c>
      <c r="AP160" s="266">
        <v>0</v>
      </c>
      <c r="AQ160" s="266">
        <v>0</v>
      </c>
      <c r="AR160" s="266">
        <v>0</v>
      </c>
      <c r="AS160" s="358">
        <v>17884.54</v>
      </c>
      <c r="AT160" s="371">
        <v>1375.7399999999998</v>
      </c>
      <c r="AU160" s="373">
        <v>26387.54</v>
      </c>
    </row>
    <row r="161" spans="1:47">
      <c r="A161" s="238" t="s">
        <v>291</v>
      </c>
      <c r="B161" s="238" t="s">
        <v>1423</v>
      </c>
      <c r="C161" s="266">
        <v>0</v>
      </c>
      <c r="D161" s="266">
        <v>0</v>
      </c>
      <c r="E161" s="266">
        <v>335066.19</v>
      </c>
      <c r="F161" s="266">
        <v>222551.63</v>
      </c>
      <c r="G161" s="266">
        <v>10321791.42</v>
      </c>
      <c r="H161" s="266">
        <v>2249853.0499999998</v>
      </c>
      <c r="I161" s="266">
        <v>411686.05</v>
      </c>
      <c r="J161" s="266">
        <v>2314325.4500000002</v>
      </c>
      <c r="K161" s="266">
        <v>3543559.92</v>
      </c>
      <c r="L161" s="266">
        <v>2144934.0499999998</v>
      </c>
      <c r="M161" s="266">
        <v>252953.68</v>
      </c>
      <c r="N161" s="266">
        <v>4261555.22</v>
      </c>
      <c r="O161" s="123">
        <v>6.0199999999999997E-2</v>
      </c>
      <c r="P161" s="123">
        <v>0.1862</v>
      </c>
      <c r="Q161" s="266">
        <v>0</v>
      </c>
      <c r="R161" s="266">
        <v>0</v>
      </c>
      <c r="S161" s="266">
        <v>0</v>
      </c>
      <c r="T161" s="266">
        <v>0</v>
      </c>
      <c r="U161" s="266">
        <v>0</v>
      </c>
      <c r="V161" s="266">
        <v>0</v>
      </c>
      <c r="W161" s="266">
        <v>0</v>
      </c>
      <c r="X161" s="266">
        <v>0</v>
      </c>
      <c r="Y161" s="266">
        <v>0</v>
      </c>
      <c r="Z161" s="266">
        <v>638.91</v>
      </c>
      <c r="AA161" s="266">
        <v>24669.41</v>
      </c>
      <c r="AB161" s="266">
        <v>308434.62</v>
      </c>
      <c r="AC161" s="266">
        <v>393045.56</v>
      </c>
      <c r="AD161" s="266">
        <v>3577598.44</v>
      </c>
      <c r="AE161" s="237">
        <v>398.65</v>
      </c>
      <c r="AF161" s="266">
        <v>3240426.12</v>
      </c>
      <c r="AG161" s="237">
        <f t="shared" si="55"/>
        <v>8128.4989840712415</v>
      </c>
      <c r="AH161" s="237">
        <f t="shared" si="56"/>
        <v>8974.2843095447133</v>
      </c>
      <c r="AI161" s="237">
        <f t="shared" si="57"/>
        <v>845.78532547347186</v>
      </c>
      <c r="AJ161" s="237">
        <v>45.81</v>
      </c>
      <c r="AK161" s="266">
        <v>359870.67</v>
      </c>
      <c r="AL161" s="237">
        <f t="shared" si="58"/>
        <v>7855.7229862475433</v>
      </c>
      <c r="AM161" s="237">
        <f t="shared" si="59"/>
        <v>8579.9074437895651</v>
      </c>
      <c r="AN161" s="237">
        <f t="shared" si="60"/>
        <v>724.18445754202185</v>
      </c>
      <c r="AO161" s="266">
        <v>6000</v>
      </c>
      <c r="AP161" s="266">
        <v>0</v>
      </c>
      <c r="AQ161" s="266">
        <v>0</v>
      </c>
      <c r="AR161" s="266">
        <v>0</v>
      </c>
      <c r="AS161" s="358">
        <v>0</v>
      </c>
      <c r="AT161" s="371">
        <v>91109.920000000013</v>
      </c>
      <c r="AU161" s="373">
        <v>587216.43999999994</v>
      </c>
    </row>
    <row r="162" spans="1:47">
      <c r="A162" s="238" t="s">
        <v>423</v>
      </c>
      <c r="B162" s="238" t="s">
        <v>1424</v>
      </c>
      <c r="C162" s="266">
        <v>0</v>
      </c>
      <c r="D162" s="266">
        <v>0</v>
      </c>
      <c r="E162" s="266">
        <v>5685.62</v>
      </c>
      <c r="F162" s="266">
        <v>0</v>
      </c>
      <c r="G162" s="266">
        <v>739931.61</v>
      </c>
      <c r="H162" s="266">
        <v>172751.72</v>
      </c>
      <c r="I162" s="266">
        <v>36985.78</v>
      </c>
      <c r="J162" s="266">
        <v>144219.44</v>
      </c>
      <c r="K162" s="266">
        <v>207458.52</v>
      </c>
      <c r="L162" s="266">
        <v>83907.47</v>
      </c>
      <c r="M162" s="266">
        <v>15452.08</v>
      </c>
      <c r="N162" s="266">
        <v>400275.82</v>
      </c>
      <c r="O162" s="123">
        <v>0</v>
      </c>
      <c r="P162" s="123">
        <v>0.24</v>
      </c>
      <c r="Q162" s="266">
        <v>0</v>
      </c>
      <c r="R162" s="266">
        <v>0</v>
      </c>
      <c r="S162" s="266">
        <v>0</v>
      </c>
      <c r="T162" s="266">
        <v>0</v>
      </c>
      <c r="U162" s="266">
        <v>0</v>
      </c>
      <c r="V162" s="266">
        <v>0</v>
      </c>
      <c r="W162" s="266">
        <v>0</v>
      </c>
      <c r="X162" s="266">
        <v>0</v>
      </c>
      <c r="Y162" s="266">
        <v>0</v>
      </c>
      <c r="Z162" s="266">
        <v>616.96</v>
      </c>
      <c r="AA162" s="266">
        <v>11453.13</v>
      </c>
      <c r="AB162" s="266">
        <v>0</v>
      </c>
      <c r="AC162" s="266">
        <v>101548.23</v>
      </c>
      <c r="AD162" s="266">
        <v>255651.33</v>
      </c>
      <c r="AE162" s="237">
        <v>30.84</v>
      </c>
      <c r="AF162" s="266">
        <v>240799.5</v>
      </c>
      <c r="AG162" s="237">
        <f t="shared" si="55"/>
        <v>7808.0252918287943</v>
      </c>
      <c r="AH162" s="237">
        <f t="shared" si="56"/>
        <v>8289.6021400778209</v>
      </c>
      <c r="AI162" s="237">
        <f t="shared" si="57"/>
        <v>481.57684824902663</v>
      </c>
      <c r="AJ162" s="237">
        <v>12.33</v>
      </c>
      <c r="AK162" s="266">
        <v>93041.3</v>
      </c>
      <c r="AL162" s="237">
        <f t="shared" si="58"/>
        <v>7545.9286293592868</v>
      </c>
      <c r="AM162" s="237">
        <f t="shared" si="59"/>
        <v>8235.8661800486607</v>
      </c>
      <c r="AN162" s="237">
        <f t="shared" si="60"/>
        <v>689.93755068937389</v>
      </c>
      <c r="AO162" s="266">
        <v>0</v>
      </c>
      <c r="AP162" s="266">
        <v>0</v>
      </c>
      <c r="AQ162" s="266">
        <v>0</v>
      </c>
      <c r="AR162" s="266">
        <v>0</v>
      </c>
      <c r="AS162" s="358">
        <v>7871.35</v>
      </c>
      <c r="AT162" s="371">
        <v>1751.2099999999991</v>
      </c>
      <c r="AU162" s="373">
        <v>39822.659999999996</v>
      </c>
    </row>
    <row r="163" spans="1:47">
      <c r="A163" s="238" t="s">
        <v>740</v>
      </c>
      <c r="B163" s="238" t="s">
        <v>1425</v>
      </c>
      <c r="C163" s="266">
        <v>0</v>
      </c>
      <c r="D163" s="266">
        <v>0</v>
      </c>
      <c r="E163" s="266">
        <v>0</v>
      </c>
      <c r="F163" s="266">
        <v>0</v>
      </c>
      <c r="G163" s="266">
        <v>1098392.78</v>
      </c>
      <c r="H163" s="266">
        <v>270083.53999999998</v>
      </c>
      <c r="I163" s="266">
        <v>64669.760000000002</v>
      </c>
      <c r="J163" s="266">
        <v>248568.68</v>
      </c>
      <c r="K163" s="266">
        <v>521937</v>
      </c>
      <c r="L163" s="266">
        <v>201303.1</v>
      </c>
      <c r="M163" s="266">
        <v>23750.42</v>
      </c>
      <c r="N163" s="266">
        <v>761719.26</v>
      </c>
      <c r="O163" s="123">
        <v>5.1999999999999998E-2</v>
      </c>
      <c r="P163" s="123">
        <v>0.22109999999999999</v>
      </c>
      <c r="Q163" s="266">
        <v>0</v>
      </c>
      <c r="R163" s="266">
        <v>0</v>
      </c>
      <c r="S163" s="266">
        <v>0</v>
      </c>
      <c r="T163" s="266">
        <v>0</v>
      </c>
      <c r="U163" s="266">
        <v>0</v>
      </c>
      <c r="V163" s="266">
        <v>0</v>
      </c>
      <c r="W163" s="266">
        <v>0</v>
      </c>
      <c r="X163" s="266">
        <v>0</v>
      </c>
      <c r="Y163" s="266">
        <v>0</v>
      </c>
      <c r="Z163" s="266">
        <v>1000.08</v>
      </c>
      <c r="AA163" s="266">
        <v>0</v>
      </c>
      <c r="AB163" s="266">
        <v>0</v>
      </c>
      <c r="AC163" s="266">
        <v>195547.49</v>
      </c>
      <c r="AD163" s="266">
        <v>167061.79</v>
      </c>
      <c r="AE163" s="237">
        <v>20.28</v>
      </c>
      <c r="AF163" s="266">
        <v>158289.46</v>
      </c>
      <c r="AG163" s="237">
        <f t="shared" si="55"/>
        <v>7805.2001972386579</v>
      </c>
      <c r="AH163" s="237">
        <f t="shared" si="56"/>
        <v>8237.7608481262323</v>
      </c>
      <c r="AI163" s="237">
        <f t="shared" si="57"/>
        <v>432.56065088757441</v>
      </c>
      <c r="AJ163" s="237">
        <v>23.76</v>
      </c>
      <c r="AK163" s="266">
        <v>178887.01</v>
      </c>
      <c r="AL163" s="237">
        <f t="shared" si="58"/>
        <v>7528.9145622895621</v>
      </c>
      <c r="AM163" s="237">
        <f t="shared" si="59"/>
        <v>8230.1132154882143</v>
      </c>
      <c r="AN163" s="237">
        <f t="shared" si="60"/>
        <v>701.19865319865221</v>
      </c>
      <c r="AO163" s="266">
        <v>5163.22</v>
      </c>
      <c r="AP163" s="266">
        <v>0</v>
      </c>
      <c r="AQ163" s="266">
        <v>0</v>
      </c>
      <c r="AR163" s="266">
        <v>0</v>
      </c>
      <c r="AS163" s="358">
        <v>87935.2</v>
      </c>
      <c r="AT163" s="371">
        <v>6381.3899999999994</v>
      </c>
      <c r="AU163" s="373">
        <v>62411</v>
      </c>
    </row>
    <row r="164" spans="1:47">
      <c r="A164" s="238" t="s">
        <v>686</v>
      </c>
      <c r="B164" s="238" t="s">
        <v>1426</v>
      </c>
      <c r="C164" s="266">
        <v>0</v>
      </c>
      <c r="D164" s="266">
        <v>0</v>
      </c>
      <c r="E164" s="266">
        <v>63956.51</v>
      </c>
      <c r="F164" s="266">
        <v>42483.02</v>
      </c>
      <c r="G164" s="266">
        <v>2706981.77</v>
      </c>
      <c r="H164" s="266">
        <v>632254.43000000005</v>
      </c>
      <c r="I164" s="266">
        <v>215927.65</v>
      </c>
      <c r="J164" s="266">
        <v>294940.90000000002</v>
      </c>
      <c r="K164" s="266">
        <v>655740.34</v>
      </c>
      <c r="L164" s="266">
        <v>195312.51</v>
      </c>
      <c r="M164" s="266">
        <v>54162.05</v>
      </c>
      <c r="N164" s="266">
        <v>1708527.15</v>
      </c>
      <c r="O164" s="123">
        <v>4.19E-2</v>
      </c>
      <c r="P164" s="123">
        <v>0.16350000000000001</v>
      </c>
      <c r="Q164" s="266">
        <v>0</v>
      </c>
      <c r="R164" s="266">
        <v>0</v>
      </c>
      <c r="S164" s="266">
        <v>0</v>
      </c>
      <c r="T164" s="266">
        <v>0</v>
      </c>
      <c r="U164" s="266">
        <v>0</v>
      </c>
      <c r="V164" s="266">
        <v>0</v>
      </c>
      <c r="W164" s="266">
        <v>0</v>
      </c>
      <c r="X164" s="266">
        <v>0</v>
      </c>
      <c r="Y164" s="266">
        <v>0</v>
      </c>
      <c r="Z164" s="266">
        <v>2039.69</v>
      </c>
      <c r="AA164" s="266">
        <v>8573.64</v>
      </c>
      <c r="AB164" s="266">
        <v>0</v>
      </c>
      <c r="AC164" s="266">
        <v>63998.44</v>
      </c>
      <c r="AD164" s="266">
        <v>910733.21</v>
      </c>
      <c r="AE164" s="237">
        <v>98.96</v>
      </c>
      <c r="AF164" s="266">
        <v>836489.27</v>
      </c>
      <c r="AG164" s="237">
        <f t="shared" si="55"/>
        <v>8452.8018391269215</v>
      </c>
      <c r="AH164" s="237">
        <f t="shared" si="56"/>
        <v>9203.0437550525476</v>
      </c>
      <c r="AI164" s="237">
        <f t="shared" si="57"/>
        <v>750.24191592562602</v>
      </c>
      <c r="AJ164" s="237">
        <v>7.16</v>
      </c>
      <c r="AK164" s="266">
        <v>58479.45</v>
      </c>
      <c r="AL164" s="237">
        <f t="shared" si="58"/>
        <v>8167.5209497206697</v>
      </c>
      <c r="AM164" s="237">
        <f t="shared" si="59"/>
        <v>8938.3296089385476</v>
      </c>
      <c r="AN164" s="237">
        <f t="shared" si="60"/>
        <v>770.8086592178779</v>
      </c>
      <c r="AO164" s="266">
        <v>0</v>
      </c>
      <c r="AP164" s="266">
        <v>0</v>
      </c>
      <c r="AQ164" s="266">
        <v>0</v>
      </c>
      <c r="AR164" s="266">
        <v>0</v>
      </c>
      <c r="AS164" s="358">
        <v>174172.1</v>
      </c>
      <c r="AT164" s="371">
        <v>64193.17</v>
      </c>
      <c r="AU164" s="373">
        <v>127983.13999999998</v>
      </c>
    </row>
    <row r="165" spans="1:47">
      <c r="A165" s="238" t="s">
        <v>561</v>
      </c>
      <c r="B165" s="238" t="s">
        <v>1427</v>
      </c>
      <c r="C165" s="266">
        <v>0</v>
      </c>
      <c r="D165" s="266">
        <v>0</v>
      </c>
      <c r="E165" s="266">
        <v>0</v>
      </c>
      <c r="F165" s="266">
        <v>0</v>
      </c>
      <c r="G165" s="266">
        <v>0</v>
      </c>
      <c r="H165" s="266">
        <v>0</v>
      </c>
      <c r="I165" s="266">
        <v>0</v>
      </c>
      <c r="J165" s="266">
        <v>0</v>
      </c>
      <c r="K165" s="266">
        <v>3212.11</v>
      </c>
      <c r="L165" s="266">
        <v>0</v>
      </c>
      <c r="M165" s="266">
        <v>1907.19</v>
      </c>
      <c r="N165" s="266">
        <v>76746.31</v>
      </c>
      <c r="O165" s="123">
        <v>3.5700000000000003E-2</v>
      </c>
      <c r="P165" s="123">
        <v>0.39</v>
      </c>
      <c r="Q165" s="266">
        <v>0</v>
      </c>
      <c r="R165" s="266">
        <v>0</v>
      </c>
      <c r="S165" s="266">
        <v>0</v>
      </c>
      <c r="T165" s="266">
        <v>0</v>
      </c>
      <c r="U165" s="266">
        <v>0</v>
      </c>
      <c r="V165" s="266">
        <v>0</v>
      </c>
      <c r="W165" s="266">
        <v>0</v>
      </c>
      <c r="X165" s="266">
        <v>0</v>
      </c>
      <c r="Y165" s="266">
        <v>0</v>
      </c>
      <c r="Z165" s="266">
        <v>0</v>
      </c>
      <c r="AA165" s="266">
        <v>0</v>
      </c>
      <c r="AB165" s="266">
        <v>0</v>
      </c>
      <c r="AC165" s="266">
        <v>0</v>
      </c>
      <c r="AD165" s="266">
        <v>0</v>
      </c>
      <c r="AE165" s="237">
        <v>0</v>
      </c>
      <c r="AF165" s="266">
        <v>0</v>
      </c>
      <c r="AG165" s="237">
        <f t="shared" si="55"/>
        <v>0</v>
      </c>
      <c r="AH165" s="237">
        <f t="shared" si="56"/>
        <v>0</v>
      </c>
      <c r="AI165" s="237">
        <f t="shared" si="57"/>
        <v>0</v>
      </c>
      <c r="AJ165" s="237">
        <v>0</v>
      </c>
      <c r="AK165" s="266">
        <v>0</v>
      </c>
      <c r="AL165" s="237">
        <f t="shared" si="58"/>
        <v>0</v>
      </c>
      <c r="AM165" s="237">
        <f t="shared" si="59"/>
        <v>0</v>
      </c>
      <c r="AN165" s="237">
        <f t="shared" si="60"/>
        <v>0</v>
      </c>
      <c r="AO165" s="266">
        <v>0</v>
      </c>
      <c r="AP165" s="266">
        <v>0</v>
      </c>
      <c r="AQ165" s="266">
        <v>0</v>
      </c>
      <c r="AR165" s="266">
        <v>0</v>
      </c>
      <c r="AS165" s="358">
        <v>4354.25</v>
      </c>
      <c r="AT165" s="371">
        <v>527.58999999999992</v>
      </c>
      <c r="AU165" s="373">
        <v>3980.25</v>
      </c>
    </row>
    <row r="166" spans="1:47">
      <c r="A166" s="238" t="s">
        <v>557</v>
      </c>
      <c r="B166" s="238" t="s">
        <v>1428</v>
      </c>
      <c r="C166" s="266">
        <v>0</v>
      </c>
      <c r="D166" s="266">
        <v>0</v>
      </c>
      <c r="E166" s="266">
        <v>268272.84000000003</v>
      </c>
      <c r="F166" s="266">
        <v>157195.75</v>
      </c>
      <c r="G166" s="266">
        <v>10111217.59</v>
      </c>
      <c r="H166" s="266">
        <v>2076809.21</v>
      </c>
      <c r="I166" s="266">
        <v>339208.91</v>
      </c>
      <c r="J166" s="266">
        <v>1956999.76</v>
      </c>
      <c r="K166" s="266">
        <v>2859314.49</v>
      </c>
      <c r="L166" s="266">
        <v>2708230.24</v>
      </c>
      <c r="M166" s="266">
        <v>207691.49</v>
      </c>
      <c r="N166" s="266">
        <v>3213383.6</v>
      </c>
      <c r="O166" s="123">
        <v>3.2399999999999998E-2</v>
      </c>
      <c r="P166" s="123">
        <v>0.1229</v>
      </c>
      <c r="Q166" s="266">
        <v>0</v>
      </c>
      <c r="R166" s="266">
        <v>0</v>
      </c>
      <c r="S166" s="266">
        <v>0</v>
      </c>
      <c r="T166" s="266">
        <v>0</v>
      </c>
      <c r="U166" s="266">
        <v>0</v>
      </c>
      <c r="V166" s="266">
        <v>0</v>
      </c>
      <c r="W166" s="266">
        <v>0</v>
      </c>
      <c r="X166" s="266">
        <v>0</v>
      </c>
      <c r="Y166" s="266">
        <v>0</v>
      </c>
      <c r="Z166" s="266">
        <v>0</v>
      </c>
      <c r="AA166" s="266">
        <v>0</v>
      </c>
      <c r="AB166" s="266">
        <v>282430.89</v>
      </c>
      <c r="AC166" s="266">
        <v>0</v>
      </c>
      <c r="AD166" s="266">
        <v>3273615.58</v>
      </c>
      <c r="AE166" s="237">
        <v>352.31</v>
      </c>
      <c r="AF166" s="266">
        <v>2978448.08</v>
      </c>
      <c r="AG166" s="237">
        <f t="shared" si="55"/>
        <v>8454.0548948369342</v>
      </c>
      <c r="AH166" s="237">
        <f t="shared" si="56"/>
        <v>9291.8610882461471</v>
      </c>
      <c r="AI166" s="237">
        <f t="shared" si="57"/>
        <v>837.80619340921294</v>
      </c>
      <c r="AJ166" s="237">
        <v>0</v>
      </c>
      <c r="AK166" s="266">
        <v>0</v>
      </c>
      <c r="AL166" s="237">
        <f t="shared" si="58"/>
        <v>0</v>
      </c>
      <c r="AM166" s="237">
        <f t="shared" si="59"/>
        <v>0</v>
      </c>
      <c r="AN166" s="237">
        <f t="shared" si="60"/>
        <v>0</v>
      </c>
      <c r="AO166" s="266">
        <v>0</v>
      </c>
      <c r="AP166" s="266">
        <v>0</v>
      </c>
      <c r="AQ166" s="266">
        <v>0</v>
      </c>
      <c r="AR166" s="266">
        <v>0</v>
      </c>
      <c r="AS166" s="358">
        <v>0</v>
      </c>
      <c r="AT166" s="371">
        <v>31080.649999999965</v>
      </c>
      <c r="AU166" s="373">
        <v>505955.81999999995</v>
      </c>
    </row>
    <row r="167" spans="1:47">
      <c r="A167" s="238" t="s">
        <v>1238</v>
      </c>
      <c r="B167" s="238" t="s">
        <v>1429</v>
      </c>
      <c r="C167" s="266">
        <v>0</v>
      </c>
      <c r="D167" s="266">
        <v>0</v>
      </c>
      <c r="E167" s="266">
        <v>22840.43</v>
      </c>
      <c r="F167" s="266">
        <v>0</v>
      </c>
      <c r="G167" s="266">
        <v>0</v>
      </c>
      <c r="H167" s="266">
        <v>0</v>
      </c>
      <c r="I167" s="266">
        <v>0</v>
      </c>
      <c r="J167" s="266">
        <v>169416.24</v>
      </c>
      <c r="K167" s="266">
        <v>231885.03</v>
      </c>
      <c r="L167" s="266">
        <v>0</v>
      </c>
      <c r="M167" s="266">
        <v>0</v>
      </c>
      <c r="N167" s="266">
        <v>334069.71999999997</v>
      </c>
      <c r="O167" s="123">
        <v>0.08</v>
      </c>
      <c r="P167" s="123">
        <v>7.0000000000000007E-2</v>
      </c>
      <c r="Q167" s="266">
        <v>0</v>
      </c>
      <c r="R167" s="266">
        <v>0</v>
      </c>
      <c r="S167" s="266">
        <v>0</v>
      </c>
      <c r="T167" s="266">
        <v>0</v>
      </c>
      <c r="U167" s="266">
        <v>0</v>
      </c>
      <c r="V167" s="266">
        <v>0</v>
      </c>
      <c r="W167" s="266">
        <v>0</v>
      </c>
      <c r="X167" s="266">
        <v>0</v>
      </c>
      <c r="Y167" s="266">
        <v>0</v>
      </c>
      <c r="Z167" s="266">
        <v>0</v>
      </c>
      <c r="AA167" s="266">
        <v>0</v>
      </c>
      <c r="AB167" s="266">
        <v>0</v>
      </c>
      <c r="AC167" s="266">
        <v>0</v>
      </c>
      <c r="AD167" s="266">
        <v>100130.21</v>
      </c>
      <c r="AE167" s="237">
        <v>10.35</v>
      </c>
      <c r="AF167" s="266">
        <v>90763.48</v>
      </c>
      <c r="AG167" s="237">
        <f t="shared" si="55"/>
        <v>8769.4183574879225</v>
      </c>
      <c r="AH167" s="237">
        <f t="shared" si="56"/>
        <v>9674.4164251207731</v>
      </c>
      <c r="AI167" s="237">
        <f t="shared" si="57"/>
        <v>904.99806763285051</v>
      </c>
      <c r="AJ167" s="237">
        <v>0</v>
      </c>
      <c r="AK167" s="266">
        <v>0</v>
      </c>
      <c r="AL167" s="237">
        <f t="shared" si="58"/>
        <v>0</v>
      </c>
      <c r="AM167" s="237">
        <f t="shared" si="59"/>
        <v>0</v>
      </c>
      <c r="AN167" s="237">
        <f t="shared" si="60"/>
        <v>0</v>
      </c>
      <c r="AO167" s="266">
        <v>0</v>
      </c>
      <c r="AP167" s="266">
        <v>0</v>
      </c>
      <c r="AQ167" s="266">
        <v>0</v>
      </c>
      <c r="AR167" s="266">
        <v>0</v>
      </c>
      <c r="AS167" s="358">
        <v>0</v>
      </c>
      <c r="AT167" s="371">
        <v>19286.320000000003</v>
      </c>
      <c r="AU167" s="373">
        <v>39385.530000000006</v>
      </c>
    </row>
    <row r="168" spans="1:47">
      <c r="A168" s="238" t="s">
        <v>571</v>
      </c>
      <c r="B168" s="238" t="s">
        <v>1430</v>
      </c>
      <c r="C168" s="266">
        <v>0</v>
      </c>
      <c r="D168" s="266">
        <v>0</v>
      </c>
      <c r="E168" s="266">
        <v>547261.93000000005</v>
      </c>
      <c r="F168" s="266">
        <v>0</v>
      </c>
      <c r="G168" s="266">
        <v>23777418.079999998</v>
      </c>
      <c r="H168" s="266">
        <v>5716612.1900000004</v>
      </c>
      <c r="I168" s="266">
        <v>1635584.83</v>
      </c>
      <c r="J168" s="266">
        <v>3030615.25</v>
      </c>
      <c r="K168" s="266">
        <v>5657456.0800000001</v>
      </c>
      <c r="L168" s="266">
        <v>6048335.3300000001</v>
      </c>
      <c r="M168" s="266">
        <v>523060.88</v>
      </c>
      <c r="N168" s="266">
        <v>8776624.7599999998</v>
      </c>
      <c r="O168" s="123">
        <v>4.1799999999999997E-2</v>
      </c>
      <c r="P168" s="123">
        <v>0.1399</v>
      </c>
      <c r="Q168" s="266">
        <v>0</v>
      </c>
      <c r="R168" s="266">
        <v>0</v>
      </c>
      <c r="S168" s="266">
        <v>0</v>
      </c>
      <c r="T168" s="266">
        <v>0</v>
      </c>
      <c r="U168" s="266">
        <v>0</v>
      </c>
      <c r="V168" s="266">
        <v>0</v>
      </c>
      <c r="W168" s="266">
        <v>0</v>
      </c>
      <c r="X168" s="266">
        <v>0</v>
      </c>
      <c r="Y168" s="266">
        <v>0</v>
      </c>
      <c r="Z168" s="266">
        <v>8303.65</v>
      </c>
      <c r="AA168" s="266">
        <v>157706.04</v>
      </c>
      <c r="AB168" s="266">
        <v>157627.37</v>
      </c>
      <c r="AC168" s="266">
        <v>1638332.75</v>
      </c>
      <c r="AD168" s="266">
        <v>4508571.32</v>
      </c>
      <c r="AE168" s="237">
        <v>434.96</v>
      </c>
      <c r="AF168" s="266">
        <v>3960270.76</v>
      </c>
      <c r="AG168" s="237">
        <f t="shared" si="55"/>
        <v>9104.9079455582123</v>
      </c>
      <c r="AH168" s="237">
        <f t="shared" si="56"/>
        <v>10365.484918153395</v>
      </c>
      <c r="AI168" s="237">
        <f t="shared" si="57"/>
        <v>1260.5769725951832</v>
      </c>
      <c r="AJ168" s="237">
        <v>170.21</v>
      </c>
      <c r="AK168" s="266">
        <v>1501047.22</v>
      </c>
      <c r="AL168" s="237">
        <f t="shared" si="58"/>
        <v>8818.7957229304975</v>
      </c>
      <c r="AM168" s="237">
        <f t="shared" si="59"/>
        <v>9625.3613183714224</v>
      </c>
      <c r="AN168" s="237">
        <f t="shared" si="60"/>
        <v>806.56559544092488</v>
      </c>
      <c r="AO168" s="266">
        <v>6600</v>
      </c>
      <c r="AP168" s="266">
        <v>0</v>
      </c>
      <c r="AQ168" s="266">
        <v>0</v>
      </c>
      <c r="AR168" s="266">
        <v>0</v>
      </c>
      <c r="AS168" s="358">
        <v>1311573.8600000001</v>
      </c>
      <c r="AT168" s="371">
        <v>66577.35000000021</v>
      </c>
      <c r="AU168" s="373">
        <v>1290030.76</v>
      </c>
    </row>
    <row r="169" spans="1:47">
      <c r="A169" s="238" t="s">
        <v>716</v>
      </c>
      <c r="B169" s="238" t="s">
        <v>1431</v>
      </c>
      <c r="C169" s="266">
        <v>0</v>
      </c>
      <c r="D169" s="266">
        <v>0</v>
      </c>
      <c r="E169" s="266">
        <v>0</v>
      </c>
      <c r="F169" s="266">
        <v>0</v>
      </c>
      <c r="G169" s="266">
        <v>1490906.8</v>
      </c>
      <c r="H169" s="266">
        <v>320809.18</v>
      </c>
      <c r="I169" s="266">
        <v>118456.68</v>
      </c>
      <c r="J169" s="266">
        <v>245421.02</v>
      </c>
      <c r="K169" s="266">
        <v>376286.82</v>
      </c>
      <c r="L169" s="266">
        <v>145084.15</v>
      </c>
      <c r="M169" s="266">
        <v>34624.120000000003</v>
      </c>
      <c r="N169" s="266">
        <v>921992.58</v>
      </c>
      <c r="O169" s="123">
        <v>4.48E-2</v>
      </c>
      <c r="P169" s="123">
        <v>0.19689999999999999</v>
      </c>
      <c r="Q169" s="266">
        <v>0</v>
      </c>
      <c r="R169" s="266">
        <v>0</v>
      </c>
      <c r="S169" s="266">
        <v>0</v>
      </c>
      <c r="T169" s="266">
        <v>0</v>
      </c>
      <c r="U169" s="266">
        <v>0</v>
      </c>
      <c r="V169" s="266">
        <v>0</v>
      </c>
      <c r="W169" s="266">
        <v>0</v>
      </c>
      <c r="X169" s="266">
        <v>0</v>
      </c>
      <c r="Y169" s="266">
        <v>0</v>
      </c>
      <c r="Z169" s="266">
        <v>0</v>
      </c>
      <c r="AA169" s="266">
        <v>0</v>
      </c>
      <c r="AB169" s="266">
        <v>0</v>
      </c>
      <c r="AC169" s="266">
        <v>155395.62</v>
      </c>
      <c r="AD169" s="266">
        <v>426027.85</v>
      </c>
      <c r="AE169" s="237">
        <v>50.79</v>
      </c>
      <c r="AF169" s="266">
        <v>396312.85</v>
      </c>
      <c r="AG169" s="237">
        <f t="shared" si="55"/>
        <v>7802.9700728489861</v>
      </c>
      <c r="AH169" s="237">
        <f t="shared" si="56"/>
        <v>8388.0261862571369</v>
      </c>
      <c r="AI169" s="237">
        <f t="shared" si="57"/>
        <v>585.05611340815085</v>
      </c>
      <c r="AJ169" s="237">
        <v>18.88</v>
      </c>
      <c r="AK169" s="266">
        <v>142234.57</v>
      </c>
      <c r="AL169" s="237">
        <f t="shared" si="58"/>
        <v>7533.610699152543</v>
      </c>
      <c r="AM169" s="237">
        <f t="shared" si="59"/>
        <v>8230.7002118644068</v>
      </c>
      <c r="AN169" s="237">
        <f t="shared" si="60"/>
        <v>697.08951271186379</v>
      </c>
      <c r="AO169" s="266">
        <v>93332.11</v>
      </c>
      <c r="AP169" s="266">
        <v>0</v>
      </c>
      <c r="AQ169" s="266">
        <v>0</v>
      </c>
      <c r="AR169" s="266">
        <v>0</v>
      </c>
      <c r="AS169" s="358">
        <v>111455.24</v>
      </c>
      <c r="AT169" s="371">
        <v>0</v>
      </c>
      <c r="AU169" s="373">
        <v>77364.179999999993</v>
      </c>
    </row>
    <row r="170" spans="1:47">
      <c r="A170" s="238" t="s">
        <v>419</v>
      </c>
      <c r="B170" s="238" t="s">
        <v>1432</v>
      </c>
      <c r="C170" s="266">
        <v>0</v>
      </c>
      <c r="D170" s="266">
        <v>0</v>
      </c>
      <c r="E170" s="266">
        <v>22344.3</v>
      </c>
      <c r="F170" s="266">
        <v>10898.35</v>
      </c>
      <c r="G170" s="266">
        <v>1063857.19</v>
      </c>
      <c r="H170" s="266">
        <v>131379.71</v>
      </c>
      <c r="I170" s="266">
        <v>72397.289999999994</v>
      </c>
      <c r="J170" s="266">
        <v>0</v>
      </c>
      <c r="K170" s="266">
        <v>230541.25</v>
      </c>
      <c r="L170" s="266">
        <v>31991.48</v>
      </c>
      <c r="M170" s="266">
        <v>22605.83</v>
      </c>
      <c r="N170" s="266">
        <v>379220.22</v>
      </c>
      <c r="O170" s="123">
        <v>3.7999999999999999E-2</v>
      </c>
      <c r="P170" s="123">
        <v>0.18360000000000001</v>
      </c>
      <c r="Q170" s="266">
        <v>0</v>
      </c>
      <c r="R170" s="266">
        <v>0</v>
      </c>
      <c r="S170" s="266">
        <v>0</v>
      </c>
      <c r="T170" s="266">
        <v>0</v>
      </c>
      <c r="U170" s="266">
        <v>0</v>
      </c>
      <c r="V170" s="266">
        <v>0</v>
      </c>
      <c r="W170" s="266">
        <v>0</v>
      </c>
      <c r="X170" s="266">
        <v>0</v>
      </c>
      <c r="Y170" s="266">
        <v>0</v>
      </c>
      <c r="Z170" s="266">
        <v>935.31</v>
      </c>
      <c r="AA170" s="266">
        <v>0</v>
      </c>
      <c r="AB170" s="266">
        <v>0</v>
      </c>
      <c r="AC170" s="266">
        <v>235976.31</v>
      </c>
      <c r="AD170" s="266">
        <v>699253.2</v>
      </c>
      <c r="AE170" s="237">
        <v>81.05</v>
      </c>
      <c r="AF170" s="266">
        <v>632443.55000000005</v>
      </c>
      <c r="AG170" s="237">
        <f t="shared" si="55"/>
        <v>7803.128315854412</v>
      </c>
      <c r="AH170" s="237">
        <f t="shared" si="56"/>
        <v>8627.4299814929054</v>
      </c>
      <c r="AI170" s="237">
        <f t="shared" si="57"/>
        <v>824.30166563849343</v>
      </c>
      <c r="AJ170" s="237">
        <v>28.68</v>
      </c>
      <c r="AK170" s="266">
        <v>216147.3</v>
      </c>
      <c r="AL170" s="237">
        <f t="shared" si="58"/>
        <v>7536.5167364016734</v>
      </c>
      <c r="AM170" s="237">
        <f t="shared" si="59"/>
        <v>8227.9048117154816</v>
      </c>
      <c r="AN170" s="237">
        <f t="shared" si="60"/>
        <v>691.38807531380826</v>
      </c>
      <c r="AO170" s="266">
        <v>0</v>
      </c>
      <c r="AP170" s="266">
        <v>0</v>
      </c>
      <c r="AQ170" s="266">
        <v>0</v>
      </c>
      <c r="AR170" s="266">
        <v>0</v>
      </c>
      <c r="AS170" s="358">
        <v>42120.07</v>
      </c>
      <c r="AT170" s="371">
        <v>0</v>
      </c>
      <c r="AU170" s="373">
        <v>50675.420000000006</v>
      </c>
    </row>
    <row r="171" spans="1:47">
      <c r="A171" s="238" t="s">
        <v>497</v>
      </c>
      <c r="B171" s="238" t="s">
        <v>1433</v>
      </c>
      <c r="C171" s="266">
        <v>0</v>
      </c>
      <c r="D171" s="266">
        <v>0</v>
      </c>
      <c r="E171" s="266">
        <v>1577.82</v>
      </c>
      <c r="F171" s="266">
        <v>8990.2999999999993</v>
      </c>
      <c r="G171" s="266">
        <v>0</v>
      </c>
      <c r="H171" s="266">
        <v>0</v>
      </c>
      <c r="I171" s="266">
        <v>0</v>
      </c>
      <c r="J171" s="266">
        <v>96229.25</v>
      </c>
      <c r="K171" s="266">
        <v>96229.25</v>
      </c>
      <c r="L171" s="266">
        <v>37845.61</v>
      </c>
      <c r="M171" s="266">
        <v>9277.5</v>
      </c>
      <c r="N171" s="266">
        <v>229737.67</v>
      </c>
      <c r="O171" s="123">
        <v>1.11E-2</v>
      </c>
      <c r="P171" s="123">
        <v>0.15809999999999999</v>
      </c>
      <c r="Q171" s="266">
        <v>0</v>
      </c>
      <c r="R171" s="266">
        <v>0</v>
      </c>
      <c r="S171" s="266">
        <v>0</v>
      </c>
      <c r="T171" s="266">
        <v>1299583.3599999999</v>
      </c>
      <c r="U171" s="266">
        <v>94969.140000000101</v>
      </c>
      <c r="V171" s="266">
        <v>51100.53</v>
      </c>
      <c r="W171" s="266">
        <v>0</v>
      </c>
      <c r="X171" s="266">
        <v>0</v>
      </c>
      <c r="Y171" s="266">
        <v>0</v>
      </c>
      <c r="Z171" s="266">
        <v>456.68</v>
      </c>
      <c r="AA171" s="266">
        <v>3482.66</v>
      </c>
      <c r="AB171" s="266">
        <v>0</v>
      </c>
      <c r="AC171" s="266">
        <v>21318.47</v>
      </c>
      <c r="AD171" s="266">
        <v>103522.13</v>
      </c>
      <c r="AE171" s="237">
        <v>10.19</v>
      </c>
      <c r="AF171" s="266">
        <v>81109.22</v>
      </c>
      <c r="AG171" s="237">
        <f t="shared" si="55"/>
        <v>7959.6879293424936</v>
      </c>
      <c r="AH171" s="237">
        <f t="shared" si="56"/>
        <v>10159.188420019627</v>
      </c>
      <c r="AI171" s="237">
        <f t="shared" si="57"/>
        <v>2199.5004906771337</v>
      </c>
      <c r="AJ171" s="237">
        <v>2.54</v>
      </c>
      <c r="AK171" s="266">
        <v>19553.16</v>
      </c>
      <c r="AL171" s="237">
        <f t="shared" si="58"/>
        <v>7698.0944881889764</v>
      </c>
      <c r="AM171" s="237">
        <f t="shared" si="59"/>
        <v>8393.0984251968512</v>
      </c>
      <c r="AN171" s="237">
        <f t="shared" si="60"/>
        <v>695.00393700787481</v>
      </c>
      <c r="AO171" s="266">
        <v>2000</v>
      </c>
      <c r="AP171" s="266">
        <v>1819.49</v>
      </c>
      <c r="AQ171" s="266">
        <v>0</v>
      </c>
      <c r="AR171" s="266">
        <v>0</v>
      </c>
      <c r="AS171" s="358">
        <v>46543.3</v>
      </c>
      <c r="AT171" s="371">
        <v>0</v>
      </c>
      <c r="AU171" s="373">
        <v>23763.13</v>
      </c>
    </row>
    <row r="172" spans="1:47">
      <c r="A172" s="238" t="s">
        <v>475</v>
      </c>
      <c r="B172" s="238" t="s">
        <v>1434</v>
      </c>
      <c r="C172" s="266">
        <v>0</v>
      </c>
      <c r="D172" s="266">
        <v>0</v>
      </c>
      <c r="E172" s="266">
        <v>0</v>
      </c>
      <c r="F172" s="266">
        <v>0</v>
      </c>
      <c r="G172" s="266">
        <v>197285.96</v>
      </c>
      <c r="H172" s="266">
        <v>20137.490000000002</v>
      </c>
      <c r="I172" s="266">
        <v>23546.19</v>
      </c>
      <c r="J172" s="266">
        <v>39488.660000000003</v>
      </c>
      <c r="K172" s="266">
        <v>85940.29</v>
      </c>
      <c r="L172" s="266">
        <v>0</v>
      </c>
      <c r="M172" s="266">
        <v>0</v>
      </c>
      <c r="N172" s="266">
        <v>186795.47</v>
      </c>
      <c r="O172" s="123">
        <v>6.2300000000000001E-2</v>
      </c>
      <c r="P172" s="123">
        <v>0.24729999999999999</v>
      </c>
      <c r="Q172" s="266">
        <v>0</v>
      </c>
      <c r="R172" s="266">
        <v>0</v>
      </c>
      <c r="S172" s="266">
        <v>0</v>
      </c>
      <c r="T172" s="266">
        <v>0</v>
      </c>
      <c r="U172" s="266">
        <v>0</v>
      </c>
      <c r="V172" s="266">
        <v>0</v>
      </c>
      <c r="W172" s="266">
        <v>0</v>
      </c>
      <c r="X172" s="266">
        <v>0</v>
      </c>
      <c r="Y172" s="266">
        <v>0</v>
      </c>
      <c r="Z172" s="266">
        <v>0</v>
      </c>
      <c r="AA172" s="266">
        <v>0</v>
      </c>
      <c r="AB172" s="266">
        <v>0</v>
      </c>
      <c r="AC172" s="266">
        <v>0</v>
      </c>
      <c r="AD172" s="266">
        <v>0</v>
      </c>
      <c r="AE172" s="237">
        <v>0</v>
      </c>
      <c r="AF172" s="266">
        <v>0</v>
      </c>
      <c r="AG172" s="237">
        <f t="shared" si="55"/>
        <v>0</v>
      </c>
      <c r="AH172" s="237">
        <f t="shared" si="56"/>
        <v>0</v>
      </c>
      <c r="AI172" s="237">
        <f t="shared" si="57"/>
        <v>0</v>
      </c>
      <c r="AJ172" s="237">
        <v>0</v>
      </c>
      <c r="AK172" s="266">
        <v>0</v>
      </c>
      <c r="AL172" s="237">
        <f t="shared" si="58"/>
        <v>0</v>
      </c>
      <c r="AM172" s="237">
        <f t="shared" si="59"/>
        <v>0</v>
      </c>
      <c r="AN172" s="237">
        <f t="shared" si="60"/>
        <v>0</v>
      </c>
      <c r="AO172" s="266">
        <v>0</v>
      </c>
      <c r="AP172" s="266">
        <v>0</v>
      </c>
      <c r="AQ172" s="266">
        <v>0</v>
      </c>
      <c r="AR172" s="266">
        <v>0</v>
      </c>
      <c r="AS172" s="358">
        <v>25877.47</v>
      </c>
      <c r="AT172" s="371">
        <v>5054.08</v>
      </c>
      <c r="AU172" s="373">
        <v>10071.43</v>
      </c>
    </row>
    <row r="173" spans="1:47">
      <c r="A173" s="238" t="s">
        <v>502</v>
      </c>
      <c r="B173" s="238" t="s">
        <v>1435</v>
      </c>
      <c r="C173" s="266">
        <v>0</v>
      </c>
      <c r="D173" s="266">
        <v>0</v>
      </c>
      <c r="E173" s="266">
        <v>31531.08</v>
      </c>
      <c r="F173" s="266">
        <v>1842.1</v>
      </c>
      <c r="G173" s="266">
        <v>1402367.05</v>
      </c>
      <c r="H173" s="266">
        <v>303220.17</v>
      </c>
      <c r="I173" s="266">
        <v>61680.35</v>
      </c>
      <c r="J173" s="266">
        <v>312093.90999999997</v>
      </c>
      <c r="K173" s="266">
        <v>409861.71</v>
      </c>
      <c r="L173" s="266">
        <v>0</v>
      </c>
      <c r="M173" s="266">
        <v>30427.26</v>
      </c>
      <c r="N173" s="266">
        <v>909979.39</v>
      </c>
      <c r="O173" s="123">
        <v>2.1000000000000001E-2</v>
      </c>
      <c r="P173" s="123">
        <v>0.20380000000000001</v>
      </c>
      <c r="Q173" s="266">
        <v>0</v>
      </c>
      <c r="R173" s="266">
        <v>0</v>
      </c>
      <c r="S173" s="266">
        <v>0</v>
      </c>
      <c r="T173" s="266">
        <v>0</v>
      </c>
      <c r="U173" s="266">
        <v>0</v>
      </c>
      <c r="V173" s="266">
        <v>0</v>
      </c>
      <c r="W173" s="266">
        <v>0</v>
      </c>
      <c r="X173" s="266">
        <v>0</v>
      </c>
      <c r="Y173" s="266">
        <v>0</v>
      </c>
      <c r="Z173" s="266">
        <v>0</v>
      </c>
      <c r="AA173" s="266">
        <v>32213.51</v>
      </c>
      <c r="AB173" s="266">
        <v>25115.439999999999</v>
      </c>
      <c r="AC173" s="266">
        <v>320580.88</v>
      </c>
      <c r="AD173" s="266">
        <v>793545.84</v>
      </c>
      <c r="AE173" s="237">
        <v>95.77</v>
      </c>
      <c r="AF173" s="266">
        <v>747388.67</v>
      </c>
      <c r="AG173" s="237">
        <f t="shared" si="55"/>
        <v>7803.9957189098886</v>
      </c>
      <c r="AH173" s="237">
        <f t="shared" si="56"/>
        <v>8285.9542654275865</v>
      </c>
      <c r="AI173" s="237">
        <f t="shared" si="57"/>
        <v>481.95854651769787</v>
      </c>
      <c r="AJ173" s="237">
        <v>38.94</v>
      </c>
      <c r="AK173" s="266">
        <v>293572.44</v>
      </c>
      <c r="AL173" s="237">
        <f t="shared" si="58"/>
        <v>7539.0970724191066</v>
      </c>
      <c r="AM173" s="237">
        <f t="shared" si="59"/>
        <v>8232.688238315357</v>
      </c>
      <c r="AN173" s="237">
        <f t="shared" si="60"/>
        <v>693.59116589625046</v>
      </c>
      <c r="AO173" s="266">
        <v>0</v>
      </c>
      <c r="AP173" s="266">
        <v>0</v>
      </c>
      <c r="AQ173" s="266">
        <v>0</v>
      </c>
      <c r="AR173" s="266">
        <v>0</v>
      </c>
      <c r="AS173" s="358">
        <v>0</v>
      </c>
      <c r="AT173" s="371">
        <v>5235.09</v>
      </c>
      <c r="AU173" s="373">
        <v>69453.56</v>
      </c>
    </row>
    <row r="174" spans="1:47">
      <c r="A174" s="238" t="s">
        <v>601</v>
      </c>
      <c r="B174" s="238" t="s">
        <v>1436</v>
      </c>
      <c r="C174" s="266">
        <v>0</v>
      </c>
      <c r="D174" s="266">
        <v>0</v>
      </c>
      <c r="E174" s="266">
        <v>0</v>
      </c>
      <c r="F174" s="266">
        <v>0</v>
      </c>
      <c r="G174" s="266">
        <v>1730050.37</v>
      </c>
      <c r="H174" s="266">
        <v>319691.74</v>
      </c>
      <c r="I174" s="266">
        <v>33950.400000000001</v>
      </c>
      <c r="J174" s="266">
        <v>0</v>
      </c>
      <c r="K174" s="266">
        <v>213181.5</v>
      </c>
      <c r="L174" s="266">
        <v>0</v>
      </c>
      <c r="M174" s="266">
        <v>39107.120000000003</v>
      </c>
      <c r="N174" s="266">
        <v>1029590.55</v>
      </c>
      <c r="O174" s="123">
        <v>2.87E-2</v>
      </c>
      <c r="P174" s="123">
        <v>0.20799999999999999</v>
      </c>
      <c r="Q174" s="266">
        <v>0</v>
      </c>
      <c r="R174" s="266">
        <v>0</v>
      </c>
      <c r="S174" s="266">
        <v>0</v>
      </c>
      <c r="T174" s="266">
        <v>0</v>
      </c>
      <c r="U174" s="266">
        <v>0</v>
      </c>
      <c r="V174" s="266">
        <v>0</v>
      </c>
      <c r="W174" s="266">
        <v>0</v>
      </c>
      <c r="X174" s="266">
        <v>0</v>
      </c>
      <c r="Y174" s="266">
        <v>0</v>
      </c>
      <c r="Z174" s="266">
        <v>1590.69</v>
      </c>
      <c r="AA174" s="266">
        <v>0</v>
      </c>
      <c r="AB174" s="266">
        <v>21425.06</v>
      </c>
      <c r="AC174" s="266">
        <v>0</v>
      </c>
      <c r="AD174" s="266">
        <v>724964.85</v>
      </c>
      <c r="AE174" s="237">
        <v>85.7</v>
      </c>
      <c r="AF174" s="266">
        <v>668651.30000000005</v>
      </c>
      <c r="AG174" s="237">
        <f t="shared" si="55"/>
        <v>7802.2322053675616</v>
      </c>
      <c r="AH174" s="237">
        <f t="shared" si="56"/>
        <v>8459.3331388564748</v>
      </c>
      <c r="AI174" s="237">
        <f t="shared" si="57"/>
        <v>657.10093348891314</v>
      </c>
      <c r="AJ174" s="237">
        <v>0</v>
      </c>
      <c r="AK174" s="266">
        <v>0</v>
      </c>
      <c r="AL174" s="237">
        <f t="shared" si="58"/>
        <v>0</v>
      </c>
      <c r="AM174" s="237">
        <f t="shared" si="59"/>
        <v>0</v>
      </c>
      <c r="AN174" s="237">
        <f t="shared" si="60"/>
        <v>0</v>
      </c>
      <c r="AO174" s="266">
        <v>0</v>
      </c>
      <c r="AP174" s="266">
        <v>0</v>
      </c>
      <c r="AQ174" s="266">
        <v>0</v>
      </c>
      <c r="AR174" s="266">
        <v>0</v>
      </c>
      <c r="AS174" s="358">
        <v>0</v>
      </c>
      <c r="AT174" s="371">
        <v>0</v>
      </c>
      <c r="AU174" s="373">
        <v>81635.77</v>
      </c>
    </row>
    <row r="175" spans="1:47">
      <c r="A175" s="238" t="s">
        <v>684</v>
      </c>
      <c r="B175" s="238" t="s">
        <v>1437</v>
      </c>
      <c r="C175" s="266">
        <v>0</v>
      </c>
      <c r="D175" s="266">
        <v>0</v>
      </c>
      <c r="E175" s="266">
        <v>0</v>
      </c>
      <c r="F175" s="266">
        <v>4316.6099999999997</v>
      </c>
      <c r="G175" s="266">
        <v>2607079.46</v>
      </c>
      <c r="H175" s="266">
        <v>627588.25</v>
      </c>
      <c r="I175" s="266">
        <v>222950.26</v>
      </c>
      <c r="J175" s="266">
        <v>396795.99</v>
      </c>
      <c r="K175" s="266">
        <v>629473.23</v>
      </c>
      <c r="L175" s="266">
        <v>394453.67</v>
      </c>
      <c r="M175" s="266">
        <v>54605.87</v>
      </c>
      <c r="N175" s="266">
        <v>1292236.75</v>
      </c>
      <c r="O175" s="123">
        <v>3.8699999999999998E-2</v>
      </c>
      <c r="P175" s="123">
        <v>0.17960000000000001</v>
      </c>
      <c r="Q175" s="266">
        <v>0</v>
      </c>
      <c r="R175" s="266">
        <v>0</v>
      </c>
      <c r="S175" s="266">
        <v>0</v>
      </c>
      <c r="T175" s="266">
        <v>0</v>
      </c>
      <c r="U175" s="266">
        <v>0</v>
      </c>
      <c r="V175" s="266">
        <v>0</v>
      </c>
      <c r="W175" s="266">
        <v>0</v>
      </c>
      <c r="X175" s="266">
        <v>0</v>
      </c>
      <c r="Y175" s="266">
        <v>0</v>
      </c>
      <c r="Z175" s="266">
        <v>1825.62</v>
      </c>
      <c r="AA175" s="266">
        <v>0</v>
      </c>
      <c r="AB175" s="266">
        <v>0</v>
      </c>
      <c r="AC175" s="266">
        <v>0</v>
      </c>
      <c r="AD175" s="266">
        <v>652901.21</v>
      </c>
      <c r="AE175" s="237">
        <v>72.930000000000007</v>
      </c>
      <c r="AF175" s="266">
        <v>592764.92000000004</v>
      </c>
      <c r="AG175" s="237">
        <f t="shared" si="55"/>
        <v>8127.8612368024133</v>
      </c>
      <c r="AH175" s="237">
        <f t="shared" si="56"/>
        <v>8952.4367201426012</v>
      </c>
      <c r="AI175" s="237">
        <f t="shared" si="57"/>
        <v>824.57548334018793</v>
      </c>
      <c r="AJ175" s="237">
        <v>0</v>
      </c>
      <c r="AK175" s="266">
        <v>0</v>
      </c>
      <c r="AL175" s="237">
        <f t="shared" si="58"/>
        <v>0</v>
      </c>
      <c r="AM175" s="237">
        <f t="shared" si="59"/>
        <v>0</v>
      </c>
      <c r="AN175" s="237">
        <f t="shared" si="60"/>
        <v>0</v>
      </c>
      <c r="AO175" s="266">
        <v>0</v>
      </c>
      <c r="AP175" s="266">
        <v>0</v>
      </c>
      <c r="AQ175" s="266">
        <v>0</v>
      </c>
      <c r="AR175" s="266">
        <v>0</v>
      </c>
      <c r="AS175" s="358">
        <v>113977.3</v>
      </c>
      <c r="AT175" s="371">
        <v>11136.169999999998</v>
      </c>
      <c r="AU175" s="373">
        <v>134429.70000000001</v>
      </c>
    </row>
    <row r="176" spans="1:47">
      <c r="A176" s="238" t="s">
        <v>303</v>
      </c>
      <c r="B176" s="238" t="s">
        <v>1438</v>
      </c>
      <c r="C176" s="266">
        <v>0</v>
      </c>
      <c r="D176" s="266">
        <v>0</v>
      </c>
      <c r="E176" s="266">
        <v>0</v>
      </c>
      <c r="F176" s="266">
        <v>2520.41</v>
      </c>
      <c r="G176" s="266">
        <v>1042787.52</v>
      </c>
      <c r="H176" s="266">
        <v>193317.93</v>
      </c>
      <c r="I176" s="266">
        <v>25918.61</v>
      </c>
      <c r="J176" s="266">
        <v>195344.85</v>
      </c>
      <c r="K176" s="266">
        <v>305035.55</v>
      </c>
      <c r="L176" s="266">
        <v>29840.01</v>
      </c>
      <c r="M176" s="266">
        <v>19362.79</v>
      </c>
      <c r="N176" s="266">
        <v>593198.63</v>
      </c>
      <c r="O176" s="123">
        <v>1.47E-2</v>
      </c>
      <c r="P176" s="123">
        <v>0.26069999999999999</v>
      </c>
      <c r="Q176" s="266">
        <v>0</v>
      </c>
      <c r="R176" s="266">
        <v>0</v>
      </c>
      <c r="S176" s="266">
        <v>0</v>
      </c>
      <c r="T176" s="266">
        <v>0</v>
      </c>
      <c r="U176" s="266">
        <v>0</v>
      </c>
      <c r="V176" s="266">
        <v>0</v>
      </c>
      <c r="W176" s="266">
        <v>0</v>
      </c>
      <c r="X176" s="266">
        <v>0</v>
      </c>
      <c r="Y176" s="266">
        <v>0</v>
      </c>
      <c r="Z176" s="266">
        <v>488.51</v>
      </c>
      <c r="AA176" s="266">
        <v>0</v>
      </c>
      <c r="AB176" s="266">
        <v>0</v>
      </c>
      <c r="AC176" s="266">
        <v>27270.799999999999</v>
      </c>
      <c r="AD176" s="266">
        <v>65570.2</v>
      </c>
      <c r="AE176" s="237">
        <v>7.95</v>
      </c>
      <c r="AF176" s="266">
        <v>62031.73</v>
      </c>
      <c r="AG176" s="237">
        <f t="shared" si="55"/>
        <v>7802.7333333333336</v>
      </c>
      <c r="AH176" s="237">
        <f t="shared" si="56"/>
        <v>8247.8238993710693</v>
      </c>
      <c r="AI176" s="237">
        <f t="shared" si="57"/>
        <v>445.0905660377357</v>
      </c>
      <c r="AJ176" s="237">
        <v>3.32</v>
      </c>
      <c r="AK176" s="266">
        <v>24999.33</v>
      </c>
      <c r="AL176" s="237">
        <f t="shared" si="58"/>
        <v>7529.9186746987962</v>
      </c>
      <c r="AM176" s="237">
        <f t="shared" si="59"/>
        <v>8214.0963855421687</v>
      </c>
      <c r="AN176" s="237">
        <f t="shared" si="60"/>
        <v>684.17771084337255</v>
      </c>
      <c r="AO176" s="266">
        <v>946.5</v>
      </c>
      <c r="AP176" s="266">
        <v>0</v>
      </c>
      <c r="AQ176" s="266">
        <v>0</v>
      </c>
      <c r="AR176" s="266">
        <v>0</v>
      </c>
      <c r="AS176" s="358">
        <v>60644.3</v>
      </c>
      <c r="AT176" s="371">
        <v>2831.7000000000007</v>
      </c>
      <c r="AU176" s="373">
        <v>49364.789999999994</v>
      </c>
    </row>
    <row r="177" spans="1:47">
      <c r="A177" s="268" t="s">
        <v>767</v>
      </c>
      <c r="B177" s="238" t="s">
        <v>1439</v>
      </c>
      <c r="C177" s="266">
        <v>0</v>
      </c>
      <c r="D177" s="266">
        <v>0</v>
      </c>
      <c r="E177" s="266">
        <v>0</v>
      </c>
      <c r="F177" s="266">
        <v>0</v>
      </c>
      <c r="G177" s="266">
        <v>0</v>
      </c>
      <c r="H177" s="266">
        <v>0</v>
      </c>
      <c r="I177" s="266">
        <v>0</v>
      </c>
      <c r="J177" s="266">
        <v>0</v>
      </c>
      <c r="K177" s="266">
        <v>0</v>
      </c>
      <c r="L177" s="266">
        <v>0</v>
      </c>
      <c r="M177" s="266">
        <v>0</v>
      </c>
      <c r="N177" s="266">
        <v>0</v>
      </c>
      <c r="O177" s="123">
        <v>0</v>
      </c>
      <c r="P177" s="123">
        <v>0</v>
      </c>
      <c r="Q177" s="266">
        <v>0</v>
      </c>
      <c r="R177" s="266">
        <v>0</v>
      </c>
      <c r="S177" s="266">
        <v>0</v>
      </c>
      <c r="T177" s="266">
        <v>0</v>
      </c>
      <c r="U177" s="266">
        <v>0</v>
      </c>
      <c r="V177" s="266">
        <v>0</v>
      </c>
      <c r="W177" s="266">
        <v>0</v>
      </c>
      <c r="X177" s="266">
        <v>0</v>
      </c>
      <c r="Y177" s="266">
        <v>0</v>
      </c>
      <c r="Z177" s="266">
        <v>0</v>
      </c>
      <c r="AA177" s="266">
        <v>0</v>
      </c>
      <c r="AB177" s="266">
        <v>0</v>
      </c>
      <c r="AC177" s="266">
        <v>0</v>
      </c>
      <c r="AD177" s="266">
        <v>0</v>
      </c>
      <c r="AE177" s="237">
        <v>0</v>
      </c>
      <c r="AF177" s="266">
        <v>0</v>
      </c>
      <c r="AG177" s="237">
        <f t="shared" si="55"/>
        <v>0</v>
      </c>
      <c r="AH177" s="237">
        <f t="shared" si="56"/>
        <v>0</v>
      </c>
      <c r="AI177" s="237">
        <f t="shared" si="57"/>
        <v>0</v>
      </c>
      <c r="AJ177" s="237">
        <v>0</v>
      </c>
      <c r="AK177" s="266">
        <v>0</v>
      </c>
      <c r="AL177" s="237">
        <f t="shared" si="58"/>
        <v>0</v>
      </c>
      <c r="AM177" s="237">
        <f t="shared" si="59"/>
        <v>0</v>
      </c>
      <c r="AN177" s="237">
        <f t="shared" si="60"/>
        <v>0</v>
      </c>
      <c r="AO177" s="266">
        <v>0</v>
      </c>
      <c r="AP177" s="266">
        <v>0</v>
      </c>
      <c r="AQ177" s="266">
        <v>0</v>
      </c>
      <c r="AR177" s="266">
        <v>0</v>
      </c>
      <c r="AS177" s="358">
        <v>0</v>
      </c>
      <c r="AT177" s="371">
        <v>0</v>
      </c>
      <c r="AU177" s="373"/>
    </row>
    <row r="178" spans="1:47">
      <c r="A178" s="238" t="s">
        <v>271</v>
      </c>
      <c r="B178" s="238" t="s">
        <v>1440</v>
      </c>
      <c r="C178" s="266">
        <v>0</v>
      </c>
      <c r="D178" s="266">
        <v>0</v>
      </c>
      <c r="E178" s="266">
        <v>92798.19</v>
      </c>
      <c r="F178" s="266">
        <v>55937.78</v>
      </c>
      <c r="G178" s="266">
        <v>2569747.2000000002</v>
      </c>
      <c r="H178" s="266">
        <v>569730.17000000004</v>
      </c>
      <c r="I178" s="266">
        <v>95530.69</v>
      </c>
      <c r="J178" s="266">
        <v>578594.64</v>
      </c>
      <c r="K178" s="266">
        <v>946773.88</v>
      </c>
      <c r="L178" s="266">
        <v>1114743.92</v>
      </c>
      <c r="M178" s="266">
        <v>56657.63</v>
      </c>
      <c r="N178" s="266">
        <v>1508732.47</v>
      </c>
      <c r="O178" s="123">
        <v>2.7699999999999999E-2</v>
      </c>
      <c r="P178" s="123">
        <v>0.18190000000000001</v>
      </c>
      <c r="Q178" s="266">
        <v>0</v>
      </c>
      <c r="R178" s="266">
        <v>0</v>
      </c>
      <c r="S178" s="266">
        <v>0</v>
      </c>
      <c r="T178" s="266">
        <v>0</v>
      </c>
      <c r="U178" s="266">
        <v>0</v>
      </c>
      <c r="V178" s="266">
        <v>0</v>
      </c>
      <c r="W178" s="266">
        <v>0</v>
      </c>
      <c r="X178" s="266">
        <v>0</v>
      </c>
      <c r="Y178" s="266">
        <v>0</v>
      </c>
      <c r="Z178" s="266">
        <v>403.99</v>
      </c>
      <c r="AA178" s="266">
        <v>341.93</v>
      </c>
      <c r="AB178" s="266">
        <v>67004.59</v>
      </c>
      <c r="AC178" s="266">
        <v>59132.09</v>
      </c>
      <c r="AD178" s="266">
        <v>804032.97</v>
      </c>
      <c r="AE178" s="237">
        <v>95.85</v>
      </c>
      <c r="AF178" s="266">
        <v>747943.79</v>
      </c>
      <c r="AG178" s="237">
        <f t="shared" si="55"/>
        <v>7803.2737610850299</v>
      </c>
      <c r="AH178" s="237">
        <f t="shared" si="56"/>
        <v>8388.450391236307</v>
      </c>
      <c r="AI178" s="237">
        <f t="shared" si="57"/>
        <v>585.1766301512771</v>
      </c>
      <c r="AJ178" s="237">
        <v>7.19</v>
      </c>
      <c r="AK178" s="266">
        <v>54162.95</v>
      </c>
      <c r="AL178" s="237">
        <f t="shared" si="58"/>
        <v>7533.0945757997206</v>
      </c>
      <c r="AM178" s="237">
        <f t="shared" si="59"/>
        <v>8224.2127955493725</v>
      </c>
      <c r="AN178" s="237">
        <f t="shared" si="60"/>
        <v>691.11821974965187</v>
      </c>
      <c r="AO178" s="266">
        <v>0</v>
      </c>
      <c r="AP178" s="266">
        <v>0</v>
      </c>
      <c r="AQ178" s="266">
        <v>0</v>
      </c>
      <c r="AR178" s="266">
        <v>0</v>
      </c>
      <c r="AS178" s="358">
        <v>146527.24</v>
      </c>
      <c r="AT178" s="371">
        <v>12259.650000000001</v>
      </c>
      <c r="AU178" s="373">
        <v>145011.26</v>
      </c>
    </row>
    <row r="179" spans="1:47">
      <c r="A179" s="238" t="s">
        <v>381</v>
      </c>
      <c r="B179" s="238" t="s">
        <v>1441</v>
      </c>
      <c r="C179" s="266">
        <v>0</v>
      </c>
      <c r="D179" s="266">
        <v>0</v>
      </c>
      <c r="E179" s="266">
        <v>108458.45</v>
      </c>
      <c r="F179" s="266">
        <v>591.23</v>
      </c>
      <c r="G179" s="266">
        <v>9179504.5899999999</v>
      </c>
      <c r="H179" s="266">
        <v>1354316.75</v>
      </c>
      <c r="I179" s="266">
        <v>639930.77</v>
      </c>
      <c r="J179" s="266">
        <v>124385.74</v>
      </c>
      <c r="K179" s="266">
        <v>1362945.44</v>
      </c>
      <c r="L179" s="266">
        <v>446917.88</v>
      </c>
      <c r="M179" s="266">
        <v>185750.84</v>
      </c>
      <c r="N179" s="266">
        <v>3258207.09</v>
      </c>
      <c r="O179" s="123">
        <v>0.08</v>
      </c>
      <c r="P179" s="123">
        <v>0.21029999999999999</v>
      </c>
      <c r="Q179" s="266">
        <v>0</v>
      </c>
      <c r="R179" s="266">
        <v>0</v>
      </c>
      <c r="S179" s="266">
        <v>0</v>
      </c>
      <c r="T179" s="266">
        <v>0</v>
      </c>
      <c r="U179" s="266">
        <v>0</v>
      </c>
      <c r="V179" s="266">
        <v>0</v>
      </c>
      <c r="W179" s="266">
        <v>0</v>
      </c>
      <c r="X179" s="266">
        <v>0</v>
      </c>
      <c r="Y179" s="266">
        <v>0</v>
      </c>
      <c r="Z179" s="266">
        <v>6703.08</v>
      </c>
      <c r="AA179" s="266">
        <v>47636.68</v>
      </c>
      <c r="AB179" s="266">
        <v>180241.33</v>
      </c>
      <c r="AC179" s="266">
        <v>799289.96</v>
      </c>
      <c r="AD179" s="266">
        <v>2405432.12</v>
      </c>
      <c r="AE179" s="237">
        <v>248.2</v>
      </c>
      <c r="AF179" s="266">
        <v>2179082.58</v>
      </c>
      <c r="AG179" s="237">
        <f t="shared" si="55"/>
        <v>8779.5430298146657</v>
      </c>
      <c r="AH179" s="237">
        <f t="shared" si="56"/>
        <v>9691.5073327961327</v>
      </c>
      <c r="AI179" s="237">
        <f t="shared" si="57"/>
        <v>911.96430298146697</v>
      </c>
      <c r="AJ179" s="237">
        <v>86.15</v>
      </c>
      <c r="AK179" s="266">
        <v>732232.72</v>
      </c>
      <c r="AL179" s="237">
        <f t="shared" si="58"/>
        <v>8499.5092280905392</v>
      </c>
      <c r="AM179" s="237">
        <f t="shared" si="59"/>
        <v>9277.88694138131</v>
      </c>
      <c r="AN179" s="237">
        <f t="shared" si="60"/>
        <v>778.37771329077077</v>
      </c>
      <c r="AO179" s="266">
        <v>0</v>
      </c>
      <c r="AP179" s="266">
        <v>0</v>
      </c>
      <c r="AQ179" s="266">
        <v>0</v>
      </c>
      <c r="AR179" s="266">
        <v>0</v>
      </c>
      <c r="AS179" s="358">
        <v>0</v>
      </c>
      <c r="AT179" s="371">
        <v>0</v>
      </c>
      <c r="AU179" s="373">
        <v>410067.51000000007</v>
      </c>
    </row>
    <row r="180" spans="1:47">
      <c r="A180" s="238" t="s">
        <v>471</v>
      </c>
      <c r="B180" s="238" t="s">
        <v>1442</v>
      </c>
      <c r="C180" s="266">
        <v>0</v>
      </c>
      <c r="D180" s="266">
        <v>0</v>
      </c>
      <c r="E180" s="266">
        <v>0</v>
      </c>
      <c r="F180" s="266">
        <v>0</v>
      </c>
      <c r="G180" s="266">
        <v>3233040.33</v>
      </c>
      <c r="H180" s="266">
        <v>525899.19999999995</v>
      </c>
      <c r="I180" s="266">
        <v>181821.76</v>
      </c>
      <c r="J180" s="266">
        <v>444877.27</v>
      </c>
      <c r="K180" s="266">
        <v>823906.28</v>
      </c>
      <c r="L180" s="266">
        <v>487972.74</v>
      </c>
      <c r="M180" s="266">
        <v>67253.56</v>
      </c>
      <c r="N180" s="266">
        <v>2095470.7</v>
      </c>
      <c r="O180" s="123">
        <v>4.1799999999999997E-2</v>
      </c>
      <c r="P180" s="123">
        <v>0.2225</v>
      </c>
      <c r="Q180" s="266">
        <v>0</v>
      </c>
      <c r="R180" s="266">
        <v>0</v>
      </c>
      <c r="S180" s="266">
        <v>0</v>
      </c>
      <c r="T180" s="266">
        <v>0</v>
      </c>
      <c r="U180" s="266">
        <v>0</v>
      </c>
      <c r="V180" s="266">
        <v>0</v>
      </c>
      <c r="W180" s="266">
        <v>0</v>
      </c>
      <c r="X180" s="266">
        <v>0</v>
      </c>
      <c r="Y180" s="266">
        <v>0</v>
      </c>
      <c r="Z180" s="266">
        <v>2569.92</v>
      </c>
      <c r="AA180" s="266">
        <v>22524.3</v>
      </c>
      <c r="AB180" s="266">
        <v>97328.78</v>
      </c>
      <c r="AC180" s="266">
        <v>710753.54</v>
      </c>
      <c r="AD180" s="266">
        <v>1142811.1599999999</v>
      </c>
      <c r="AE180" s="237">
        <v>130.12</v>
      </c>
      <c r="AF180" s="266">
        <v>1057753.3999999999</v>
      </c>
      <c r="AG180" s="237">
        <f t="shared" si="55"/>
        <v>8129.0608668920986</v>
      </c>
      <c r="AH180" s="237">
        <f t="shared" si="56"/>
        <v>8782.7479249923144</v>
      </c>
      <c r="AI180" s="237">
        <f t="shared" si="57"/>
        <v>653.68705810021584</v>
      </c>
      <c r="AJ180" s="237">
        <v>82.85</v>
      </c>
      <c r="AK180" s="266">
        <v>650882.65</v>
      </c>
      <c r="AL180" s="237">
        <f t="shared" si="58"/>
        <v>7856.157513578758</v>
      </c>
      <c r="AM180" s="237">
        <f t="shared" si="59"/>
        <v>8578.7995171997591</v>
      </c>
      <c r="AN180" s="237">
        <f t="shared" si="60"/>
        <v>722.64200362100109</v>
      </c>
      <c r="AO180" s="266">
        <v>39.6</v>
      </c>
      <c r="AP180" s="266">
        <v>0</v>
      </c>
      <c r="AQ180" s="266">
        <v>0</v>
      </c>
      <c r="AR180" s="266">
        <v>0</v>
      </c>
      <c r="AS180" s="358">
        <v>0</v>
      </c>
      <c r="AT180" s="371">
        <v>25235.920000000006</v>
      </c>
      <c r="AU180" s="373">
        <v>158180.90000000002</v>
      </c>
    </row>
    <row r="181" spans="1:47">
      <c r="A181" s="238" t="s">
        <v>500</v>
      </c>
      <c r="B181" s="238" t="s">
        <v>1443</v>
      </c>
      <c r="C181" s="266">
        <v>0</v>
      </c>
      <c r="D181" s="266">
        <v>0</v>
      </c>
      <c r="E181" s="266">
        <v>2815.12</v>
      </c>
      <c r="F181" s="266">
        <v>0</v>
      </c>
      <c r="G181" s="266">
        <v>56391.77</v>
      </c>
      <c r="H181" s="266">
        <v>5242.51</v>
      </c>
      <c r="I181" s="266">
        <v>0</v>
      </c>
      <c r="J181" s="266">
        <v>18599.740000000002</v>
      </c>
      <c r="K181" s="266">
        <v>28519.58</v>
      </c>
      <c r="L181" s="266">
        <v>0</v>
      </c>
      <c r="M181" s="266">
        <v>0</v>
      </c>
      <c r="N181" s="266">
        <v>149249.41</v>
      </c>
      <c r="O181" s="123">
        <v>9.2499999999999999E-2</v>
      </c>
      <c r="P181" s="123">
        <v>0.38169999999999998</v>
      </c>
      <c r="Q181" s="266">
        <v>0</v>
      </c>
      <c r="R181" s="266">
        <v>0</v>
      </c>
      <c r="S181" s="266">
        <v>0</v>
      </c>
      <c r="T181" s="266">
        <v>0</v>
      </c>
      <c r="U181" s="266">
        <v>0</v>
      </c>
      <c r="V181" s="266">
        <v>0</v>
      </c>
      <c r="W181" s="266">
        <v>0</v>
      </c>
      <c r="X181" s="266">
        <v>0</v>
      </c>
      <c r="Y181" s="266">
        <v>0</v>
      </c>
      <c r="Z181" s="266">
        <v>76.84</v>
      </c>
      <c r="AA181" s="266">
        <v>0</v>
      </c>
      <c r="AB181" s="266">
        <v>0</v>
      </c>
      <c r="AC181" s="266">
        <v>0</v>
      </c>
      <c r="AD181" s="266">
        <v>0</v>
      </c>
      <c r="AE181" s="237">
        <v>0</v>
      </c>
      <c r="AF181" s="266">
        <v>0</v>
      </c>
      <c r="AG181" s="237">
        <f t="shared" si="55"/>
        <v>0</v>
      </c>
      <c r="AH181" s="237">
        <f t="shared" si="56"/>
        <v>0</v>
      </c>
      <c r="AI181" s="237">
        <f t="shared" si="57"/>
        <v>0</v>
      </c>
      <c r="AJ181" s="237">
        <v>0</v>
      </c>
      <c r="AK181" s="266">
        <v>0</v>
      </c>
      <c r="AL181" s="237">
        <f t="shared" si="58"/>
        <v>0</v>
      </c>
      <c r="AM181" s="237">
        <f t="shared" si="59"/>
        <v>0</v>
      </c>
      <c r="AN181" s="237">
        <f t="shared" si="60"/>
        <v>0</v>
      </c>
      <c r="AO181" s="266">
        <v>0</v>
      </c>
      <c r="AP181" s="266">
        <v>0</v>
      </c>
      <c r="AQ181" s="266">
        <v>0</v>
      </c>
      <c r="AR181" s="266">
        <v>0</v>
      </c>
      <c r="AS181" s="358">
        <v>12609.92</v>
      </c>
      <c r="AT181" s="371">
        <v>296.81999999999971</v>
      </c>
      <c r="AU181" s="373">
        <v>12351.45</v>
      </c>
    </row>
    <row r="182" spans="1:47">
      <c r="A182" s="238" t="s">
        <v>645</v>
      </c>
      <c r="B182" s="238" t="s">
        <v>1444</v>
      </c>
      <c r="C182" s="266">
        <v>0</v>
      </c>
      <c r="D182" s="266">
        <v>0</v>
      </c>
      <c r="E182" s="266">
        <v>0</v>
      </c>
      <c r="F182" s="266">
        <v>0</v>
      </c>
      <c r="G182" s="266">
        <v>22500775.890000001</v>
      </c>
      <c r="H182" s="266">
        <v>4428008.5</v>
      </c>
      <c r="I182" s="266">
        <v>1093513.73</v>
      </c>
      <c r="J182" s="266">
        <v>770806.07</v>
      </c>
      <c r="K182" s="266">
        <v>4101262.56</v>
      </c>
      <c r="L182" s="266">
        <v>1329250.74</v>
      </c>
      <c r="M182" s="266">
        <v>440661.38</v>
      </c>
      <c r="N182" s="266">
        <v>7814415.54</v>
      </c>
      <c r="O182" s="123">
        <v>3.95E-2</v>
      </c>
      <c r="P182" s="123">
        <v>0.15190000000000001</v>
      </c>
      <c r="Q182" s="266">
        <v>0</v>
      </c>
      <c r="R182" s="266">
        <v>0</v>
      </c>
      <c r="S182" s="266">
        <v>0</v>
      </c>
      <c r="T182" s="266">
        <v>0</v>
      </c>
      <c r="U182" s="266">
        <v>0</v>
      </c>
      <c r="V182" s="266">
        <v>0</v>
      </c>
      <c r="W182" s="266">
        <v>0</v>
      </c>
      <c r="X182" s="266">
        <v>0</v>
      </c>
      <c r="Y182" s="266">
        <v>0</v>
      </c>
      <c r="Z182" s="266">
        <v>17259.39</v>
      </c>
      <c r="AA182" s="266">
        <v>791.94</v>
      </c>
      <c r="AB182" s="266">
        <v>14770.09</v>
      </c>
      <c r="AC182" s="266">
        <v>1804193.03</v>
      </c>
      <c r="AD182" s="266">
        <v>6413670.0999999996</v>
      </c>
      <c r="AE182" s="237">
        <v>714.23</v>
      </c>
      <c r="AF182" s="266">
        <v>5805979.6100000003</v>
      </c>
      <c r="AG182" s="237">
        <f t="shared" si="55"/>
        <v>8129.0055164302821</v>
      </c>
      <c r="AH182" s="237">
        <f t="shared" si="56"/>
        <v>8979.8385674082565</v>
      </c>
      <c r="AI182" s="237">
        <f t="shared" si="57"/>
        <v>850.83305097797438</v>
      </c>
      <c r="AJ182" s="237">
        <v>210.3</v>
      </c>
      <c r="AK182" s="266">
        <v>1652312.17</v>
      </c>
      <c r="AL182" s="237">
        <f t="shared" si="58"/>
        <v>7856.9290061816446</v>
      </c>
      <c r="AM182" s="237">
        <f t="shared" si="59"/>
        <v>8579.1394674274834</v>
      </c>
      <c r="AN182" s="237">
        <f t="shared" si="60"/>
        <v>722.21046124583881</v>
      </c>
      <c r="AO182" s="266">
        <v>2966.55</v>
      </c>
      <c r="AP182" s="266">
        <v>0</v>
      </c>
      <c r="AQ182" s="266">
        <v>0</v>
      </c>
      <c r="AR182" s="266">
        <v>0</v>
      </c>
      <c r="AS182" s="358">
        <v>796621.23</v>
      </c>
      <c r="AT182" s="371">
        <v>0</v>
      </c>
      <c r="AU182" s="373">
        <v>1017027.0499999999</v>
      </c>
    </row>
    <row r="183" spans="1:47">
      <c r="A183" s="238" t="s">
        <v>639</v>
      </c>
      <c r="B183" s="238" t="s">
        <v>1445</v>
      </c>
      <c r="C183" s="266">
        <v>0</v>
      </c>
      <c r="D183" s="266">
        <v>0</v>
      </c>
      <c r="E183" s="266">
        <v>0</v>
      </c>
      <c r="F183" s="266">
        <v>6199.56</v>
      </c>
      <c r="G183" s="266">
        <v>195683</v>
      </c>
      <c r="H183" s="266">
        <v>34457.11</v>
      </c>
      <c r="I183" s="266">
        <v>0</v>
      </c>
      <c r="J183" s="266">
        <v>47023.92</v>
      </c>
      <c r="K183" s="266">
        <v>92140.2</v>
      </c>
      <c r="L183" s="266">
        <v>0</v>
      </c>
      <c r="M183" s="266">
        <v>5818.38</v>
      </c>
      <c r="N183" s="266">
        <v>281101.93</v>
      </c>
      <c r="O183" s="123">
        <v>3.4700000000000002E-2</v>
      </c>
      <c r="P183" s="123">
        <v>0.23350000000000001</v>
      </c>
      <c r="Q183" s="266">
        <v>0</v>
      </c>
      <c r="R183" s="266">
        <v>0</v>
      </c>
      <c r="S183" s="266">
        <v>0</v>
      </c>
      <c r="T183" s="266">
        <v>0</v>
      </c>
      <c r="U183" s="266">
        <v>0</v>
      </c>
      <c r="V183" s="266">
        <v>0</v>
      </c>
      <c r="W183" s="266">
        <v>0</v>
      </c>
      <c r="X183" s="266">
        <v>0</v>
      </c>
      <c r="Y183" s="266">
        <v>0</v>
      </c>
      <c r="Z183" s="266">
        <v>0</v>
      </c>
      <c r="AA183" s="266">
        <v>0</v>
      </c>
      <c r="AB183" s="266">
        <v>10234.4</v>
      </c>
      <c r="AC183" s="266">
        <v>0</v>
      </c>
      <c r="AD183" s="266">
        <v>35592.58</v>
      </c>
      <c r="AE183" s="237">
        <v>3.77</v>
      </c>
      <c r="AF183" s="266">
        <v>29396.49</v>
      </c>
      <c r="AG183" s="237">
        <f t="shared" si="55"/>
        <v>7797.477453580902</v>
      </c>
      <c r="AH183" s="237">
        <f t="shared" si="56"/>
        <v>9441.0026525198937</v>
      </c>
      <c r="AI183" s="237">
        <f t="shared" si="57"/>
        <v>1643.5251989389917</v>
      </c>
      <c r="AJ183" s="237">
        <v>0</v>
      </c>
      <c r="AK183" s="266">
        <v>0</v>
      </c>
      <c r="AL183" s="237">
        <f t="shared" si="58"/>
        <v>0</v>
      </c>
      <c r="AM183" s="237">
        <f t="shared" si="59"/>
        <v>0</v>
      </c>
      <c r="AN183" s="237">
        <f t="shared" si="60"/>
        <v>0</v>
      </c>
      <c r="AO183" s="266">
        <v>0</v>
      </c>
      <c r="AP183" s="266">
        <v>0</v>
      </c>
      <c r="AQ183" s="266">
        <v>0</v>
      </c>
      <c r="AR183" s="266">
        <v>0</v>
      </c>
      <c r="AS183" s="358">
        <v>0</v>
      </c>
      <c r="AT183" s="371">
        <v>1411.3899999999994</v>
      </c>
      <c r="AU183" s="373">
        <v>15451.06</v>
      </c>
    </row>
    <row r="184" spans="1:47">
      <c r="A184" s="238" t="s">
        <v>375</v>
      </c>
      <c r="B184" s="238" t="s">
        <v>1446</v>
      </c>
      <c r="C184" s="266">
        <v>0</v>
      </c>
      <c r="D184" s="266">
        <v>0</v>
      </c>
      <c r="E184" s="266">
        <v>0</v>
      </c>
      <c r="F184" s="266">
        <v>0</v>
      </c>
      <c r="G184" s="266">
        <v>33316350.890000001</v>
      </c>
      <c r="H184" s="266">
        <v>6163258.0700000003</v>
      </c>
      <c r="I184" s="266">
        <v>2131448.4500000002</v>
      </c>
      <c r="J184" s="266">
        <v>0</v>
      </c>
      <c r="K184" s="266">
        <v>2174156.77</v>
      </c>
      <c r="L184" s="266">
        <v>3575776.04</v>
      </c>
      <c r="M184" s="266">
        <v>734946.43</v>
      </c>
      <c r="N184" s="266">
        <v>11452715.17</v>
      </c>
      <c r="O184" s="123">
        <v>3.0700000000000002E-2</v>
      </c>
      <c r="P184" s="123">
        <v>0.12559999999999999</v>
      </c>
      <c r="Q184" s="266">
        <v>0</v>
      </c>
      <c r="R184" s="266">
        <v>0</v>
      </c>
      <c r="S184" s="266">
        <v>0</v>
      </c>
      <c r="T184" s="266">
        <v>146425.09</v>
      </c>
      <c r="U184" s="266">
        <v>0</v>
      </c>
      <c r="V184" s="266">
        <v>6052.44</v>
      </c>
      <c r="W184" s="266">
        <v>0</v>
      </c>
      <c r="X184" s="266">
        <v>0</v>
      </c>
      <c r="Y184" s="266">
        <v>0</v>
      </c>
      <c r="Z184" s="266">
        <v>15014.41</v>
      </c>
      <c r="AA184" s="266">
        <v>25790.45</v>
      </c>
      <c r="AB184" s="266">
        <v>0</v>
      </c>
      <c r="AC184" s="266">
        <v>1713950.88</v>
      </c>
      <c r="AD184" s="266">
        <v>8007059.79</v>
      </c>
      <c r="AE184" s="237">
        <v>845.87</v>
      </c>
      <c r="AF184" s="266">
        <v>7426308.2699999996</v>
      </c>
      <c r="AG184" s="237">
        <f t="shared" si="55"/>
        <v>8779.4912575218405</v>
      </c>
      <c r="AH184" s="237">
        <f t="shared" si="56"/>
        <v>9466.0642770165632</v>
      </c>
      <c r="AI184" s="237">
        <f t="shared" si="57"/>
        <v>686.57301949472276</v>
      </c>
      <c r="AJ184" s="237">
        <v>184.77</v>
      </c>
      <c r="AK184" s="266">
        <v>1570296.82</v>
      </c>
      <c r="AL184" s="237">
        <f t="shared" si="58"/>
        <v>8498.6568165827794</v>
      </c>
      <c r="AM184" s="237">
        <f t="shared" si="59"/>
        <v>9276.1318395843464</v>
      </c>
      <c r="AN184" s="237">
        <f t="shared" si="60"/>
        <v>777.47502300156702</v>
      </c>
      <c r="AO184" s="266">
        <v>0</v>
      </c>
      <c r="AP184" s="266">
        <v>0</v>
      </c>
      <c r="AQ184" s="266">
        <v>0</v>
      </c>
      <c r="AR184" s="266">
        <v>0</v>
      </c>
      <c r="AS184" s="358">
        <v>1609716.93</v>
      </c>
      <c r="AT184" s="371">
        <v>40720.999999999884</v>
      </c>
      <c r="AU184" s="373">
        <v>1606706.9</v>
      </c>
    </row>
    <row r="185" spans="1:47">
      <c r="A185" s="238" t="s">
        <v>772</v>
      </c>
      <c r="B185" s="238" t="s">
        <v>1447</v>
      </c>
      <c r="C185" s="266">
        <v>0</v>
      </c>
      <c r="D185" s="266">
        <v>0</v>
      </c>
      <c r="E185" s="266">
        <v>0</v>
      </c>
      <c r="F185" s="266">
        <v>0</v>
      </c>
      <c r="G185" s="266">
        <v>0</v>
      </c>
      <c r="H185" s="266">
        <v>0</v>
      </c>
      <c r="I185" s="266">
        <v>0</v>
      </c>
      <c r="J185" s="266">
        <v>0</v>
      </c>
      <c r="K185" s="266">
        <v>0</v>
      </c>
      <c r="L185" s="266">
        <v>0</v>
      </c>
      <c r="M185" s="266">
        <v>0</v>
      </c>
      <c r="N185" s="266">
        <v>0</v>
      </c>
      <c r="O185" s="123">
        <v>0</v>
      </c>
      <c r="P185" s="123">
        <v>0</v>
      </c>
      <c r="Q185" s="266">
        <v>0</v>
      </c>
      <c r="R185" s="266">
        <v>0</v>
      </c>
      <c r="S185" s="266">
        <v>0</v>
      </c>
      <c r="T185" s="266">
        <v>676842.63</v>
      </c>
      <c r="U185" s="266">
        <v>0</v>
      </c>
      <c r="V185" s="266">
        <v>27672.85</v>
      </c>
      <c r="W185" s="266">
        <v>0</v>
      </c>
      <c r="X185" s="266">
        <v>0</v>
      </c>
      <c r="Y185" s="266">
        <v>0</v>
      </c>
      <c r="Z185" s="266">
        <v>0</v>
      </c>
      <c r="AA185" s="266">
        <v>0</v>
      </c>
      <c r="AB185" s="266">
        <v>0</v>
      </c>
      <c r="AC185" s="266">
        <v>0</v>
      </c>
      <c r="AD185" s="266">
        <v>0</v>
      </c>
      <c r="AE185" s="237">
        <v>0</v>
      </c>
      <c r="AF185" s="266">
        <v>0</v>
      </c>
      <c r="AG185" s="237">
        <f t="shared" si="55"/>
        <v>0</v>
      </c>
      <c r="AH185" s="237">
        <f t="shared" si="56"/>
        <v>0</v>
      </c>
      <c r="AI185" s="237">
        <f t="shared" si="57"/>
        <v>0</v>
      </c>
      <c r="AJ185" s="237">
        <v>0</v>
      </c>
      <c r="AK185" s="266">
        <v>0</v>
      </c>
      <c r="AL185" s="237">
        <f t="shared" si="58"/>
        <v>0</v>
      </c>
      <c r="AM185" s="237">
        <f t="shared" si="59"/>
        <v>0</v>
      </c>
      <c r="AN185" s="237">
        <f t="shared" si="60"/>
        <v>0</v>
      </c>
      <c r="AO185" s="266">
        <v>0</v>
      </c>
      <c r="AP185" s="266">
        <v>0</v>
      </c>
      <c r="AQ185" s="266">
        <v>0</v>
      </c>
      <c r="AR185" s="266">
        <v>0</v>
      </c>
      <c r="AS185" s="358">
        <v>0</v>
      </c>
      <c r="AT185" s="371">
        <v>0</v>
      </c>
      <c r="AU185" s="373"/>
    </row>
    <row r="186" spans="1:47">
      <c r="A186" s="238" t="s">
        <v>325</v>
      </c>
      <c r="B186" s="238" t="s">
        <v>1448</v>
      </c>
      <c r="C186" s="266">
        <v>0</v>
      </c>
      <c r="D186" s="266">
        <v>0</v>
      </c>
      <c r="E186" s="266">
        <v>139108.1</v>
      </c>
      <c r="F186" s="266">
        <v>0</v>
      </c>
      <c r="G186" s="266">
        <v>9640159.0600000005</v>
      </c>
      <c r="H186" s="266">
        <v>2281483.4500000002</v>
      </c>
      <c r="I186" s="266">
        <v>779995.38</v>
      </c>
      <c r="J186" s="266">
        <v>296100</v>
      </c>
      <c r="K186" s="266">
        <v>1511163.79</v>
      </c>
      <c r="L186" s="266">
        <v>391865.11</v>
      </c>
      <c r="M186" s="266">
        <v>177554.62</v>
      </c>
      <c r="N186" s="266">
        <v>2405067.9500000002</v>
      </c>
      <c r="O186" s="123">
        <v>3.9899999999999998E-2</v>
      </c>
      <c r="P186" s="123">
        <v>0.16289999999999999</v>
      </c>
      <c r="Q186" s="266">
        <v>0</v>
      </c>
      <c r="R186" s="266">
        <v>0</v>
      </c>
      <c r="S186" s="266">
        <v>0</v>
      </c>
      <c r="T186" s="266">
        <v>0</v>
      </c>
      <c r="U186" s="266">
        <v>0</v>
      </c>
      <c r="V186" s="266">
        <v>0</v>
      </c>
      <c r="W186" s="266">
        <v>0</v>
      </c>
      <c r="X186" s="266">
        <v>0</v>
      </c>
      <c r="Y186" s="266">
        <v>0</v>
      </c>
      <c r="Z186" s="266">
        <v>0</v>
      </c>
      <c r="AA186" s="266">
        <v>32777.24</v>
      </c>
      <c r="AB186" s="266">
        <v>274227.28000000003</v>
      </c>
      <c r="AC186" s="266">
        <v>453820.34</v>
      </c>
      <c r="AD186" s="266">
        <v>3506601.33</v>
      </c>
      <c r="AE186" s="237">
        <v>386.06</v>
      </c>
      <c r="AF186" s="266">
        <v>3263855.97</v>
      </c>
      <c r="AG186" s="237">
        <f t="shared" si="55"/>
        <v>8454.2712790757923</v>
      </c>
      <c r="AH186" s="237">
        <f t="shared" si="56"/>
        <v>9083.0475314717914</v>
      </c>
      <c r="AI186" s="237">
        <f t="shared" si="57"/>
        <v>628.77625239599911</v>
      </c>
      <c r="AJ186" s="237">
        <v>50.84</v>
      </c>
      <c r="AK186" s="266">
        <v>415645.12</v>
      </c>
      <c r="AL186" s="237">
        <f t="shared" si="58"/>
        <v>8175.5531077891419</v>
      </c>
      <c r="AM186" s="237">
        <f t="shared" si="59"/>
        <v>8926.4425649095192</v>
      </c>
      <c r="AN186" s="237">
        <f t="shared" si="60"/>
        <v>750.8894571203773</v>
      </c>
      <c r="AO186" s="266">
        <v>0</v>
      </c>
      <c r="AP186" s="266">
        <v>0</v>
      </c>
      <c r="AQ186" s="266">
        <v>0</v>
      </c>
      <c r="AR186" s="266">
        <v>0</v>
      </c>
      <c r="AS186" s="358">
        <v>0</v>
      </c>
      <c r="AT186" s="371">
        <v>47274.320000000007</v>
      </c>
      <c r="AU186" s="373">
        <v>409732.80000000005</v>
      </c>
    </row>
    <row r="187" spans="1:47">
      <c r="A187" s="238" t="s">
        <v>712</v>
      </c>
      <c r="B187" s="238" t="s">
        <v>1449</v>
      </c>
      <c r="C187" s="266">
        <v>0</v>
      </c>
      <c r="D187" s="266">
        <v>0</v>
      </c>
      <c r="E187" s="266">
        <v>31.66</v>
      </c>
      <c r="F187" s="266">
        <v>0</v>
      </c>
      <c r="G187" s="266">
        <v>105327.57</v>
      </c>
      <c r="H187" s="266">
        <v>8126.52</v>
      </c>
      <c r="I187" s="266">
        <v>0</v>
      </c>
      <c r="J187" s="266">
        <v>0</v>
      </c>
      <c r="K187" s="266">
        <v>27931.16</v>
      </c>
      <c r="L187" s="266">
        <v>0</v>
      </c>
      <c r="M187" s="266">
        <v>3454.38</v>
      </c>
      <c r="N187" s="266">
        <v>356975.26</v>
      </c>
      <c r="O187" s="123">
        <v>4.87E-2</v>
      </c>
      <c r="P187" s="123">
        <v>0.30059999999999998</v>
      </c>
      <c r="Q187" s="266">
        <v>0</v>
      </c>
      <c r="R187" s="266">
        <v>0</v>
      </c>
      <c r="S187" s="266">
        <v>0</v>
      </c>
      <c r="T187" s="266">
        <v>0</v>
      </c>
      <c r="U187" s="266">
        <v>0</v>
      </c>
      <c r="V187" s="266">
        <v>0</v>
      </c>
      <c r="W187" s="266">
        <v>0</v>
      </c>
      <c r="X187" s="266">
        <v>0</v>
      </c>
      <c r="Y187" s="266">
        <v>0</v>
      </c>
      <c r="Z187" s="266">
        <v>0</v>
      </c>
      <c r="AA187" s="266">
        <v>844.21</v>
      </c>
      <c r="AB187" s="266">
        <v>552.91</v>
      </c>
      <c r="AC187" s="266">
        <v>13297.06</v>
      </c>
      <c r="AD187" s="266">
        <v>43092.95</v>
      </c>
      <c r="AE187" s="237">
        <v>4.75</v>
      </c>
      <c r="AF187" s="266">
        <v>37722.54</v>
      </c>
      <c r="AG187" s="237">
        <f t="shared" si="55"/>
        <v>7941.5873684210528</v>
      </c>
      <c r="AH187" s="237">
        <f t="shared" si="56"/>
        <v>9072.1999999999989</v>
      </c>
      <c r="AI187" s="237">
        <f t="shared" si="57"/>
        <v>1130.6126315789461</v>
      </c>
      <c r="AJ187" s="237">
        <v>1.57</v>
      </c>
      <c r="AK187" s="266">
        <v>12099.29</v>
      </c>
      <c r="AL187" s="237">
        <f t="shared" si="58"/>
        <v>7706.5541401273886</v>
      </c>
      <c r="AM187" s="237">
        <f t="shared" si="59"/>
        <v>8469.4649681528663</v>
      </c>
      <c r="AN187" s="237">
        <f t="shared" si="60"/>
        <v>762.91082802547771</v>
      </c>
      <c r="AO187" s="266">
        <v>0</v>
      </c>
      <c r="AP187" s="266">
        <v>0</v>
      </c>
      <c r="AQ187" s="266">
        <v>0</v>
      </c>
      <c r="AR187" s="266">
        <v>0</v>
      </c>
      <c r="AS187" s="358">
        <v>8203.31</v>
      </c>
      <c r="AT187" s="371">
        <v>318.81999999999971</v>
      </c>
      <c r="AU187" s="373">
        <v>14118.189999999999</v>
      </c>
    </row>
    <row r="188" spans="1:47">
      <c r="A188" s="238" t="s">
        <v>323</v>
      </c>
      <c r="B188" s="238" t="s">
        <v>1450</v>
      </c>
      <c r="C188" s="266">
        <v>0</v>
      </c>
      <c r="D188" s="266">
        <v>0</v>
      </c>
      <c r="E188" s="266">
        <v>1207.72</v>
      </c>
      <c r="F188" s="266">
        <v>5285.59</v>
      </c>
      <c r="G188" s="266">
        <v>353760.85</v>
      </c>
      <c r="H188" s="266">
        <v>43422.37</v>
      </c>
      <c r="I188" s="266">
        <v>26805.919999999998</v>
      </c>
      <c r="J188" s="266">
        <v>63620.62</v>
      </c>
      <c r="K188" s="266">
        <v>88706.38</v>
      </c>
      <c r="L188" s="266">
        <v>5331.91</v>
      </c>
      <c r="M188" s="266">
        <v>7726.05</v>
      </c>
      <c r="N188" s="266">
        <v>169076.58</v>
      </c>
      <c r="O188" s="123">
        <v>9.98E-2</v>
      </c>
      <c r="P188" s="123">
        <v>0.34549999999999997</v>
      </c>
      <c r="Q188" s="266">
        <v>0</v>
      </c>
      <c r="R188" s="266">
        <v>0</v>
      </c>
      <c r="S188" s="266">
        <v>0</v>
      </c>
      <c r="T188" s="266">
        <v>0</v>
      </c>
      <c r="U188" s="266">
        <v>0</v>
      </c>
      <c r="V188" s="266">
        <v>0</v>
      </c>
      <c r="W188" s="266">
        <v>0</v>
      </c>
      <c r="X188" s="266">
        <v>0</v>
      </c>
      <c r="Y188" s="266">
        <v>0</v>
      </c>
      <c r="Z188" s="266">
        <v>304.08999999999997</v>
      </c>
      <c r="AA188" s="266">
        <v>6707.87</v>
      </c>
      <c r="AB188" s="266">
        <v>3469.78</v>
      </c>
      <c r="AC188" s="266">
        <v>98994.32</v>
      </c>
      <c r="AD188" s="266">
        <v>263578.31</v>
      </c>
      <c r="AE188" s="237">
        <v>30.97</v>
      </c>
      <c r="AF188" s="266">
        <v>241715.52</v>
      </c>
      <c r="AG188" s="237">
        <f t="shared" si="55"/>
        <v>7804.8278979657734</v>
      </c>
      <c r="AH188" s="237">
        <f t="shared" si="56"/>
        <v>8510.7623506619311</v>
      </c>
      <c r="AI188" s="237">
        <f t="shared" si="57"/>
        <v>705.93445269615768</v>
      </c>
      <c r="AJ188" s="237">
        <v>12.02</v>
      </c>
      <c r="AK188" s="266">
        <v>90580.03</v>
      </c>
      <c r="AL188" s="237">
        <f t="shared" si="58"/>
        <v>7535.7762063227956</v>
      </c>
      <c r="AM188" s="237">
        <f t="shared" si="59"/>
        <v>8235.8003327787028</v>
      </c>
      <c r="AN188" s="237">
        <f t="shared" si="60"/>
        <v>700.02412645590721</v>
      </c>
      <c r="AO188" s="266">
        <v>1317.65</v>
      </c>
      <c r="AP188" s="266">
        <v>0</v>
      </c>
      <c r="AQ188" s="266">
        <v>0</v>
      </c>
      <c r="AR188" s="266">
        <v>0</v>
      </c>
      <c r="AS188" s="358">
        <v>0</v>
      </c>
      <c r="AT188" s="371">
        <v>0</v>
      </c>
      <c r="AU188" s="373">
        <v>22326.97</v>
      </c>
    </row>
    <row r="189" spans="1:47">
      <c r="A189" s="238" t="s">
        <v>491</v>
      </c>
      <c r="B189" s="238" t="s">
        <v>1451</v>
      </c>
      <c r="C189" s="266">
        <v>0</v>
      </c>
      <c r="D189" s="266">
        <v>0</v>
      </c>
      <c r="E189" s="266">
        <v>0</v>
      </c>
      <c r="F189" s="266">
        <v>27413.96</v>
      </c>
      <c r="G189" s="266">
        <v>0</v>
      </c>
      <c r="H189" s="266">
        <v>0</v>
      </c>
      <c r="I189" s="266">
        <v>0</v>
      </c>
      <c r="J189" s="266">
        <v>286721.98</v>
      </c>
      <c r="K189" s="266">
        <v>401849.52</v>
      </c>
      <c r="L189" s="266">
        <v>71840.509999999995</v>
      </c>
      <c r="M189" s="266">
        <v>28614.97</v>
      </c>
      <c r="N189" s="266">
        <v>905144.91</v>
      </c>
      <c r="O189" s="123">
        <v>4.9700000000000001E-2</v>
      </c>
      <c r="P189" s="123">
        <v>0.18390000000000001</v>
      </c>
      <c r="Q189" s="266">
        <v>0</v>
      </c>
      <c r="R189" s="266">
        <v>0</v>
      </c>
      <c r="S189" s="266">
        <v>0</v>
      </c>
      <c r="T189" s="266">
        <v>0</v>
      </c>
      <c r="U189" s="266">
        <v>0</v>
      </c>
      <c r="V189" s="266">
        <v>0</v>
      </c>
      <c r="W189" s="266">
        <v>0</v>
      </c>
      <c r="X189" s="266">
        <v>0</v>
      </c>
      <c r="Y189" s="266">
        <v>0</v>
      </c>
      <c r="Z189" s="266">
        <v>1163.6500000000001</v>
      </c>
      <c r="AA189" s="266">
        <v>0</v>
      </c>
      <c r="AB189" s="266">
        <v>47893.22</v>
      </c>
      <c r="AC189" s="266">
        <v>0</v>
      </c>
      <c r="AD189" s="266">
        <v>576409.27</v>
      </c>
      <c r="AE189" s="237">
        <v>69.8</v>
      </c>
      <c r="AF189" s="266">
        <v>544662.57999999996</v>
      </c>
      <c r="AG189" s="237">
        <f t="shared" si="55"/>
        <v>7803.1888252148992</v>
      </c>
      <c r="AH189" s="237">
        <f t="shared" si="56"/>
        <v>8258.0124641833809</v>
      </c>
      <c r="AI189" s="237">
        <f t="shared" si="57"/>
        <v>454.82363896848165</v>
      </c>
      <c r="AJ189" s="237">
        <v>0</v>
      </c>
      <c r="AK189" s="266">
        <v>0</v>
      </c>
      <c r="AL189" s="237">
        <f t="shared" si="58"/>
        <v>0</v>
      </c>
      <c r="AM189" s="237">
        <f t="shared" si="59"/>
        <v>0</v>
      </c>
      <c r="AN189" s="237">
        <f t="shared" si="60"/>
        <v>0</v>
      </c>
      <c r="AO189" s="266">
        <v>8990.9599999999991</v>
      </c>
      <c r="AP189" s="266">
        <v>1799.77</v>
      </c>
      <c r="AQ189" s="266">
        <v>0</v>
      </c>
      <c r="AR189" s="266">
        <v>0</v>
      </c>
      <c r="AS189" s="358">
        <v>83823.59</v>
      </c>
      <c r="AT189" s="371">
        <v>5202.3099999999977</v>
      </c>
      <c r="AU189" s="373">
        <v>56376.03</v>
      </c>
    </row>
    <row r="190" spans="1:47">
      <c r="A190" s="238" t="s">
        <v>321</v>
      </c>
      <c r="B190" s="238" t="s">
        <v>1452</v>
      </c>
      <c r="C190" s="266">
        <v>0</v>
      </c>
      <c r="D190" s="266">
        <v>0</v>
      </c>
      <c r="E190" s="266">
        <v>25504.17</v>
      </c>
      <c r="F190" s="266">
        <v>6207.61</v>
      </c>
      <c r="G190" s="266">
        <v>826836.96</v>
      </c>
      <c r="H190" s="266">
        <v>165579.79999999999</v>
      </c>
      <c r="I190" s="266">
        <v>62584.77</v>
      </c>
      <c r="J190" s="266">
        <v>171785.19</v>
      </c>
      <c r="K190" s="266">
        <v>288343.48</v>
      </c>
      <c r="L190" s="266">
        <v>78575.56</v>
      </c>
      <c r="M190" s="266">
        <v>16787.45</v>
      </c>
      <c r="N190" s="266">
        <v>491107.46</v>
      </c>
      <c r="O190" s="123">
        <v>1.44E-2</v>
      </c>
      <c r="P190" s="123">
        <v>0.2356</v>
      </c>
      <c r="Q190" s="266">
        <v>0</v>
      </c>
      <c r="R190" s="266">
        <v>0</v>
      </c>
      <c r="S190" s="266">
        <v>0</v>
      </c>
      <c r="T190" s="266">
        <v>0</v>
      </c>
      <c r="U190" s="266">
        <v>0</v>
      </c>
      <c r="V190" s="266">
        <v>0</v>
      </c>
      <c r="W190" s="266">
        <v>0</v>
      </c>
      <c r="X190" s="266">
        <v>0</v>
      </c>
      <c r="Y190" s="266">
        <v>0</v>
      </c>
      <c r="Z190" s="266">
        <v>699.29</v>
      </c>
      <c r="AA190" s="266">
        <v>10722.78</v>
      </c>
      <c r="AB190" s="266">
        <v>0</v>
      </c>
      <c r="AC190" s="266">
        <v>141091.57999999999</v>
      </c>
      <c r="AD190" s="266">
        <v>187576.99</v>
      </c>
      <c r="AE190" s="237">
        <v>20.85</v>
      </c>
      <c r="AF190" s="266">
        <v>162829.24</v>
      </c>
      <c r="AG190" s="237">
        <f t="shared" si="55"/>
        <v>7809.5558752997595</v>
      </c>
      <c r="AH190" s="237">
        <f t="shared" si="56"/>
        <v>8996.4983213429241</v>
      </c>
      <c r="AI190" s="237">
        <f t="shared" si="57"/>
        <v>1186.9424460431646</v>
      </c>
      <c r="AJ190" s="237">
        <v>17.14</v>
      </c>
      <c r="AK190" s="266">
        <v>129261.19</v>
      </c>
      <c r="AL190" s="237">
        <f t="shared" si="58"/>
        <v>7541.4929988331387</v>
      </c>
      <c r="AM190" s="237">
        <f t="shared" si="59"/>
        <v>8231.7141190198363</v>
      </c>
      <c r="AN190" s="237">
        <f t="shared" si="60"/>
        <v>690.22112018669759</v>
      </c>
      <c r="AO190" s="266">
        <v>13792.56</v>
      </c>
      <c r="AP190" s="266">
        <v>0</v>
      </c>
      <c r="AQ190" s="266">
        <v>0</v>
      </c>
      <c r="AR190" s="266">
        <v>0</v>
      </c>
      <c r="AS190" s="358">
        <v>12919.14</v>
      </c>
      <c r="AT190" s="371">
        <v>0</v>
      </c>
      <c r="AU190" s="373">
        <v>44235.790000000008</v>
      </c>
    </row>
    <row r="191" spans="1:47">
      <c r="A191" s="238" t="s">
        <v>453</v>
      </c>
      <c r="B191" s="238" t="s">
        <v>1453</v>
      </c>
      <c r="C191" s="266">
        <v>27520.82</v>
      </c>
      <c r="D191" s="266">
        <v>0</v>
      </c>
      <c r="E191" s="266">
        <v>0</v>
      </c>
      <c r="F191" s="266">
        <v>0</v>
      </c>
      <c r="G191" s="266">
        <v>253687.01</v>
      </c>
      <c r="H191" s="266">
        <v>45278.55</v>
      </c>
      <c r="I191" s="266">
        <v>0</v>
      </c>
      <c r="J191" s="266">
        <v>36914.31</v>
      </c>
      <c r="K191" s="266">
        <v>88345.48</v>
      </c>
      <c r="L191" s="266">
        <v>0</v>
      </c>
      <c r="M191" s="266">
        <v>6843.67</v>
      </c>
      <c r="N191" s="266">
        <v>333300.34999999998</v>
      </c>
      <c r="O191" s="123">
        <v>7.1999999999999998E-3</v>
      </c>
      <c r="P191" s="123">
        <v>0.22819999999999999</v>
      </c>
      <c r="Q191" s="266">
        <v>0</v>
      </c>
      <c r="R191" s="266">
        <v>0</v>
      </c>
      <c r="S191" s="266">
        <v>0</v>
      </c>
      <c r="T191" s="266">
        <v>0</v>
      </c>
      <c r="U191" s="266">
        <v>0</v>
      </c>
      <c r="V191" s="266">
        <v>0</v>
      </c>
      <c r="W191" s="266">
        <v>0</v>
      </c>
      <c r="X191" s="266">
        <v>0</v>
      </c>
      <c r="Y191" s="266">
        <v>0</v>
      </c>
      <c r="Z191" s="266">
        <v>0</v>
      </c>
      <c r="AA191" s="266">
        <v>0</v>
      </c>
      <c r="AB191" s="266">
        <v>0</v>
      </c>
      <c r="AC191" s="266">
        <v>0</v>
      </c>
      <c r="AD191" s="266">
        <v>138997.88</v>
      </c>
      <c r="AE191" s="237">
        <v>15.86</v>
      </c>
      <c r="AF191" s="266">
        <v>131369.70000000001</v>
      </c>
      <c r="AG191" s="237">
        <f t="shared" si="55"/>
        <v>8283.0832282471638</v>
      </c>
      <c r="AH191" s="237">
        <f t="shared" si="56"/>
        <v>8764.0529634300128</v>
      </c>
      <c r="AI191" s="237">
        <f t="shared" si="57"/>
        <v>480.96973518284904</v>
      </c>
      <c r="AJ191" s="237">
        <v>0</v>
      </c>
      <c r="AK191" s="266">
        <v>0</v>
      </c>
      <c r="AL191" s="237">
        <f t="shared" si="58"/>
        <v>0</v>
      </c>
      <c r="AM191" s="237">
        <f t="shared" si="59"/>
        <v>0</v>
      </c>
      <c r="AN191" s="237">
        <f t="shared" si="60"/>
        <v>0</v>
      </c>
      <c r="AO191" s="266">
        <v>0</v>
      </c>
      <c r="AP191" s="266">
        <v>0</v>
      </c>
      <c r="AQ191" s="266">
        <v>0</v>
      </c>
      <c r="AR191" s="266">
        <v>0</v>
      </c>
      <c r="AS191" s="358">
        <v>24158.14</v>
      </c>
      <c r="AT191" s="371">
        <v>1688.840000000002</v>
      </c>
      <c r="AU191" s="373">
        <v>21149.14</v>
      </c>
    </row>
    <row r="192" spans="1:47">
      <c r="A192" s="238" t="s">
        <v>479</v>
      </c>
      <c r="B192" s="238" t="s">
        <v>1454</v>
      </c>
      <c r="C192" s="266">
        <v>48331.53</v>
      </c>
      <c r="D192" s="266">
        <v>0</v>
      </c>
      <c r="E192" s="266">
        <v>0</v>
      </c>
      <c r="F192" s="266">
        <v>21923.63</v>
      </c>
      <c r="G192" s="266">
        <v>1418437.44</v>
      </c>
      <c r="H192" s="266">
        <v>269000.74</v>
      </c>
      <c r="I192" s="266">
        <v>108262.36</v>
      </c>
      <c r="J192" s="266">
        <v>238155.07</v>
      </c>
      <c r="K192" s="266">
        <v>414131.26</v>
      </c>
      <c r="L192" s="266">
        <v>169966.44</v>
      </c>
      <c r="M192" s="266">
        <v>32471.200000000001</v>
      </c>
      <c r="N192" s="266">
        <v>535092.11</v>
      </c>
      <c r="O192" s="123">
        <v>0.04</v>
      </c>
      <c r="P192" s="123">
        <v>0.19270000000000001</v>
      </c>
      <c r="Q192" s="266">
        <v>0</v>
      </c>
      <c r="R192" s="266">
        <v>0</v>
      </c>
      <c r="S192" s="266">
        <v>0</v>
      </c>
      <c r="T192" s="266">
        <v>133368.54999999999</v>
      </c>
      <c r="U192" s="266">
        <v>0</v>
      </c>
      <c r="V192" s="266">
        <v>5300.58</v>
      </c>
      <c r="W192" s="266">
        <v>0</v>
      </c>
      <c r="X192" s="266">
        <v>0</v>
      </c>
      <c r="Y192" s="266">
        <v>0</v>
      </c>
      <c r="Z192" s="266">
        <v>0</v>
      </c>
      <c r="AA192" s="266">
        <v>8330.3799999999992</v>
      </c>
      <c r="AB192" s="266">
        <v>16235.53</v>
      </c>
      <c r="AC192" s="266">
        <v>78946.06</v>
      </c>
      <c r="AD192" s="266">
        <v>599952.31999999995</v>
      </c>
      <c r="AE192" s="237">
        <v>69.09</v>
      </c>
      <c r="AF192" s="266">
        <v>549925.14</v>
      </c>
      <c r="AG192" s="237">
        <f t="shared" si="55"/>
        <v>7959.5475466782455</v>
      </c>
      <c r="AH192" s="237">
        <f t="shared" si="56"/>
        <v>8683.6346794036745</v>
      </c>
      <c r="AI192" s="237">
        <f t="shared" si="57"/>
        <v>724.087132725429</v>
      </c>
      <c r="AJ192" s="237">
        <v>9.4</v>
      </c>
      <c r="AK192" s="266">
        <v>72159.37</v>
      </c>
      <c r="AL192" s="237">
        <f t="shared" si="58"/>
        <v>7676.5287234042544</v>
      </c>
      <c r="AM192" s="237">
        <f t="shared" si="59"/>
        <v>8398.5170212765952</v>
      </c>
      <c r="AN192" s="237">
        <f t="shared" si="60"/>
        <v>721.98829787234081</v>
      </c>
      <c r="AO192" s="266">
        <v>0</v>
      </c>
      <c r="AP192" s="266">
        <v>0</v>
      </c>
      <c r="AQ192" s="266">
        <v>0</v>
      </c>
      <c r="AR192" s="266">
        <v>0</v>
      </c>
      <c r="AS192" s="358">
        <v>73835.509999999995</v>
      </c>
      <c r="AT192" s="371">
        <v>11855.219999999998</v>
      </c>
      <c r="AU192" s="373">
        <v>69273.279999999999</v>
      </c>
    </row>
    <row r="193" spans="1:47">
      <c r="A193" s="238" t="s">
        <v>649</v>
      </c>
      <c r="B193" s="238" t="s">
        <v>1455</v>
      </c>
      <c r="C193" s="266">
        <v>0</v>
      </c>
      <c r="D193" s="266">
        <v>0</v>
      </c>
      <c r="E193" s="266">
        <v>0</v>
      </c>
      <c r="F193" s="266">
        <v>11238.6</v>
      </c>
      <c r="G193" s="266">
        <v>13957660.720000001</v>
      </c>
      <c r="H193" s="266">
        <v>3031606.02</v>
      </c>
      <c r="I193" s="266">
        <v>773771.76</v>
      </c>
      <c r="J193" s="266">
        <v>213974.39</v>
      </c>
      <c r="K193" s="266">
        <v>1883823.47</v>
      </c>
      <c r="L193" s="266">
        <v>527612.27</v>
      </c>
      <c r="M193" s="266">
        <v>286022.96999999997</v>
      </c>
      <c r="N193" s="266">
        <v>4273341.1399999997</v>
      </c>
      <c r="O193" s="123">
        <v>3.73E-2</v>
      </c>
      <c r="P193" s="123">
        <v>0.15609999999999999</v>
      </c>
      <c r="Q193" s="266">
        <v>0</v>
      </c>
      <c r="R193" s="266">
        <v>0</v>
      </c>
      <c r="S193" s="266">
        <v>0</v>
      </c>
      <c r="T193" s="266">
        <v>128565.15</v>
      </c>
      <c r="U193" s="266">
        <v>0</v>
      </c>
      <c r="V193" s="266">
        <v>5528.88</v>
      </c>
      <c r="W193" s="266">
        <v>0</v>
      </c>
      <c r="X193" s="266">
        <v>0</v>
      </c>
      <c r="Y193" s="266">
        <v>0</v>
      </c>
      <c r="Z193" s="266">
        <v>1619.23</v>
      </c>
      <c r="AA193" s="266">
        <v>74730.679999999993</v>
      </c>
      <c r="AB193" s="266">
        <v>468721.23</v>
      </c>
      <c r="AC193" s="266">
        <v>1107125.55</v>
      </c>
      <c r="AD193" s="266">
        <v>5740844.6799999997</v>
      </c>
      <c r="AE193" s="237">
        <v>644.27</v>
      </c>
      <c r="AF193" s="266">
        <v>5127938.25</v>
      </c>
      <c r="AG193" s="237">
        <f t="shared" si="55"/>
        <v>7959.3000605336274</v>
      </c>
      <c r="AH193" s="237">
        <f t="shared" si="56"/>
        <v>8910.6192745277604</v>
      </c>
      <c r="AI193" s="237">
        <f t="shared" si="57"/>
        <v>951.31921399413295</v>
      </c>
      <c r="AJ193" s="237">
        <v>131.74</v>
      </c>
      <c r="AK193" s="266">
        <v>1013108.69</v>
      </c>
      <c r="AL193" s="237">
        <f t="shared" si="58"/>
        <v>7690.2132230150282</v>
      </c>
      <c r="AM193" s="237">
        <f t="shared" si="59"/>
        <v>8403.867845756793</v>
      </c>
      <c r="AN193" s="237">
        <f t="shared" si="60"/>
        <v>713.6546227417648</v>
      </c>
      <c r="AO193" s="266">
        <v>12204.08</v>
      </c>
      <c r="AP193" s="266">
        <v>0</v>
      </c>
      <c r="AQ193" s="266">
        <v>0</v>
      </c>
      <c r="AR193" s="266">
        <v>0</v>
      </c>
      <c r="AS193" s="358">
        <v>0</v>
      </c>
      <c r="AT193" s="371">
        <v>0</v>
      </c>
      <c r="AU193" s="373">
        <v>596729.18000000005</v>
      </c>
    </row>
    <row r="194" spans="1:47">
      <c r="A194" s="268" t="s">
        <v>771</v>
      </c>
      <c r="B194" s="238" t="s">
        <v>1456</v>
      </c>
      <c r="C194" s="266">
        <v>0</v>
      </c>
      <c r="D194" s="266">
        <v>0</v>
      </c>
      <c r="E194" s="266">
        <v>0</v>
      </c>
      <c r="F194" s="266">
        <v>0</v>
      </c>
      <c r="G194" s="266">
        <v>0</v>
      </c>
      <c r="H194" s="266">
        <v>0</v>
      </c>
      <c r="I194" s="266">
        <v>0</v>
      </c>
      <c r="J194" s="266">
        <v>0</v>
      </c>
      <c r="K194" s="266">
        <v>0</v>
      </c>
      <c r="L194" s="266">
        <v>0</v>
      </c>
      <c r="M194" s="266">
        <v>0</v>
      </c>
      <c r="N194" s="266">
        <v>0</v>
      </c>
      <c r="O194" s="123">
        <v>0</v>
      </c>
      <c r="P194" s="123">
        <v>0</v>
      </c>
      <c r="Q194" s="266">
        <v>0</v>
      </c>
      <c r="R194" s="266">
        <v>0</v>
      </c>
      <c r="S194" s="266">
        <v>0</v>
      </c>
      <c r="T194" s="266">
        <v>277568.49</v>
      </c>
      <c r="U194" s="266">
        <v>0</v>
      </c>
      <c r="V194" s="266">
        <v>10572.369999999999</v>
      </c>
      <c r="W194" s="266">
        <v>0</v>
      </c>
      <c r="X194" s="266">
        <v>0</v>
      </c>
      <c r="Y194" s="266">
        <v>0</v>
      </c>
      <c r="Z194" s="266">
        <v>0</v>
      </c>
      <c r="AA194" s="266">
        <v>0</v>
      </c>
      <c r="AB194" s="266">
        <v>0</v>
      </c>
      <c r="AC194" s="266">
        <v>0</v>
      </c>
      <c r="AD194" s="266">
        <v>0</v>
      </c>
      <c r="AE194" s="237">
        <v>0</v>
      </c>
      <c r="AF194" s="266">
        <v>0</v>
      </c>
      <c r="AG194" s="237">
        <f t="shared" si="55"/>
        <v>0</v>
      </c>
      <c r="AH194" s="237">
        <f t="shared" si="56"/>
        <v>0</v>
      </c>
      <c r="AI194" s="237">
        <f t="shared" si="57"/>
        <v>0</v>
      </c>
      <c r="AJ194" s="237">
        <v>0</v>
      </c>
      <c r="AK194" s="266">
        <v>0</v>
      </c>
      <c r="AL194" s="237">
        <f t="shared" si="58"/>
        <v>0</v>
      </c>
      <c r="AM194" s="237">
        <f t="shared" si="59"/>
        <v>0</v>
      </c>
      <c r="AN194" s="237">
        <f t="shared" si="60"/>
        <v>0</v>
      </c>
      <c r="AO194" s="266">
        <v>0</v>
      </c>
      <c r="AP194" s="266">
        <v>0</v>
      </c>
      <c r="AQ194" s="266">
        <v>0</v>
      </c>
      <c r="AR194" s="266">
        <v>0</v>
      </c>
      <c r="AS194" s="358">
        <v>0</v>
      </c>
      <c r="AT194" s="371">
        <v>0</v>
      </c>
      <c r="AU194" s="373"/>
    </row>
    <row r="195" spans="1:47">
      <c r="A195" s="238" t="s">
        <v>477</v>
      </c>
      <c r="B195" s="238" t="s">
        <v>1457</v>
      </c>
      <c r="C195" s="266">
        <v>0</v>
      </c>
      <c r="D195" s="266">
        <v>0</v>
      </c>
      <c r="E195" s="266">
        <v>142391.44</v>
      </c>
      <c r="F195" s="266">
        <v>34970.94</v>
      </c>
      <c r="G195" s="266">
        <v>6023209.5499999998</v>
      </c>
      <c r="H195" s="266">
        <v>1157804.8700000001</v>
      </c>
      <c r="I195" s="266">
        <v>278247.96999999997</v>
      </c>
      <c r="J195" s="266">
        <v>373329.94</v>
      </c>
      <c r="K195" s="266">
        <v>1459458.72</v>
      </c>
      <c r="L195" s="266">
        <v>384833.14</v>
      </c>
      <c r="M195" s="266">
        <v>147176.32000000001</v>
      </c>
      <c r="N195" s="266">
        <v>979925.32</v>
      </c>
      <c r="O195" s="123">
        <v>5.4100000000000002E-2</v>
      </c>
      <c r="P195" s="123">
        <v>0.13020000000000001</v>
      </c>
      <c r="Q195" s="266">
        <v>0</v>
      </c>
      <c r="R195" s="266">
        <v>0</v>
      </c>
      <c r="S195" s="266">
        <v>0</v>
      </c>
      <c r="T195" s="266">
        <v>0</v>
      </c>
      <c r="U195" s="266">
        <v>0</v>
      </c>
      <c r="V195" s="266">
        <v>0</v>
      </c>
      <c r="W195" s="266">
        <v>0</v>
      </c>
      <c r="X195" s="266">
        <v>0</v>
      </c>
      <c r="Y195" s="266">
        <v>0</v>
      </c>
      <c r="Z195" s="266">
        <v>6285.92</v>
      </c>
      <c r="AA195" s="266">
        <v>0</v>
      </c>
      <c r="AB195" s="266">
        <v>22249.55</v>
      </c>
      <c r="AC195" s="266">
        <v>82823.06</v>
      </c>
      <c r="AD195" s="266">
        <v>1066881.51</v>
      </c>
      <c r="AE195" s="237">
        <v>114.09</v>
      </c>
      <c r="AF195" s="266">
        <v>890294.75</v>
      </c>
      <c r="AG195" s="237">
        <f t="shared" si="55"/>
        <v>7803.4424577088257</v>
      </c>
      <c r="AH195" s="237">
        <f t="shared" si="56"/>
        <v>9351.2271890612665</v>
      </c>
      <c r="AI195" s="237">
        <f t="shared" si="57"/>
        <v>1547.7847313524408</v>
      </c>
      <c r="AJ195" s="237">
        <v>10.07</v>
      </c>
      <c r="AK195" s="266">
        <v>76017.2</v>
      </c>
      <c r="AL195" s="237">
        <f t="shared" si="58"/>
        <v>7548.8778550148954</v>
      </c>
      <c r="AM195" s="237">
        <f t="shared" si="59"/>
        <v>8224.7328699106256</v>
      </c>
      <c r="AN195" s="237">
        <f t="shared" si="60"/>
        <v>675.85501489573016</v>
      </c>
      <c r="AO195" s="266">
        <v>0</v>
      </c>
      <c r="AP195" s="266">
        <v>0</v>
      </c>
      <c r="AQ195" s="266">
        <v>0</v>
      </c>
      <c r="AR195" s="266">
        <v>0</v>
      </c>
      <c r="AS195" s="358">
        <v>44219.13</v>
      </c>
      <c r="AT195" s="371">
        <v>31779.590000000004</v>
      </c>
      <c r="AU195" s="373">
        <v>147326.41</v>
      </c>
    </row>
    <row r="196" spans="1:47">
      <c r="A196" s="238" t="s">
        <v>435</v>
      </c>
      <c r="B196" s="238" t="s">
        <v>1458</v>
      </c>
      <c r="C196" s="266">
        <v>34405.410000000003</v>
      </c>
      <c r="D196" s="266">
        <v>0</v>
      </c>
      <c r="E196" s="266">
        <v>0</v>
      </c>
      <c r="F196" s="266">
        <v>0</v>
      </c>
      <c r="G196" s="266">
        <v>976758.37</v>
      </c>
      <c r="H196" s="266">
        <v>231121.37</v>
      </c>
      <c r="I196" s="266">
        <v>19988.8</v>
      </c>
      <c r="J196" s="266">
        <v>225009.03</v>
      </c>
      <c r="K196" s="266">
        <v>283860.46999999997</v>
      </c>
      <c r="L196" s="266">
        <v>48735.55</v>
      </c>
      <c r="M196" s="266">
        <v>22605.83</v>
      </c>
      <c r="N196" s="266">
        <v>660325.9</v>
      </c>
      <c r="O196" s="123">
        <v>2.3699999999999999E-2</v>
      </c>
      <c r="P196" s="123">
        <v>0.19320000000000001</v>
      </c>
      <c r="Q196" s="266">
        <v>0</v>
      </c>
      <c r="R196" s="266">
        <v>0</v>
      </c>
      <c r="S196" s="266">
        <v>0</v>
      </c>
      <c r="T196" s="266">
        <v>0</v>
      </c>
      <c r="U196" s="266">
        <v>0</v>
      </c>
      <c r="V196" s="266">
        <v>0</v>
      </c>
      <c r="W196" s="266">
        <v>0</v>
      </c>
      <c r="X196" s="266">
        <v>0</v>
      </c>
      <c r="Y196" s="266">
        <v>0</v>
      </c>
      <c r="Z196" s="266">
        <v>945.19</v>
      </c>
      <c r="AA196" s="266">
        <v>0</v>
      </c>
      <c r="AB196" s="266">
        <v>10578.41</v>
      </c>
      <c r="AC196" s="266">
        <v>103140.55</v>
      </c>
      <c r="AD196" s="266">
        <v>662960.93000000005</v>
      </c>
      <c r="AE196" s="237">
        <v>78.83</v>
      </c>
      <c r="AF196" s="266">
        <v>615057.37</v>
      </c>
      <c r="AG196" s="237">
        <f t="shared" si="55"/>
        <v>7802.3261448687053</v>
      </c>
      <c r="AH196" s="237">
        <f t="shared" si="56"/>
        <v>8410.0079918812644</v>
      </c>
      <c r="AI196" s="237">
        <f t="shared" si="57"/>
        <v>607.68184701255905</v>
      </c>
      <c r="AJ196" s="237">
        <v>12.54</v>
      </c>
      <c r="AK196" s="266">
        <v>94475.14</v>
      </c>
      <c r="AL196" s="237">
        <f t="shared" si="58"/>
        <v>7533.9027113237644</v>
      </c>
      <c r="AM196" s="237">
        <f t="shared" si="59"/>
        <v>8224.9242424242439</v>
      </c>
      <c r="AN196" s="237">
        <f t="shared" si="60"/>
        <v>691.02153110047948</v>
      </c>
      <c r="AO196" s="266">
        <v>0</v>
      </c>
      <c r="AP196" s="266">
        <v>0</v>
      </c>
      <c r="AQ196" s="266">
        <v>0</v>
      </c>
      <c r="AR196" s="266">
        <v>0</v>
      </c>
      <c r="AS196" s="358">
        <v>7548.34</v>
      </c>
      <c r="AT196" s="371">
        <v>296.85000000000218</v>
      </c>
      <c r="AU196" s="373">
        <v>53398.579999999994</v>
      </c>
    </row>
    <row r="197" spans="1:47">
      <c r="A197" s="268" t="s">
        <v>621</v>
      </c>
      <c r="B197" s="238" t="s">
        <v>1459</v>
      </c>
      <c r="C197" s="266">
        <v>0</v>
      </c>
      <c r="D197" s="266">
        <v>0</v>
      </c>
      <c r="E197" s="266">
        <v>0</v>
      </c>
      <c r="F197" s="266">
        <v>0</v>
      </c>
      <c r="G197" s="266">
        <v>23177.05</v>
      </c>
      <c r="H197" s="266">
        <v>1924.94</v>
      </c>
      <c r="I197" s="266">
        <v>0</v>
      </c>
      <c r="J197" s="266">
        <v>11251.43</v>
      </c>
      <c r="K197" s="266">
        <v>18456.28</v>
      </c>
      <c r="L197" s="266">
        <v>0</v>
      </c>
      <c r="M197" s="266">
        <v>1085.67</v>
      </c>
      <c r="N197" s="266">
        <v>126635.86</v>
      </c>
      <c r="O197" s="123">
        <v>2.3999999999999998E-3</v>
      </c>
      <c r="P197" s="123">
        <v>0.27339999999999998</v>
      </c>
      <c r="Q197" s="266">
        <v>0</v>
      </c>
      <c r="R197" s="266">
        <v>0</v>
      </c>
      <c r="S197" s="266">
        <v>0</v>
      </c>
      <c r="T197" s="266">
        <v>0</v>
      </c>
      <c r="U197" s="266">
        <v>0</v>
      </c>
      <c r="V197" s="266">
        <v>0</v>
      </c>
      <c r="W197" s="266">
        <v>0</v>
      </c>
      <c r="X197" s="266">
        <v>0</v>
      </c>
      <c r="Y197" s="266">
        <v>0</v>
      </c>
      <c r="Z197" s="266">
        <v>0</v>
      </c>
      <c r="AA197" s="266">
        <v>0</v>
      </c>
      <c r="AB197" s="266">
        <v>0</v>
      </c>
      <c r="AC197" s="266">
        <v>0</v>
      </c>
      <c r="AD197" s="266">
        <v>0</v>
      </c>
      <c r="AE197" s="237">
        <v>0</v>
      </c>
      <c r="AF197" s="266">
        <v>0</v>
      </c>
      <c r="AG197" s="237">
        <f t="shared" si="55"/>
        <v>0</v>
      </c>
      <c r="AH197" s="237">
        <f t="shared" si="56"/>
        <v>0</v>
      </c>
      <c r="AI197" s="237">
        <f t="shared" si="57"/>
        <v>0</v>
      </c>
      <c r="AJ197" s="237">
        <v>0</v>
      </c>
      <c r="AK197" s="266">
        <v>0</v>
      </c>
      <c r="AL197" s="237">
        <f t="shared" si="58"/>
        <v>0</v>
      </c>
      <c r="AM197" s="237">
        <f t="shared" si="59"/>
        <v>0</v>
      </c>
      <c r="AN197" s="237">
        <f t="shared" si="60"/>
        <v>0</v>
      </c>
      <c r="AO197" s="266">
        <v>0</v>
      </c>
      <c r="AP197" s="266">
        <v>0</v>
      </c>
      <c r="AQ197" s="266">
        <v>0</v>
      </c>
      <c r="AR197" s="266">
        <v>0</v>
      </c>
      <c r="AS197" s="358">
        <v>0</v>
      </c>
      <c r="AT197" s="371">
        <v>0</v>
      </c>
      <c r="AU197" s="373">
        <v>3933.9300000000003</v>
      </c>
    </row>
    <row r="198" spans="1:47">
      <c r="A198" s="238" t="s">
        <v>540</v>
      </c>
      <c r="B198" s="238" t="s">
        <v>1460</v>
      </c>
      <c r="C198" s="266">
        <v>0</v>
      </c>
      <c r="D198" s="266">
        <v>0</v>
      </c>
      <c r="E198" s="266">
        <v>3966.73</v>
      </c>
      <c r="F198" s="266">
        <v>0</v>
      </c>
      <c r="G198" s="266">
        <v>973714.18</v>
      </c>
      <c r="H198" s="266">
        <v>108281.82</v>
      </c>
      <c r="I198" s="266">
        <v>44111.9</v>
      </c>
      <c r="J198" s="266">
        <v>0</v>
      </c>
      <c r="K198" s="266">
        <v>163118.45000000001</v>
      </c>
      <c r="L198" s="266">
        <v>67791.009999999995</v>
      </c>
      <c r="M198" s="266">
        <v>23919.82</v>
      </c>
      <c r="N198" s="266">
        <v>202307.01</v>
      </c>
      <c r="O198" s="123">
        <v>0.06</v>
      </c>
      <c r="P198" s="123">
        <v>0.2261</v>
      </c>
      <c r="Q198" s="266">
        <v>0</v>
      </c>
      <c r="R198" s="266">
        <v>0</v>
      </c>
      <c r="S198" s="266">
        <v>0</v>
      </c>
      <c r="T198" s="266">
        <v>0</v>
      </c>
      <c r="U198" s="266">
        <v>0</v>
      </c>
      <c r="V198" s="266">
        <v>0</v>
      </c>
      <c r="W198" s="266">
        <v>0</v>
      </c>
      <c r="X198" s="266">
        <v>0</v>
      </c>
      <c r="Y198" s="266">
        <v>0</v>
      </c>
      <c r="Z198" s="266">
        <v>0</v>
      </c>
      <c r="AA198" s="266">
        <v>0</v>
      </c>
      <c r="AB198" s="266">
        <v>0</v>
      </c>
      <c r="AC198" s="266">
        <v>0</v>
      </c>
      <c r="AD198" s="266">
        <v>55342.97</v>
      </c>
      <c r="AE198" s="237">
        <v>6.19</v>
      </c>
      <c r="AF198" s="266">
        <v>52326.879999999997</v>
      </c>
      <c r="AG198" s="237">
        <f t="shared" si="55"/>
        <v>8453.4539579967677</v>
      </c>
      <c r="AH198" s="237">
        <f t="shared" si="56"/>
        <v>8940.7059773828751</v>
      </c>
      <c r="AI198" s="237">
        <f t="shared" si="57"/>
        <v>487.25201938610735</v>
      </c>
      <c r="AJ198" s="237">
        <v>0</v>
      </c>
      <c r="AK198" s="266">
        <v>0</v>
      </c>
      <c r="AL198" s="237">
        <f t="shared" si="58"/>
        <v>0</v>
      </c>
      <c r="AM198" s="237">
        <f t="shared" si="59"/>
        <v>0</v>
      </c>
      <c r="AN198" s="237">
        <f t="shared" si="60"/>
        <v>0</v>
      </c>
      <c r="AO198" s="266">
        <v>2775.73</v>
      </c>
      <c r="AP198" s="266">
        <v>0</v>
      </c>
      <c r="AQ198" s="266">
        <v>0</v>
      </c>
      <c r="AR198" s="266">
        <v>0</v>
      </c>
      <c r="AS198" s="358">
        <v>33631.17</v>
      </c>
      <c r="AT198" s="371">
        <v>17786.32</v>
      </c>
      <c r="AU198" s="373">
        <v>36205.879999999997</v>
      </c>
    </row>
    <row r="199" spans="1:47">
      <c r="A199" s="238" t="s">
        <v>597</v>
      </c>
      <c r="B199" s="238" t="s">
        <v>1461</v>
      </c>
      <c r="C199" s="266">
        <v>0</v>
      </c>
      <c r="D199" s="266">
        <v>0</v>
      </c>
      <c r="E199" s="266">
        <v>0</v>
      </c>
      <c r="F199" s="266">
        <v>0</v>
      </c>
      <c r="G199" s="266">
        <v>57856.66</v>
      </c>
      <c r="H199" s="266">
        <v>9826.98</v>
      </c>
      <c r="I199" s="266">
        <v>0</v>
      </c>
      <c r="J199" s="266">
        <v>0</v>
      </c>
      <c r="K199" s="266">
        <v>7344.5</v>
      </c>
      <c r="L199" s="266">
        <v>0</v>
      </c>
      <c r="M199" s="266">
        <v>0</v>
      </c>
      <c r="N199" s="266">
        <v>32898.03</v>
      </c>
      <c r="O199" s="123">
        <v>6.3399999999999998E-2</v>
      </c>
      <c r="P199" s="123">
        <v>0.19789999999999999</v>
      </c>
      <c r="Q199" s="266">
        <v>0</v>
      </c>
      <c r="R199" s="266">
        <v>0</v>
      </c>
      <c r="S199" s="266">
        <v>0</v>
      </c>
      <c r="T199" s="266">
        <v>0</v>
      </c>
      <c r="U199" s="266">
        <v>0</v>
      </c>
      <c r="V199" s="266">
        <v>0</v>
      </c>
      <c r="W199" s="266">
        <v>0</v>
      </c>
      <c r="X199" s="266">
        <v>0</v>
      </c>
      <c r="Y199" s="266">
        <v>0</v>
      </c>
      <c r="Z199" s="266">
        <v>85.63</v>
      </c>
      <c r="AA199" s="266">
        <v>0</v>
      </c>
      <c r="AB199" s="266">
        <v>0</v>
      </c>
      <c r="AC199" s="266">
        <v>0</v>
      </c>
      <c r="AD199" s="266">
        <v>0</v>
      </c>
      <c r="AE199" s="237">
        <v>0</v>
      </c>
      <c r="AF199" s="266">
        <v>0</v>
      </c>
      <c r="AG199" s="237">
        <f t="shared" ref="AG199:AG262" si="61">IFERROR(AF199/AE199,0)</f>
        <v>0</v>
      </c>
      <c r="AH199" s="237">
        <f t="shared" ref="AH199:AH262" si="62">IFERROR(AD199/AE199,0)</f>
        <v>0</v>
      </c>
      <c r="AI199" s="237">
        <f t="shared" ref="AI199:AI262" si="63">AH199-AG199</f>
        <v>0</v>
      </c>
      <c r="AJ199" s="237">
        <v>0</v>
      </c>
      <c r="AK199" s="266">
        <v>0</v>
      </c>
      <c r="AL199" s="237">
        <f t="shared" ref="AL199:AL262" si="64">IFERROR(AK199/AJ199,0)</f>
        <v>0</v>
      </c>
      <c r="AM199" s="237">
        <f t="shared" ref="AM199:AM262" si="65">IFERROR(AC199/AJ199,0)</f>
        <v>0</v>
      </c>
      <c r="AN199" s="237">
        <f t="shared" ref="AN199:AN262" si="66">AM199-AL199</f>
        <v>0</v>
      </c>
      <c r="AO199" s="266">
        <v>0</v>
      </c>
      <c r="AP199" s="266">
        <v>0</v>
      </c>
      <c r="AQ199" s="266">
        <v>0</v>
      </c>
      <c r="AR199" s="266">
        <v>0</v>
      </c>
      <c r="AS199" s="358">
        <v>4744.7</v>
      </c>
      <c r="AT199" s="371">
        <v>2491.71</v>
      </c>
      <c r="AU199" s="373">
        <v>5066.26</v>
      </c>
    </row>
    <row r="200" spans="1:47">
      <c r="A200" s="238" t="s">
        <v>263</v>
      </c>
      <c r="B200" s="238" t="s">
        <v>1462</v>
      </c>
      <c r="C200" s="266">
        <v>0</v>
      </c>
      <c r="D200" s="266">
        <v>0</v>
      </c>
      <c r="E200" s="266">
        <v>1258.92</v>
      </c>
      <c r="F200" s="266">
        <v>1094.72</v>
      </c>
      <c r="G200" s="266">
        <v>57631.54</v>
      </c>
      <c r="H200" s="266">
        <v>9078.3799999999992</v>
      </c>
      <c r="I200" s="266">
        <v>0</v>
      </c>
      <c r="J200" s="266">
        <v>13422.74</v>
      </c>
      <c r="K200" s="266">
        <v>18061.5</v>
      </c>
      <c r="L200" s="266">
        <v>0</v>
      </c>
      <c r="M200" s="266">
        <v>1381.75</v>
      </c>
      <c r="N200" s="266">
        <v>332033.89</v>
      </c>
      <c r="O200" s="123">
        <v>4.5100000000000001E-2</v>
      </c>
      <c r="P200" s="123">
        <v>0.20910000000000001</v>
      </c>
      <c r="Q200" s="266">
        <v>0</v>
      </c>
      <c r="R200" s="266">
        <v>0</v>
      </c>
      <c r="S200" s="266">
        <v>0</v>
      </c>
      <c r="T200" s="266">
        <v>0</v>
      </c>
      <c r="U200" s="266">
        <v>0</v>
      </c>
      <c r="V200" s="266">
        <v>0</v>
      </c>
      <c r="W200" s="266">
        <v>0</v>
      </c>
      <c r="X200" s="266">
        <v>0</v>
      </c>
      <c r="Y200" s="266">
        <v>0</v>
      </c>
      <c r="Z200" s="266">
        <v>0</v>
      </c>
      <c r="AA200" s="266">
        <v>0</v>
      </c>
      <c r="AB200" s="266">
        <v>0</v>
      </c>
      <c r="AC200" s="266">
        <v>0</v>
      </c>
      <c r="AD200" s="266">
        <v>0</v>
      </c>
      <c r="AE200" s="237">
        <v>0</v>
      </c>
      <c r="AF200" s="266">
        <v>0</v>
      </c>
      <c r="AG200" s="237">
        <f t="shared" si="61"/>
        <v>0</v>
      </c>
      <c r="AH200" s="237">
        <f t="shared" si="62"/>
        <v>0</v>
      </c>
      <c r="AI200" s="237">
        <f t="shared" si="63"/>
        <v>0</v>
      </c>
      <c r="AJ200" s="237">
        <v>0</v>
      </c>
      <c r="AK200" s="266">
        <v>0</v>
      </c>
      <c r="AL200" s="237">
        <f t="shared" si="64"/>
        <v>0</v>
      </c>
      <c r="AM200" s="237">
        <f t="shared" si="65"/>
        <v>0</v>
      </c>
      <c r="AN200" s="237">
        <f t="shared" si="66"/>
        <v>0</v>
      </c>
      <c r="AO200" s="266">
        <v>144.69999999999999</v>
      </c>
      <c r="AP200" s="266">
        <v>0</v>
      </c>
      <c r="AQ200" s="266">
        <v>0</v>
      </c>
      <c r="AR200" s="266">
        <v>0</v>
      </c>
      <c r="AS200" s="358">
        <v>17313.32</v>
      </c>
      <c r="AT200" s="371">
        <v>0</v>
      </c>
      <c r="AU200" s="373">
        <v>4206.04</v>
      </c>
    </row>
    <row r="201" spans="1:47">
      <c r="A201" s="238" t="s">
        <v>247</v>
      </c>
      <c r="B201" s="238" t="s">
        <v>1463</v>
      </c>
      <c r="C201" s="266">
        <v>0</v>
      </c>
      <c r="D201" s="266">
        <v>0</v>
      </c>
      <c r="E201" s="266">
        <v>8633.82</v>
      </c>
      <c r="F201" s="266">
        <v>4732.13</v>
      </c>
      <c r="G201" s="266">
        <v>0</v>
      </c>
      <c r="H201" s="266">
        <v>0</v>
      </c>
      <c r="I201" s="266">
        <v>0</v>
      </c>
      <c r="J201" s="266">
        <v>49122.36</v>
      </c>
      <c r="K201" s="266">
        <v>86703.34</v>
      </c>
      <c r="L201" s="266">
        <v>112250.77</v>
      </c>
      <c r="M201" s="266">
        <v>0</v>
      </c>
      <c r="N201" s="266">
        <v>270106.65999999997</v>
      </c>
      <c r="O201" s="123">
        <v>8.9700000000000002E-2</v>
      </c>
      <c r="P201" s="123">
        <v>0.20860000000000001</v>
      </c>
      <c r="Q201" s="266">
        <v>0</v>
      </c>
      <c r="R201" s="266">
        <v>0</v>
      </c>
      <c r="S201" s="266">
        <v>0</v>
      </c>
      <c r="T201" s="266">
        <v>0</v>
      </c>
      <c r="U201" s="266">
        <v>0</v>
      </c>
      <c r="V201" s="266">
        <v>0</v>
      </c>
      <c r="W201" s="266">
        <v>0</v>
      </c>
      <c r="X201" s="266">
        <v>0</v>
      </c>
      <c r="Y201" s="266">
        <v>0</v>
      </c>
      <c r="Z201" s="266">
        <v>223.95</v>
      </c>
      <c r="AA201" s="266">
        <v>0</v>
      </c>
      <c r="AB201" s="266">
        <v>0</v>
      </c>
      <c r="AC201" s="266">
        <v>0</v>
      </c>
      <c r="AD201" s="266">
        <v>0</v>
      </c>
      <c r="AE201" s="237">
        <v>0</v>
      </c>
      <c r="AF201" s="266">
        <v>0</v>
      </c>
      <c r="AG201" s="237">
        <f t="shared" si="61"/>
        <v>0</v>
      </c>
      <c r="AH201" s="237">
        <f t="shared" si="62"/>
        <v>0</v>
      </c>
      <c r="AI201" s="237">
        <f t="shared" si="63"/>
        <v>0</v>
      </c>
      <c r="AJ201" s="237">
        <v>0</v>
      </c>
      <c r="AK201" s="266">
        <v>0</v>
      </c>
      <c r="AL201" s="237">
        <f t="shared" si="64"/>
        <v>0</v>
      </c>
      <c r="AM201" s="237">
        <f t="shared" si="65"/>
        <v>0</v>
      </c>
      <c r="AN201" s="237">
        <f t="shared" si="66"/>
        <v>0</v>
      </c>
      <c r="AO201" s="266">
        <v>0</v>
      </c>
      <c r="AP201" s="266">
        <v>0</v>
      </c>
      <c r="AQ201" s="266">
        <v>0</v>
      </c>
      <c r="AR201" s="266">
        <v>0</v>
      </c>
      <c r="AS201" s="358">
        <v>30863.18</v>
      </c>
      <c r="AT201" s="371">
        <v>286.73999999999978</v>
      </c>
      <c r="AU201" s="373">
        <v>11843.77</v>
      </c>
    </row>
    <row r="202" spans="1:47">
      <c r="A202" s="238" t="s">
        <v>489</v>
      </c>
      <c r="B202" s="238" t="s">
        <v>1464</v>
      </c>
      <c r="C202" s="266">
        <v>0</v>
      </c>
      <c r="D202" s="266">
        <v>0</v>
      </c>
      <c r="E202" s="266">
        <v>0</v>
      </c>
      <c r="F202" s="266">
        <v>0</v>
      </c>
      <c r="G202" s="266">
        <v>651788.55000000005</v>
      </c>
      <c r="H202" s="266">
        <v>102520.62</v>
      </c>
      <c r="I202" s="266">
        <v>64918.37</v>
      </c>
      <c r="J202" s="266">
        <v>153853.15</v>
      </c>
      <c r="K202" s="266">
        <v>245134.9</v>
      </c>
      <c r="L202" s="266">
        <v>110660.57</v>
      </c>
      <c r="M202" s="266">
        <v>0</v>
      </c>
      <c r="N202" s="266">
        <v>251182.53</v>
      </c>
      <c r="O202" s="123">
        <v>4.1799999999999997E-2</v>
      </c>
      <c r="P202" s="123">
        <v>0.2525</v>
      </c>
      <c r="Q202" s="266">
        <v>0</v>
      </c>
      <c r="R202" s="266">
        <v>0</v>
      </c>
      <c r="S202" s="266">
        <v>0</v>
      </c>
      <c r="T202" s="266">
        <v>0</v>
      </c>
      <c r="U202" s="266">
        <v>0</v>
      </c>
      <c r="V202" s="266">
        <v>0</v>
      </c>
      <c r="W202" s="266">
        <v>0</v>
      </c>
      <c r="X202" s="266">
        <v>0</v>
      </c>
      <c r="Y202" s="266">
        <v>0</v>
      </c>
      <c r="Z202" s="266">
        <v>0</v>
      </c>
      <c r="AA202" s="266">
        <v>0</v>
      </c>
      <c r="AB202" s="266">
        <v>0</v>
      </c>
      <c r="AC202" s="266">
        <v>46108.84</v>
      </c>
      <c r="AD202" s="266">
        <v>258371.23</v>
      </c>
      <c r="AE202" s="237">
        <v>27.41</v>
      </c>
      <c r="AF202" s="266">
        <v>213924.53</v>
      </c>
      <c r="AG202" s="237">
        <f t="shared" si="61"/>
        <v>7804.6161984677128</v>
      </c>
      <c r="AH202" s="237">
        <f t="shared" si="62"/>
        <v>9426.1667274717256</v>
      </c>
      <c r="AI202" s="237">
        <f t="shared" si="63"/>
        <v>1621.5505290040128</v>
      </c>
      <c r="AJ202" s="237">
        <v>5.62</v>
      </c>
      <c r="AK202" s="266">
        <v>42305.55</v>
      </c>
      <c r="AL202" s="237">
        <f t="shared" si="64"/>
        <v>7527.6779359430611</v>
      </c>
      <c r="AM202" s="237">
        <f t="shared" si="65"/>
        <v>8204.4199288256223</v>
      </c>
      <c r="AN202" s="237">
        <f t="shared" si="66"/>
        <v>676.74199288256114</v>
      </c>
      <c r="AO202" s="266">
        <v>0</v>
      </c>
      <c r="AP202" s="266">
        <v>0</v>
      </c>
      <c r="AQ202" s="266">
        <v>0</v>
      </c>
      <c r="AR202" s="266">
        <v>0</v>
      </c>
      <c r="AS202" s="358">
        <v>7615.86</v>
      </c>
      <c r="AT202" s="371">
        <v>0</v>
      </c>
      <c r="AU202" s="373">
        <v>38052.950000000004</v>
      </c>
    </row>
    <row r="203" spans="1:47">
      <c r="A203" s="238" t="s">
        <v>522</v>
      </c>
      <c r="B203" s="238" t="s">
        <v>1465</v>
      </c>
      <c r="C203" s="266">
        <v>0</v>
      </c>
      <c r="D203" s="266">
        <v>0</v>
      </c>
      <c r="E203" s="266">
        <v>0</v>
      </c>
      <c r="F203" s="266">
        <v>0</v>
      </c>
      <c r="G203" s="266">
        <v>4157022.77</v>
      </c>
      <c r="H203" s="266">
        <v>704764.7</v>
      </c>
      <c r="I203" s="266">
        <v>86691.7</v>
      </c>
      <c r="J203" s="266">
        <v>0</v>
      </c>
      <c r="K203" s="266">
        <v>545857.99</v>
      </c>
      <c r="L203" s="266">
        <v>105627.33</v>
      </c>
      <c r="M203" s="266">
        <v>77793.3</v>
      </c>
      <c r="N203" s="266">
        <v>1658401.4</v>
      </c>
      <c r="O203" s="123">
        <v>5.2999999999999999E-2</v>
      </c>
      <c r="P203" s="123">
        <v>0.2661</v>
      </c>
      <c r="Q203" s="266">
        <v>0</v>
      </c>
      <c r="R203" s="266">
        <v>0</v>
      </c>
      <c r="S203" s="266">
        <v>0</v>
      </c>
      <c r="T203" s="266">
        <v>0</v>
      </c>
      <c r="U203" s="266">
        <v>0</v>
      </c>
      <c r="V203" s="266">
        <v>0</v>
      </c>
      <c r="W203" s="266">
        <v>0</v>
      </c>
      <c r="X203" s="266">
        <v>0</v>
      </c>
      <c r="Y203" s="266">
        <v>0</v>
      </c>
      <c r="Z203" s="266">
        <v>3052.94</v>
      </c>
      <c r="AA203" s="266">
        <v>0</v>
      </c>
      <c r="AB203" s="266">
        <v>59944.04</v>
      </c>
      <c r="AC203" s="266">
        <v>454049.28000000003</v>
      </c>
      <c r="AD203" s="266">
        <v>1354985.76</v>
      </c>
      <c r="AE203" s="237">
        <v>153.66999999999999</v>
      </c>
      <c r="AF203" s="266">
        <v>1248979.19</v>
      </c>
      <c r="AG203" s="237">
        <f t="shared" si="61"/>
        <v>8127.670918201341</v>
      </c>
      <c r="AH203" s="237">
        <f t="shared" si="62"/>
        <v>8817.5034814863029</v>
      </c>
      <c r="AI203" s="237">
        <f t="shared" si="63"/>
        <v>689.83256328496191</v>
      </c>
      <c r="AJ203" s="237">
        <v>52.93</v>
      </c>
      <c r="AK203" s="266">
        <v>415930.37</v>
      </c>
      <c r="AL203" s="237">
        <f t="shared" si="64"/>
        <v>7858.1214812015869</v>
      </c>
      <c r="AM203" s="237">
        <f t="shared" si="65"/>
        <v>8578.2973738900437</v>
      </c>
      <c r="AN203" s="237">
        <f t="shared" si="66"/>
        <v>720.17589268845677</v>
      </c>
      <c r="AO203" s="266">
        <v>0</v>
      </c>
      <c r="AP203" s="266">
        <v>0</v>
      </c>
      <c r="AQ203" s="266">
        <v>0</v>
      </c>
      <c r="AR203" s="266">
        <v>0</v>
      </c>
      <c r="AS203" s="358">
        <v>110208.17</v>
      </c>
      <c r="AT203" s="371">
        <v>12665.760000000024</v>
      </c>
      <c r="AU203" s="373">
        <v>168573.80999999997</v>
      </c>
    </row>
    <row r="204" spans="1:47">
      <c r="A204" s="238" t="s">
        <v>169</v>
      </c>
      <c r="B204" s="238" t="s">
        <v>1466</v>
      </c>
      <c r="C204" s="266">
        <v>498412.62</v>
      </c>
      <c r="D204" s="266">
        <v>0</v>
      </c>
      <c r="E204" s="266">
        <v>88718.94</v>
      </c>
      <c r="F204" s="266">
        <v>116302.24</v>
      </c>
      <c r="G204" s="266">
        <v>5384225.9900000002</v>
      </c>
      <c r="H204" s="266">
        <v>1130758.1599999999</v>
      </c>
      <c r="I204" s="266">
        <v>565915.53</v>
      </c>
      <c r="J204" s="266">
        <v>1236452.74</v>
      </c>
      <c r="K204" s="266">
        <v>2198297.16</v>
      </c>
      <c r="L204" s="266">
        <v>2742193.35</v>
      </c>
      <c r="M204" s="266">
        <v>124093.58</v>
      </c>
      <c r="N204" s="266">
        <v>2094723.66</v>
      </c>
      <c r="O204" s="123">
        <v>3.78E-2</v>
      </c>
      <c r="P204" s="123">
        <v>0.1573</v>
      </c>
      <c r="Q204" s="266">
        <v>0</v>
      </c>
      <c r="R204" s="266">
        <v>0</v>
      </c>
      <c r="S204" s="266">
        <v>0</v>
      </c>
      <c r="T204" s="266">
        <v>0</v>
      </c>
      <c r="U204" s="266">
        <v>0</v>
      </c>
      <c r="V204" s="266">
        <v>0</v>
      </c>
      <c r="W204" s="266">
        <v>0</v>
      </c>
      <c r="X204" s="266">
        <v>0</v>
      </c>
      <c r="Y204" s="266">
        <v>0</v>
      </c>
      <c r="Z204" s="266">
        <v>0</v>
      </c>
      <c r="AA204" s="266">
        <v>0</v>
      </c>
      <c r="AB204" s="266">
        <v>61318.400000000001</v>
      </c>
      <c r="AC204" s="266">
        <v>81211.100000000006</v>
      </c>
      <c r="AD204" s="266">
        <v>1682796.3</v>
      </c>
      <c r="AE204" s="237">
        <v>197.54</v>
      </c>
      <c r="AF204" s="266">
        <v>1541554.1</v>
      </c>
      <c r="AG204" s="237">
        <f t="shared" si="61"/>
        <v>7803.7567075022789</v>
      </c>
      <c r="AH204" s="237">
        <f t="shared" si="62"/>
        <v>8518.7622759947353</v>
      </c>
      <c r="AI204" s="237">
        <f t="shared" si="63"/>
        <v>715.0055684924564</v>
      </c>
      <c r="AJ204" s="237">
        <v>9.86</v>
      </c>
      <c r="AK204" s="266">
        <v>74293.39</v>
      </c>
      <c r="AL204" s="237">
        <f t="shared" si="64"/>
        <v>7534.8265720081135</v>
      </c>
      <c r="AM204" s="237">
        <f t="shared" si="65"/>
        <v>8236.4198782961466</v>
      </c>
      <c r="AN204" s="237">
        <f t="shared" si="66"/>
        <v>701.59330628803309</v>
      </c>
      <c r="AO204" s="266">
        <v>2787.64</v>
      </c>
      <c r="AP204" s="266">
        <v>0</v>
      </c>
      <c r="AQ204" s="266">
        <v>0</v>
      </c>
      <c r="AR204" s="266">
        <v>0</v>
      </c>
      <c r="AS204" s="358">
        <v>29383.85</v>
      </c>
      <c r="AT204" s="371">
        <v>0</v>
      </c>
      <c r="AU204" s="373">
        <v>320986.71999999997</v>
      </c>
    </row>
    <row r="205" spans="1:47">
      <c r="A205" s="238" t="s">
        <v>251</v>
      </c>
      <c r="B205" s="238" t="s">
        <v>1467</v>
      </c>
      <c r="C205" s="266">
        <v>0</v>
      </c>
      <c r="D205" s="266">
        <v>0</v>
      </c>
      <c r="E205" s="266">
        <v>0</v>
      </c>
      <c r="F205" s="266">
        <v>84.43</v>
      </c>
      <c r="G205" s="266">
        <v>38998.31</v>
      </c>
      <c r="H205" s="266">
        <v>1950.52</v>
      </c>
      <c r="I205" s="266">
        <v>0</v>
      </c>
      <c r="J205" s="266">
        <v>7153.74</v>
      </c>
      <c r="K205" s="266">
        <v>12399.82</v>
      </c>
      <c r="L205" s="266">
        <v>12534.68</v>
      </c>
      <c r="M205" s="266">
        <v>667.68</v>
      </c>
      <c r="N205" s="266">
        <v>91787.06</v>
      </c>
      <c r="O205" s="123">
        <v>9.2700000000000005E-2</v>
      </c>
      <c r="P205" s="123">
        <v>0.39660000000000001</v>
      </c>
      <c r="Q205" s="266">
        <v>0</v>
      </c>
      <c r="R205" s="266">
        <v>0</v>
      </c>
      <c r="S205" s="266">
        <v>0</v>
      </c>
      <c r="T205" s="266">
        <v>0</v>
      </c>
      <c r="U205" s="266">
        <v>0</v>
      </c>
      <c r="V205" s="266">
        <v>0</v>
      </c>
      <c r="W205" s="266">
        <v>0</v>
      </c>
      <c r="X205" s="266">
        <v>0</v>
      </c>
      <c r="Y205" s="266">
        <v>0</v>
      </c>
      <c r="Z205" s="266">
        <v>0</v>
      </c>
      <c r="AA205" s="266">
        <v>0</v>
      </c>
      <c r="AB205" s="266">
        <v>0</v>
      </c>
      <c r="AC205" s="266">
        <v>0</v>
      </c>
      <c r="AD205" s="266">
        <v>0</v>
      </c>
      <c r="AE205" s="237">
        <v>0</v>
      </c>
      <c r="AF205" s="266">
        <v>0</v>
      </c>
      <c r="AG205" s="237">
        <f t="shared" si="61"/>
        <v>0</v>
      </c>
      <c r="AH205" s="237">
        <f t="shared" si="62"/>
        <v>0</v>
      </c>
      <c r="AI205" s="237">
        <f t="shared" si="63"/>
        <v>0</v>
      </c>
      <c r="AJ205" s="237">
        <v>0</v>
      </c>
      <c r="AK205" s="266">
        <v>0</v>
      </c>
      <c r="AL205" s="237">
        <f t="shared" si="64"/>
        <v>0</v>
      </c>
      <c r="AM205" s="237">
        <f t="shared" si="65"/>
        <v>0</v>
      </c>
      <c r="AN205" s="237">
        <f t="shared" si="66"/>
        <v>0</v>
      </c>
      <c r="AO205" s="266">
        <v>0</v>
      </c>
      <c r="AP205" s="266">
        <v>0</v>
      </c>
      <c r="AQ205" s="266">
        <v>0</v>
      </c>
      <c r="AR205" s="266">
        <v>0</v>
      </c>
      <c r="AS205" s="358">
        <v>6401.59</v>
      </c>
      <c r="AT205" s="371">
        <v>1506.6499999999999</v>
      </c>
      <c r="AU205" s="373">
        <v>3060.2999999999997</v>
      </c>
    </row>
    <row r="206" spans="1:47">
      <c r="A206" s="238" t="s">
        <v>698</v>
      </c>
      <c r="B206" s="238" t="s">
        <v>1468</v>
      </c>
      <c r="C206" s="266">
        <v>0</v>
      </c>
      <c r="D206" s="266">
        <v>0</v>
      </c>
      <c r="E206" s="266">
        <v>0</v>
      </c>
      <c r="F206" s="266">
        <v>0</v>
      </c>
      <c r="G206" s="266">
        <v>192340.88</v>
      </c>
      <c r="H206" s="266">
        <v>31013.51</v>
      </c>
      <c r="I206" s="266">
        <v>0</v>
      </c>
      <c r="J206" s="266">
        <v>0</v>
      </c>
      <c r="K206" s="266">
        <v>35387.18</v>
      </c>
      <c r="L206" s="266">
        <v>0</v>
      </c>
      <c r="M206" s="266">
        <v>0</v>
      </c>
      <c r="N206" s="266">
        <v>0</v>
      </c>
      <c r="O206" s="123">
        <v>5.45E-2</v>
      </c>
      <c r="P206" s="123">
        <v>0.32819999999999999</v>
      </c>
      <c r="Q206" s="266">
        <v>0</v>
      </c>
      <c r="R206" s="266">
        <v>0</v>
      </c>
      <c r="S206" s="266">
        <v>0</v>
      </c>
      <c r="T206" s="266">
        <v>0</v>
      </c>
      <c r="U206" s="266">
        <v>0</v>
      </c>
      <c r="V206" s="266">
        <v>0</v>
      </c>
      <c r="W206" s="266">
        <v>0</v>
      </c>
      <c r="X206" s="266">
        <v>0</v>
      </c>
      <c r="Y206" s="266">
        <v>0</v>
      </c>
      <c r="Z206" s="266">
        <v>0</v>
      </c>
      <c r="AA206" s="266">
        <v>0</v>
      </c>
      <c r="AB206" s="266">
        <v>0</v>
      </c>
      <c r="AC206" s="266">
        <v>0</v>
      </c>
      <c r="AD206" s="266">
        <v>90647.14</v>
      </c>
      <c r="AE206" s="237">
        <v>11.01</v>
      </c>
      <c r="AF206" s="266">
        <v>85843.99</v>
      </c>
      <c r="AG206" s="237">
        <f t="shared" si="61"/>
        <v>7796.9109900090834</v>
      </c>
      <c r="AH206" s="237">
        <f t="shared" si="62"/>
        <v>8233.1643960036326</v>
      </c>
      <c r="AI206" s="237">
        <f t="shared" si="63"/>
        <v>436.25340599454921</v>
      </c>
      <c r="AJ206" s="237">
        <v>0</v>
      </c>
      <c r="AK206" s="266">
        <v>0</v>
      </c>
      <c r="AL206" s="237">
        <f t="shared" si="64"/>
        <v>0</v>
      </c>
      <c r="AM206" s="237">
        <f t="shared" si="65"/>
        <v>0</v>
      </c>
      <c r="AN206" s="237">
        <f t="shared" si="66"/>
        <v>0</v>
      </c>
      <c r="AO206" s="266">
        <v>0</v>
      </c>
      <c r="AP206" s="266">
        <v>0</v>
      </c>
      <c r="AQ206" s="266">
        <v>0</v>
      </c>
      <c r="AR206" s="266">
        <v>0</v>
      </c>
      <c r="AS206" s="358">
        <v>0</v>
      </c>
      <c r="AT206" s="371">
        <v>8098.05</v>
      </c>
      <c r="AU206" s="373">
        <v>16472.289999999997</v>
      </c>
    </row>
    <row r="207" spans="1:47">
      <c r="A207" s="238" t="s">
        <v>269</v>
      </c>
      <c r="B207" s="238" t="s">
        <v>1469</v>
      </c>
      <c r="C207" s="266">
        <v>0</v>
      </c>
      <c r="D207" s="266">
        <v>0</v>
      </c>
      <c r="E207" s="266">
        <v>0</v>
      </c>
      <c r="F207" s="266">
        <v>166760.78</v>
      </c>
      <c r="G207" s="266">
        <v>20859086.199999999</v>
      </c>
      <c r="H207" s="266">
        <v>5288275.54</v>
      </c>
      <c r="I207" s="266">
        <v>1334397.82</v>
      </c>
      <c r="J207" s="266">
        <v>3993695.58</v>
      </c>
      <c r="K207" s="266">
        <v>7858814.5899999999</v>
      </c>
      <c r="L207" s="266">
        <v>9650481.3399999999</v>
      </c>
      <c r="M207" s="266">
        <v>505054.17</v>
      </c>
      <c r="N207" s="266">
        <v>8010039.8899999997</v>
      </c>
      <c r="O207" s="123">
        <v>3.2500000000000001E-2</v>
      </c>
      <c r="P207" s="123">
        <v>0.12790000000000001</v>
      </c>
      <c r="Q207" s="266">
        <v>0</v>
      </c>
      <c r="R207" s="266">
        <v>0</v>
      </c>
      <c r="S207" s="266">
        <v>0</v>
      </c>
      <c r="T207" s="266">
        <v>0</v>
      </c>
      <c r="U207" s="266">
        <v>0</v>
      </c>
      <c r="V207" s="266">
        <v>0</v>
      </c>
      <c r="W207" s="266">
        <v>0</v>
      </c>
      <c r="X207" s="266">
        <v>0</v>
      </c>
      <c r="Y207" s="266">
        <v>0</v>
      </c>
      <c r="Z207" s="266">
        <v>0</v>
      </c>
      <c r="AA207" s="266">
        <v>0</v>
      </c>
      <c r="AB207" s="266">
        <v>208899.73</v>
      </c>
      <c r="AC207" s="266">
        <v>518606.18</v>
      </c>
      <c r="AD207" s="266">
        <v>7232534.7699999996</v>
      </c>
      <c r="AE207" s="237">
        <v>859.66</v>
      </c>
      <c r="AF207" s="266">
        <v>6708243.5</v>
      </c>
      <c r="AG207" s="237">
        <f t="shared" si="61"/>
        <v>7803.3681920759373</v>
      </c>
      <c r="AH207" s="237">
        <f t="shared" si="62"/>
        <v>8413.2503198939121</v>
      </c>
      <c r="AI207" s="237">
        <f t="shared" si="63"/>
        <v>609.88212781797483</v>
      </c>
      <c r="AJ207" s="237">
        <v>63.02</v>
      </c>
      <c r="AK207" s="266">
        <v>474895.31</v>
      </c>
      <c r="AL207" s="237">
        <f t="shared" si="64"/>
        <v>7535.6285306251975</v>
      </c>
      <c r="AM207" s="237">
        <f t="shared" si="65"/>
        <v>8229.2316724849243</v>
      </c>
      <c r="AN207" s="237">
        <f t="shared" si="66"/>
        <v>693.60314185972675</v>
      </c>
      <c r="AO207" s="266">
        <v>0</v>
      </c>
      <c r="AP207" s="266">
        <v>0</v>
      </c>
      <c r="AQ207" s="266">
        <v>0</v>
      </c>
      <c r="AR207" s="266">
        <v>0</v>
      </c>
      <c r="AS207" s="358">
        <v>0</v>
      </c>
      <c r="AT207" s="371">
        <v>71272.899999999907</v>
      </c>
      <c r="AU207" s="373">
        <v>1237361.24</v>
      </c>
    </row>
    <row r="208" spans="1:47">
      <c r="A208" s="238" t="s">
        <v>483</v>
      </c>
      <c r="B208" s="238" t="s">
        <v>1470</v>
      </c>
      <c r="C208" s="266">
        <v>0</v>
      </c>
      <c r="D208" s="266">
        <v>0</v>
      </c>
      <c r="E208" s="266">
        <v>1113.6400000000001</v>
      </c>
      <c r="F208" s="266">
        <v>5298.97</v>
      </c>
      <c r="G208" s="266">
        <v>392661.04</v>
      </c>
      <c r="H208" s="266">
        <v>66425.440000000002</v>
      </c>
      <c r="I208" s="266">
        <v>18318.080000000002</v>
      </c>
      <c r="J208" s="266">
        <v>89320.49</v>
      </c>
      <c r="K208" s="266">
        <v>140741.46</v>
      </c>
      <c r="L208" s="266">
        <v>72884.240000000005</v>
      </c>
      <c r="M208" s="266">
        <v>8586.61</v>
      </c>
      <c r="N208" s="266">
        <v>207882.37</v>
      </c>
      <c r="O208" s="123">
        <v>5.7500000000000002E-2</v>
      </c>
      <c r="P208" s="123">
        <v>0.3261</v>
      </c>
      <c r="Q208" s="266">
        <v>0</v>
      </c>
      <c r="R208" s="266">
        <v>0</v>
      </c>
      <c r="S208" s="266">
        <v>0</v>
      </c>
      <c r="T208" s="266">
        <v>0</v>
      </c>
      <c r="U208" s="266">
        <v>0</v>
      </c>
      <c r="V208" s="266">
        <v>0</v>
      </c>
      <c r="W208" s="266">
        <v>0</v>
      </c>
      <c r="X208" s="266">
        <v>0</v>
      </c>
      <c r="Y208" s="266">
        <v>0</v>
      </c>
      <c r="Z208" s="266">
        <v>0</v>
      </c>
      <c r="AA208" s="266">
        <v>0</v>
      </c>
      <c r="AB208" s="266">
        <v>0</v>
      </c>
      <c r="AC208" s="266">
        <v>0</v>
      </c>
      <c r="AD208" s="266">
        <v>83228.539999999994</v>
      </c>
      <c r="AE208" s="237">
        <v>9</v>
      </c>
      <c r="AF208" s="266">
        <v>71659.58</v>
      </c>
      <c r="AG208" s="237">
        <f t="shared" si="61"/>
        <v>7962.1755555555555</v>
      </c>
      <c r="AH208" s="237">
        <f t="shared" si="62"/>
        <v>9247.6155555555542</v>
      </c>
      <c r="AI208" s="237">
        <f t="shared" si="63"/>
        <v>1285.4399999999987</v>
      </c>
      <c r="AJ208" s="237">
        <v>0</v>
      </c>
      <c r="AK208" s="266">
        <v>0</v>
      </c>
      <c r="AL208" s="237">
        <f t="shared" si="64"/>
        <v>0</v>
      </c>
      <c r="AM208" s="237">
        <f t="shared" si="65"/>
        <v>0</v>
      </c>
      <c r="AN208" s="237">
        <f t="shared" si="66"/>
        <v>0</v>
      </c>
      <c r="AO208" s="266">
        <v>0</v>
      </c>
      <c r="AP208" s="266">
        <v>0</v>
      </c>
      <c r="AQ208" s="266">
        <v>0</v>
      </c>
      <c r="AR208" s="266">
        <v>0</v>
      </c>
      <c r="AS208" s="358">
        <v>2142.27</v>
      </c>
      <c r="AT208" s="371">
        <v>0</v>
      </c>
      <c r="AU208" s="373">
        <v>25355.58</v>
      </c>
    </row>
    <row r="209" spans="1:47">
      <c r="A209" s="238" t="s">
        <v>181</v>
      </c>
      <c r="B209" s="238" t="s">
        <v>1471</v>
      </c>
      <c r="C209" s="266">
        <v>8336.44</v>
      </c>
      <c r="D209" s="266">
        <v>0</v>
      </c>
      <c r="E209" s="266">
        <v>6427.41</v>
      </c>
      <c r="F209" s="266">
        <v>0</v>
      </c>
      <c r="G209" s="266">
        <v>131541.67000000001</v>
      </c>
      <c r="H209" s="266">
        <v>30028.09</v>
      </c>
      <c r="I209" s="266">
        <v>8809.41</v>
      </c>
      <c r="J209" s="266">
        <v>32334.92</v>
      </c>
      <c r="K209" s="266">
        <v>51411.56</v>
      </c>
      <c r="L209" s="266">
        <v>41719.870000000003</v>
      </c>
      <c r="M209" s="266">
        <v>0</v>
      </c>
      <c r="N209" s="266">
        <v>331850.59000000003</v>
      </c>
      <c r="O209" s="123">
        <v>0</v>
      </c>
      <c r="P209" s="123">
        <v>0.23300000000000001</v>
      </c>
      <c r="Q209" s="266">
        <v>0</v>
      </c>
      <c r="R209" s="266">
        <v>0</v>
      </c>
      <c r="S209" s="266">
        <v>0</v>
      </c>
      <c r="T209" s="266">
        <v>0</v>
      </c>
      <c r="U209" s="266">
        <v>0</v>
      </c>
      <c r="V209" s="266">
        <v>0</v>
      </c>
      <c r="W209" s="266">
        <v>0</v>
      </c>
      <c r="X209" s="266">
        <v>0</v>
      </c>
      <c r="Y209" s="266">
        <v>0</v>
      </c>
      <c r="Z209" s="266">
        <v>119.66</v>
      </c>
      <c r="AA209" s="266">
        <v>0</v>
      </c>
      <c r="AB209" s="266">
        <v>0</v>
      </c>
      <c r="AC209" s="266">
        <v>0</v>
      </c>
      <c r="AD209" s="266">
        <v>0</v>
      </c>
      <c r="AE209" s="237">
        <v>0</v>
      </c>
      <c r="AF209" s="266">
        <v>0</v>
      </c>
      <c r="AG209" s="237">
        <f t="shared" si="61"/>
        <v>0</v>
      </c>
      <c r="AH209" s="237">
        <f t="shared" si="62"/>
        <v>0</v>
      </c>
      <c r="AI209" s="237">
        <f t="shared" si="63"/>
        <v>0</v>
      </c>
      <c r="AJ209" s="237">
        <v>0</v>
      </c>
      <c r="AK209" s="266">
        <v>0</v>
      </c>
      <c r="AL209" s="237">
        <f t="shared" si="64"/>
        <v>0</v>
      </c>
      <c r="AM209" s="237">
        <f t="shared" si="65"/>
        <v>0</v>
      </c>
      <c r="AN209" s="237">
        <f t="shared" si="66"/>
        <v>0</v>
      </c>
      <c r="AO209" s="266">
        <v>0</v>
      </c>
      <c r="AP209" s="266">
        <v>0</v>
      </c>
      <c r="AQ209" s="266">
        <v>0</v>
      </c>
      <c r="AR209" s="266">
        <v>0</v>
      </c>
      <c r="AS209" s="358">
        <v>0</v>
      </c>
      <c r="AT209" s="371">
        <v>1839.7800000000007</v>
      </c>
      <c r="AU209" s="373">
        <v>7724.67</v>
      </c>
    </row>
    <row r="210" spans="1:47">
      <c r="A210" s="238" t="s">
        <v>437</v>
      </c>
      <c r="B210" s="238" t="s">
        <v>1472</v>
      </c>
      <c r="C210" s="266">
        <v>0</v>
      </c>
      <c r="D210" s="266">
        <v>0</v>
      </c>
      <c r="E210" s="266">
        <v>0</v>
      </c>
      <c r="F210" s="266">
        <v>0</v>
      </c>
      <c r="G210" s="266">
        <v>368709.56</v>
      </c>
      <c r="H210" s="266">
        <v>51563.63</v>
      </c>
      <c r="I210" s="266">
        <v>76407.740000000005</v>
      </c>
      <c r="J210" s="266">
        <v>74713.399999999994</v>
      </c>
      <c r="K210" s="266">
        <v>83299.990000000005</v>
      </c>
      <c r="L210" s="266">
        <v>0</v>
      </c>
      <c r="M210" s="266">
        <v>7204.85</v>
      </c>
      <c r="N210" s="266">
        <v>189956.93</v>
      </c>
      <c r="O210" s="123">
        <v>3.8199999999999998E-2</v>
      </c>
      <c r="P210" s="123">
        <v>0.22459999999999999</v>
      </c>
      <c r="Q210" s="266">
        <v>0</v>
      </c>
      <c r="R210" s="266">
        <v>0</v>
      </c>
      <c r="S210" s="266">
        <v>0</v>
      </c>
      <c r="T210" s="266">
        <v>0</v>
      </c>
      <c r="U210" s="266">
        <v>0</v>
      </c>
      <c r="V210" s="266">
        <v>0</v>
      </c>
      <c r="W210" s="266">
        <v>0</v>
      </c>
      <c r="X210" s="266">
        <v>0</v>
      </c>
      <c r="Y210" s="266">
        <v>0</v>
      </c>
      <c r="Z210" s="266">
        <v>0</v>
      </c>
      <c r="AA210" s="266">
        <v>7072.96</v>
      </c>
      <c r="AB210" s="266">
        <v>0</v>
      </c>
      <c r="AC210" s="266">
        <v>32800.49</v>
      </c>
      <c r="AD210" s="266">
        <v>159558.48000000001</v>
      </c>
      <c r="AE210" s="237">
        <v>16.95</v>
      </c>
      <c r="AF210" s="266">
        <v>134930.53</v>
      </c>
      <c r="AG210" s="237">
        <f t="shared" si="61"/>
        <v>7960.5032448377588</v>
      </c>
      <c r="AH210" s="237">
        <f t="shared" si="62"/>
        <v>9413.4796460177004</v>
      </c>
      <c r="AI210" s="237">
        <f t="shared" si="63"/>
        <v>1452.9764011799416</v>
      </c>
      <c r="AJ210" s="237">
        <v>3.9</v>
      </c>
      <c r="AK210" s="266">
        <v>29856.43</v>
      </c>
      <c r="AL210" s="237">
        <f t="shared" si="64"/>
        <v>7655.4948717948719</v>
      </c>
      <c r="AM210" s="237">
        <f t="shared" si="65"/>
        <v>8410.3820512820512</v>
      </c>
      <c r="AN210" s="237">
        <f t="shared" si="66"/>
        <v>754.88717948717931</v>
      </c>
      <c r="AO210" s="266">
        <v>0</v>
      </c>
      <c r="AP210" s="266">
        <v>0</v>
      </c>
      <c r="AQ210" s="266">
        <v>0</v>
      </c>
      <c r="AR210" s="266">
        <v>0</v>
      </c>
      <c r="AS210" s="358">
        <v>25862.41</v>
      </c>
      <c r="AT210" s="371">
        <v>877.38000000000102</v>
      </c>
      <c r="AU210" s="373">
        <v>22306.749999999996</v>
      </c>
    </row>
    <row r="211" spans="1:47">
      <c r="A211" s="238" t="s">
        <v>526</v>
      </c>
      <c r="B211" s="238" t="s">
        <v>1473</v>
      </c>
      <c r="C211" s="266">
        <v>0</v>
      </c>
      <c r="D211" s="266">
        <v>0</v>
      </c>
      <c r="E211" s="266">
        <v>142712.16</v>
      </c>
      <c r="F211" s="266">
        <v>3845.42</v>
      </c>
      <c r="G211" s="266">
        <v>13013057.199999999</v>
      </c>
      <c r="H211" s="266">
        <v>2408870.48</v>
      </c>
      <c r="I211" s="266">
        <v>661609.56000000006</v>
      </c>
      <c r="J211" s="266">
        <v>79232.899999999994</v>
      </c>
      <c r="K211" s="266">
        <v>1311744.8700000001</v>
      </c>
      <c r="L211" s="266">
        <v>335117.25</v>
      </c>
      <c r="M211" s="266">
        <v>289107.74</v>
      </c>
      <c r="N211" s="266">
        <v>6469020.29</v>
      </c>
      <c r="O211" s="123">
        <v>4.02E-2</v>
      </c>
      <c r="P211" s="123">
        <v>0.1648</v>
      </c>
      <c r="Q211" s="266">
        <v>0</v>
      </c>
      <c r="R211" s="266">
        <v>0</v>
      </c>
      <c r="S211" s="266">
        <v>0</v>
      </c>
      <c r="T211" s="266">
        <v>0</v>
      </c>
      <c r="U211" s="266">
        <v>0</v>
      </c>
      <c r="V211" s="266">
        <v>0</v>
      </c>
      <c r="W211" s="266">
        <v>0</v>
      </c>
      <c r="X211" s="266">
        <v>0</v>
      </c>
      <c r="Y211" s="266">
        <v>0</v>
      </c>
      <c r="Z211" s="266">
        <v>10557.4</v>
      </c>
      <c r="AA211" s="266">
        <v>82300.3</v>
      </c>
      <c r="AB211" s="266">
        <v>155527.12</v>
      </c>
      <c r="AC211" s="266">
        <v>930518.19</v>
      </c>
      <c r="AD211" s="266">
        <v>4046580.5</v>
      </c>
      <c r="AE211" s="237">
        <v>428.5</v>
      </c>
      <c r="AF211" s="266">
        <v>3689350.48</v>
      </c>
      <c r="AG211" s="237">
        <f t="shared" si="61"/>
        <v>8609.919439906651</v>
      </c>
      <c r="AH211" s="237">
        <f t="shared" si="62"/>
        <v>9443.5950991831978</v>
      </c>
      <c r="AI211" s="237">
        <f t="shared" si="63"/>
        <v>833.67565927654687</v>
      </c>
      <c r="AJ211" s="237">
        <v>102.23</v>
      </c>
      <c r="AK211" s="266">
        <v>851722.3</v>
      </c>
      <c r="AL211" s="237">
        <f t="shared" si="64"/>
        <v>8331.4320649515794</v>
      </c>
      <c r="AM211" s="237">
        <f t="shared" si="65"/>
        <v>9102.2027780494955</v>
      </c>
      <c r="AN211" s="237">
        <f t="shared" si="66"/>
        <v>770.77071309791609</v>
      </c>
      <c r="AO211" s="266">
        <v>0</v>
      </c>
      <c r="AP211" s="266">
        <v>0</v>
      </c>
      <c r="AQ211" s="266">
        <v>0</v>
      </c>
      <c r="AR211" s="266">
        <v>0</v>
      </c>
      <c r="AS211" s="358">
        <v>356628.65</v>
      </c>
      <c r="AT211" s="371">
        <v>42057.5</v>
      </c>
      <c r="AU211" s="373">
        <v>626601.04999999993</v>
      </c>
    </row>
    <row r="212" spans="1:47">
      <c r="A212" s="238" t="s">
        <v>469</v>
      </c>
      <c r="B212" s="238" t="s">
        <v>1474</v>
      </c>
      <c r="C212" s="266">
        <v>0</v>
      </c>
      <c r="D212" s="266">
        <v>0</v>
      </c>
      <c r="E212" s="266">
        <v>7897.22</v>
      </c>
      <c r="F212" s="266">
        <v>13196.31</v>
      </c>
      <c r="G212" s="266">
        <v>1086138.53</v>
      </c>
      <c r="H212" s="266">
        <v>141719.81</v>
      </c>
      <c r="I212" s="266">
        <v>132967.35</v>
      </c>
      <c r="J212" s="266">
        <v>207076.98</v>
      </c>
      <c r="K212" s="266">
        <v>293780.32</v>
      </c>
      <c r="L212" s="266">
        <v>33020.44</v>
      </c>
      <c r="M212" s="266">
        <v>20125.86</v>
      </c>
      <c r="N212" s="266">
        <v>688255.56</v>
      </c>
      <c r="O212" s="123">
        <v>2.53E-2</v>
      </c>
      <c r="P212" s="123">
        <v>0.20710000000000001</v>
      </c>
      <c r="Q212" s="266">
        <v>0</v>
      </c>
      <c r="R212" s="266">
        <v>0</v>
      </c>
      <c r="S212" s="266">
        <v>0</v>
      </c>
      <c r="T212" s="266">
        <v>0</v>
      </c>
      <c r="U212" s="266">
        <v>0</v>
      </c>
      <c r="V212" s="266">
        <v>0</v>
      </c>
      <c r="W212" s="266">
        <v>0</v>
      </c>
      <c r="X212" s="266">
        <v>0</v>
      </c>
      <c r="Y212" s="266">
        <v>0</v>
      </c>
      <c r="Z212" s="266">
        <v>872.74</v>
      </c>
      <c r="AA212" s="266">
        <v>0</v>
      </c>
      <c r="AB212" s="266">
        <v>0</v>
      </c>
      <c r="AC212" s="266">
        <v>0</v>
      </c>
      <c r="AD212" s="266">
        <v>0</v>
      </c>
      <c r="AE212" s="237">
        <v>0</v>
      </c>
      <c r="AF212" s="266">
        <v>0</v>
      </c>
      <c r="AG212" s="237">
        <f t="shared" si="61"/>
        <v>0</v>
      </c>
      <c r="AH212" s="237">
        <f t="shared" si="62"/>
        <v>0</v>
      </c>
      <c r="AI212" s="237">
        <f t="shared" si="63"/>
        <v>0</v>
      </c>
      <c r="AJ212" s="237">
        <v>0</v>
      </c>
      <c r="AK212" s="266">
        <v>0</v>
      </c>
      <c r="AL212" s="237">
        <f t="shared" si="64"/>
        <v>0</v>
      </c>
      <c r="AM212" s="237">
        <f t="shared" si="65"/>
        <v>0</v>
      </c>
      <c r="AN212" s="237">
        <f t="shared" si="66"/>
        <v>0</v>
      </c>
      <c r="AO212" s="266">
        <v>0</v>
      </c>
      <c r="AP212" s="266">
        <v>0</v>
      </c>
      <c r="AQ212" s="266">
        <v>0</v>
      </c>
      <c r="AR212" s="266">
        <v>0</v>
      </c>
      <c r="AS212" s="358">
        <v>65470.63</v>
      </c>
      <c r="AT212" s="371">
        <v>0</v>
      </c>
      <c r="AU212" s="373">
        <v>50545.82</v>
      </c>
    </row>
    <row r="213" spans="1:47">
      <c r="A213" s="238" t="s">
        <v>277</v>
      </c>
      <c r="B213" s="238" t="s">
        <v>1475</v>
      </c>
      <c r="C213" s="266">
        <v>0</v>
      </c>
      <c r="D213" s="266">
        <v>0</v>
      </c>
      <c r="E213" s="266">
        <v>0</v>
      </c>
      <c r="F213" s="266">
        <v>0</v>
      </c>
      <c r="G213" s="266">
        <v>416755.21</v>
      </c>
      <c r="H213" s="266">
        <v>66827.48</v>
      </c>
      <c r="I213" s="266">
        <v>19738.3</v>
      </c>
      <c r="J213" s="266">
        <v>47867.9</v>
      </c>
      <c r="K213" s="266">
        <v>102940.63</v>
      </c>
      <c r="L213" s="266">
        <v>6969.01</v>
      </c>
      <c r="M213" s="266">
        <v>8685.31</v>
      </c>
      <c r="N213" s="266">
        <v>298784.40000000002</v>
      </c>
      <c r="O213" s="123">
        <v>5.8700000000000002E-2</v>
      </c>
      <c r="P213" s="123">
        <v>0.2606</v>
      </c>
      <c r="Q213" s="266">
        <v>0</v>
      </c>
      <c r="R213" s="266">
        <v>0</v>
      </c>
      <c r="S213" s="266">
        <v>0</v>
      </c>
      <c r="T213" s="266">
        <v>0</v>
      </c>
      <c r="U213" s="266">
        <v>0</v>
      </c>
      <c r="V213" s="266">
        <v>0</v>
      </c>
      <c r="W213" s="266">
        <v>0</v>
      </c>
      <c r="X213" s="266">
        <v>0</v>
      </c>
      <c r="Y213" s="266">
        <v>0</v>
      </c>
      <c r="Z213" s="266">
        <v>0</v>
      </c>
      <c r="AA213" s="266">
        <v>0</v>
      </c>
      <c r="AB213" s="266">
        <v>12309.8</v>
      </c>
      <c r="AC213" s="266">
        <v>85995.48</v>
      </c>
      <c r="AD213" s="266">
        <v>192152.84</v>
      </c>
      <c r="AE213" s="237">
        <v>22.46</v>
      </c>
      <c r="AF213" s="266">
        <v>178718.07</v>
      </c>
      <c r="AG213" s="237">
        <f t="shared" si="61"/>
        <v>7957.171415850401</v>
      </c>
      <c r="AH213" s="237">
        <f t="shared" si="62"/>
        <v>8555.3357079252</v>
      </c>
      <c r="AI213" s="237">
        <f t="shared" si="63"/>
        <v>598.16429207479905</v>
      </c>
      <c r="AJ213" s="237">
        <v>10.23</v>
      </c>
      <c r="AK213" s="266">
        <v>78686.91</v>
      </c>
      <c r="AL213" s="237">
        <f t="shared" si="64"/>
        <v>7691.7800586510266</v>
      </c>
      <c r="AM213" s="237">
        <f t="shared" si="65"/>
        <v>8406.2052785923752</v>
      </c>
      <c r="AN213" s="237">
        <f t="shared" si="66"/>
        <v>714.42521994134859</v>
      </c>
      <c r="AO213" s="266">
        <v>0</v>
      </c>
      <c r="AP213" s="266">
        <v>0</v>
      </c>
      <c r="AQ213" s="266">
        <v>0</v>
      </c>
      <c r="AR213" s="266">
        <v>0</v>
      </c>
      <c r="AS213" s="358">
        <v>23672.400000000001</v>
      </c>
      <c r="AT213" s="371">
        <v>4482.88</v>
      </c>
      <c r="AU213" s="373">
        <v>25294.760000000002</v>
      </c>
    </row>
    <row r="214" spans="1:47">
      <c r="A214" s="238" t="s">
        <v>205</v>
      </c>
      <c r="B214" s="238" t="s">
        <v>1476</v>
      </c>
      <c r="C214" s="266">
        <v>0</v>
      </c>
      <c r="D214" s="266">
        <v>0</v>
      </c>
      <c r="E214" s="266">
        <v>91072.52</v>
      </c>
      <c r="F214" s="266">
        <v>22801.26</v>
      </c>
      <c r="G214" s="266">
        <v>5010598.8</v>
      </c>
      <c r="H214" s="266">
        <v>1123486.71</v>
      </c>
      <c r="I214" s="266">
        <v>172226.04</v>
      </c>
      <c r="J214" s="266">
        <v>777732.21</v>
      </c>
      <c r="K214" s="266">
        <v>1244793.1200000001</v>
      </c>
      <c r="L214" s="266">
        <v>96472.320000000007</v>
      </c>
      <c r="M214" s="266">
        <v>105497.74</v>
      </c>
      <c r="N214" s="266">
        <v>1685517.5</v>
      </c>
      <c r="O214" s="123">
        <v>4.9799999999999997E-2</v>
      </c>
      <c r="P214" s="123">
        <v>0.16869999999999999</v>
      </c>
      <c r="Q214" s="266">
        <v>0</v>
      </c>
      <c r="R214" s="266">
        <v>0</v>
      </c>
      <c r="S214" s="266">
        <v>0</v>
      </c>
      <c r="T214" s="266">
        <v>0</v>
      </c>
      <c r="U214" s="266">
        <v>0</v>
      </c>
      <c r="V214" s="266">
        <v>0</v>
      </c>
      <c r="W214" s="266">
        <v>0</v>
      </c>
      <c r="X214" s="266">
        <v>0</v>
      </c>
      <c r="Y214" s="266">
        <v>0</v>
      </c>
      <c r="Z214" s="266">
        <v>914.46</v>
      </c>
      <c r="AA214" s="266">
        <v>0</v>
      </c>
      <c r="AB214" s="266">
        <v>79717.81</v>
      </c>
      <c r="AC214" s="266">
        <v>482580.29</v>
      </c>
      <c r="AD214" s="266">
        <v>1729945.2</v>
      </c>
      <c r="AE214" s="237">
        <v>191.25</v>
      </c>
      <c r="AF214" s="266">
        <v>1554577.67</v>
      </c>
      <c r="AG214" s="237">
        <f t="shared" si="61"/>
        <v>8128.5106928104569</v>
      </c>
      <c r="AH214" s="237">
        <f t="shared" si="62"/>
        <v>9045.4650980392162</v>
      </c>
      <c r="AI214" s="237">
        <f t="shared" si="63"/>
        <v>916.95440522875924</v>
      </c>
      <c r="AJ214" s="237">
        <v>56.23</v>
      </c>
      <c r="AK214" s="266">
        <v>441725.03</v>
      </c>
      <c r="AL214" s="237">
        <f t="shared" si="64"/>
        <v>7855.6825537969062</v>
      </c>
      <c r="AM214" s="237">
        <f t="shared" si="65"/>
        <v>8582.256624577627</v>
      </c>
      <c r="AN214" s="237">
        <f t="shared" si="66"/>
        <v>726.57407078072083</v>
      </c>
      <c r="AO214" s="266">
        <v>0</v>
      </c>
      <c r="AP214" s="266">
        <v>0</v>
      </c>
      <c r="AQ214" s="266">
        <v>0</v>
      </c>
      <c r="AR214" s="266">
        <v>0</v>
      </c>
      <c r="AS214" s="358">
        <v>95920.13</v>
      </c>
      <c r="AT214" s="371">
        <v>10422.48000000004</v>
      </c>
      <c r="AU214" s="373">
        <v>243092.85</v>
      </c>
    </row>
    <row r="215" spans="1:47">
      <c r="A215" s="238" t="s">
        <v>339</v>
      </c>
      <c r="B215" s="238" t="s">
        <v>1477</v>
      </c>
      <c r="C215" s="266">
        <v>0</v>
      </c>
      <c r="D215" s="266">
        <v>0</v>
      </c>
      <c r="E215" s="266">
        <v>17084.2</v>
      </c>
      <c r="F215" s="266">
        <v>19129.099999999999</v>
      </c>
      <c r="G215" s="266">
        <v>1740339.11</v>
      </c>
      <c r="H215" s="266">
        <v>275863.24</v>
      </c>
      <c r="I215" s="266">
        <v>112205.75</v>
      </c>
      <c r="J215" s="266">
        <v>243364.88</v>
      </c>
      <c r="K215" s="266">
        <v>405953.78</v>
      </c>
      <c r="L215" s="266">
        <v>47082.77</v>
      </c>
      <c r="M215" s="266">
        <v>35670.01</v>
      </c>
      <c r="N215" s="266">
        <v>641197.73</v>
      </c>
      <c r="O215" s="123">
        <v>5.1499999999999997E-2</v>
      </c>
      <c r="P215" s="123">
        <v>0.21260000000000001</v>
      </c>
      <c r="Q215" s="266">
        <v>0</v>
      </c>
      <c r="R215" s="266">
        <v>0</v>
      </c>
      <c r="S215" s="266">
        <v>0</v>
      </c>
      <c r="T215" s="266">
        <v>0</v>
      </c>
      <c r="U215" s="266">
        <v>0</v>
      </c>
      <c r="V215" s="266">
        <v>0</v>
      </c>
      <c r="W215" s="266">
        <v>0</v>
      </c>
      <c r="X215" s="266">
        <v>0</v>
      </c>
      <c r="Y215" s="266">
        <v>0</v>
      </c>
      <c r="Z215" s="266">
        <v>0</v>
      </c>
      <c r="AA215" s="266">
        <v>0</v>
      </c>
      <c r="AB215" s="266">
        <v>0</v>
      </c>
      <c r="AC215" s="266">
        <v>0</v>
      </c>
      <c r="AD215" s="266">
        <v>502723.38</v>
      </c>
      <c r="AE215" s="237">
        <v>53.84</v>
      </c>
      <c r="AF215" s="266">
        <v>446062.86</v>
      </c>
      <c r="AG215" s="237">
        <f t="shared" si="61"/>
        <v>8284.9713967310545</v>
      </c>
      <c r="AH215" s="237">
        <f t="shared" si="62"/>
        <v>9337.3584695393747</v>
      </c>
      <c r="AI215" s="237">
        <f t="shared" si="63"/>
        <v>1052.3870728083202</v>
      </c>
      <c r="AJ215" s="237">
        <v>0</v>
      </c>
      <c r="AK215" s="266">
        <v>0</v>
      </c>
      <c r="AL215" s="237">
        <f t="shared" si="64"/>
        <v>0</v>
      </c>
      <c r="AM215" s="237">
        <f t="shared" si="65"/>
        <v>0</v>
      </c>
      <c r="AN215" s="237">
        <f t="shared" si="66"/>
        <v>0</v>
      </c>
      <c r="AO215" s="266">
        <v>0</v>
      </c>
      <c r="AP215" s="266">
        <v>0</v>
      </c>
      <c r="AQ215" s="266">
        <v>0</v>
      </c>
      <c r="AR215" s="266">
        <v>0</v>
      </c>
      <c r="AS215" s="358">
        <v>39199.18</v>
      </c>
      <c r="AT215" s="371">
        <v>5159.7599999999984</v>
      </c>
      <c r="AU215" s="373">
        <v>79240.59</v>
      </c>
    </row>
    <row r="216" spans="1:47">
      <c r="A216" s="238" t="s">
        <v>672</v>
      </c>
      <c r="B216" s="238" t="s">
        <v>1478</v>
      </c>
      <c r="C216" s="266">
        <v>0</v>
      </c>
      <c r="D216" s="266">
        <v>0</v>
      </c>
      <c r="E216" s="266">
        <v>8381.0499999999993</v>
      </c>
      <c r="F216" s="266">
        <v>6389.4</v>
      </c>
      <c r="G216" s="266">
        <v>286548.21999999997</v>
      </c>
      <c r="H216" s="266">
        <v>51020.58</v>
      </c>
      <c r="I216" s="266">
        <v>89195.51</v>
      </c>
      <c r="J216" s="266">
        <v>72395.88</v>
      </c>
      <c r="K216" s="266">
        <v>148225.53</v>
      </c>
      <c r="L216" s="266">
        <v>138068.48000000001</v>
      </c>
      <c r="M216" s="266">
        <v>0</v>
      </c>
      <c r="N216" s="266">
        <v>380732.8</v>
      </c>
      <c r="O216" s="123">
        <v>4.1300000000000003E-2</v>
      </c>
      <c r="P216" s="123">
        <v>0.2399</v>
      </c>
      <c r="Q216" s="266">
        <v>0</v>
      </c>
      <c r="R216" s="266">
        <v>0</v>
      </c>
      <c r="S216" s="266">
        <v>0</v>
      </c>
      <c r="T216" s="266">
        <v>0</v>
      </c>
      <c r="U216" s="266">
        <v>0</v>
      </c>
      <c r="V216" s="266">
        <v>0</v>
      </c>
      <c r="W216" s="266">
        <v>0</v>
      </c>
      <c r="X216" s="266">
        <v>0</v>
      </c>
      <c r="Y216" s="266">
        <v>0</v>
      </c>
      <c r="Z216" s="266">
        <v>278.83999999999997</v>
      </c>
      <c r="AA216" s="266">
        <v>2730.49</v>
      </c>
      <c r="AB216" s="266">
        <v>8927.17</v>
      </c>
      <c r="AC216" s="266">
        <v>24979.18</v>
      </c>
      <c r="AD216" s="266">
        <v>57225.19</v>
      </c>
      <c r="AE216" s="237">
        <v>6.49</v>
      </c>
      <c r="AF216" s="266">
        <v>50591.26</v>
      </c>
      <c r="AG216" s="237">
        <f t="shared" si="61"/>
        <v>7795.2634822804312</v>
      </c>
      <c r="AH216" s="237">
        <f t="shared" si="62"/>
        <v>8817.4406779661022</v>
      </c>
      <c r="AI216" s="237">
        <f t="shared" si="63"/>
        <v>1022.177195685671</v>
      </c>
      <c r="AJ216" s="237">
        <v>3.03</v>
      </c>
      <c r="AK216" s="266">
        <v>22847.759999999998</v>
      </c>
      <c r="AL216" s="237">
        <f t="shared" si="64"/>
        <v>7540.514851485148</v>
      </c>
      <c r="AM216" s="237">
        <f t="shared" si="65"/>
        <v>8243.9537953795389</v>
      </c>
      <c r="AN216" s="237">
        <f t="shared" si="66"/>
        <v>703.43894389439083</v>
      </c>
      <c r="AO216" s="266">
        <v>0</v>
      </c>
      <c r="AP216" s="266">
        <v>0</v>
      </c>
      <c r="AQ216" s="266">
        <v>0</v>
      </c>
      <c r="AR216" s="266">
        <v>0</v>
      </c>
      <c r="AS216" s="358">
        <v>5107.38</v>
      </c>
      <c r="AT216" s="371">
        <v>0</v>
      </c>
      <c r="AU216" s="373">
        <v>22509.59</v>
      </c>
    </row>
    <row r="217" spans="1:47">
      <c r="A217" s="238" t="s">
        <v>1480</v>
      </c>
      <c r="B217" s="238" t="s">
        <v>1481</v>
      </c>
      <c r="C217" s="266">
        <v>0</v>
      </c>
      <c r="D217" s="266">
        <v>0</v>
      </c>
      <c r="E217" s="266">
        <v>10608.22</v>
      </c>
      <c r="F217" s="266">
        <v>11147.98</v>
      </c>
      <c r="G217" s="266">
        <v>609122.19999999995</v>
      </c>
      <c r="H217" s="266">
        <v>84402.39</v>
      </c>
      <c r="I217" s="266">
        <v>0</v>
      </c>
      <c r="J217" s="266">
        <v>0</v>
      </c>
      <c r="K217" s="266">
        <v>134507.12</v>
      </c>
      <c r="L217" s="266">
        <v>0</v>
      </c>
      <c r="M217" s="266">
        <v>0</v>
      </c>
      <c r="N217" s="266">
        <v>556441.47</v>
      </c>
      <c r="O217" s="123">
        <v>0.08</v>
      </c>
      <c r="P217" s="123">
        <v>0.1</v>
      </c>
      <c r="Q217" s="266">
        <v>0</v>
      </c>
      <c r="R217" s="266">
        <v>0</v>
      </c>
      <c r="S217" s="266">
        <v>0</v>
      </c>
      <c r="T217" s="266">
        <v>0</v>
      </c>
      <c r="U217" s="266">
        <v>0</v>
      </c>
      <c r="V217" s="266">
        <v>0</v>
      </c>
      <c r="W217" s="266">
        <v>0</v>
      </c>
      <c r="X217" s="266">
        <v>0</v>
      </c>
      <c r="Y217" s="266">
        <v>0</v>
      </c>
      <c r="Z217" s="266">
        <v>624.64</v>
      </c>
      <c r="AA217" s="266">
        <v>0</v>
      </c>
      <c r="AB217" s="266">
        <v>0</v>
      </c>
      <c r="AC217" s="266">
        <v>0</v>
      </c>
      <c r="AD217" s="266">
        <v>22722.58</v>
      </c>
      <c r="AE217" s="237">
        <v>0</v>
      </c>
      <c r="AF217" s="266">
        <v>0</v>
      </c>
      <c r="AG217" s="237">
        <f t="shared" si="61"/>
        <v>0</v>
      </c>
      <c r="AH217" s="237">
        <f t="shared" si="62"/>
        <v>0</v>
      </c>
      <c r="AI217" s="237">
        <f t="shared" si="63"/>
        <v>0</v>
      </c>
      <c r="AJ217" s="237">
        <v>0</v>
      </c>
      <c r="AK217" s="266">
        <v>0</v>
      </c>
      <c r="AL217" s="237">
        <f t="shared" si="64"/>
        <v>0</v>
      </c>
      <c r="AM217" s="237">
        <f t="shared" si="65"/>
        <v>0</v>
      </c>
      <c r="AN217" s="237">
        <f t="shared" si="66"/>
        <v>0</v>
      </c>
      <c r="AO217" s="266">
        <v>0</v>
      </c>
      <c r="AP217" s="266">
        <v>0</v>
      </c>
      <c r="AQ217" s="266">
        <v>0</v>
      </c>
      <c r="AR217" s="266">
        <v>0</v>
      </c>
      <c r="AS217" s="358">
        <v>0</v>
      </c>
      <c r="AT217" s="371">
        <v>14833.269999999999</v>
      </c>
      <c r="AU217" s="373">
        <v>30213.98</v>
      </c>
    </row>
    <row r="218" spans="1:47">
      <c r="A218" s="238" t="s">
        <v>187</v>
      </c>
      <c r="B218" s="238" t="s">
        <v>1482</v>
      </c>
      <c r="C218" s="266">
        <v>0</v>
      </c>
      <c r="D218" s="266">
        <v>0</v>
      </c>
      <c r="E218" s="266">
        <v>1747.63</v>
      </c>
      <c r="F218" s="266">
        <v>67893.31</v>
      </c>
      <c r="G218" s="266">
        <v>3070935.25</v>
      </c>
      <c r="H218" s="266">
        <v>808812.03</v>
      </c>
      <c r="I218" s="266">
        <v>145296.25</v>
      </c>
      <c r="J218" s="266">
        <v>733306.24</v>
      </c>
      <c r="K218" s="266">
        <v>1096334.77</v>
      </c>
      <c r="L218" s="266">
        <v>937387.67</v>
      </c>
      <c r="M218" s="266">
        <v>71823.570000000007</v>
      </c>
      <c r="N218" s="266">
        <v>1440600.31</v>
      </c>
      <c r="O218" s="123">
        <v>3.8600000000000002E-2</v>
      </c>
      <c r="P218" s="123">
        <v>0.182</v>
      </c>
      <c r="Q218" s="266">
        <v>0</v>
      </c>
      <c r="R218" s="266">
        <v>0</v>
      </c>
      <c r="S218" s="266">
        <v>0</v>
      </c>
      <c r="T218" s="266">
        <v>0</v>
      </c>
      <c r="U218" s="266">
        <v>0</v>
      </c>
      <c r="V218" s="266">
        <v>0</v>
      </c>
      <c r="W218" s="266">
        <v>0</v>
      </c>
      <c r="X218" s="266">
        <v>0</v>
      </c>
      <c r="Y218" s="266">
        <v>0</v>
      </c>
      <c r="Z218" s="266">
        <v>2917.91</v>
      </c>
      <c r="AA218" s="266">
        <v>0</v>
      </c>
      <c r="AB218" s="266">
        <v>92651.55</v>
      </c>
      <c r="AC218" s="266">
        <v>200832.16</v>
      </c>
      <c r="AD218" s="266">
        <v>1586304.79</v>
      </c>
      <c r="AE218" s="237">
        <v>179.93</v>
      </c>
      <c r="AF218" s="266">
        <v>1404193.86</v>
      </c>
      <c r="AG218" s="237">
        <f t="shared" si="61"/>
        <v>7804.1119324181627</v>
      </c>
      <c r="AH218" s="237">
        <f t="shared" si="62"/>
        <v>8816.2329239148548</v>
      </c>
      <c r="AI218" s="237">
        <f t="shared" si="63"/>
        <v>1012.1209914966921</v>
      </c>
      <c r="AJ218" s="237">
        <v>24.4</v>
      </c>
      <c r="AK218" s="266">
        <v>183817.73</v>
      </c>
      <c r="AL218" s="237">
        <f t="shared" si="64"/>
        <v>7533.5135245901647</v>
      </c>
      <c r="AM218" s="237">
        <f t="shared" si="65"/>
        <v>8230.8262295081968</v>
      </c>
      <c r="AN218" s="237">
        <f t="shared" si="66"/>
        <v>697.31270491803207</v>
      </c>
      <c r="AO218" s="266">
        <v>0</v>
      </c>
      <c r="AP218" s="266">
        <v>0</v>
      </c>
      <c r="AQ218" s="266">
        <v>0</v>
      </c>
      <c r="AR218" s="266">
        <v>0</v>
      </c>
      <c r="AS218" s="358">
        <v>195490.21</v>
      </c>
      <c r="AT218" s="371">
        <v>22544.600000000006</v>
      </c>
      <c r="AU218" s="373">
        <v>173728.88</v>
      </c>
    </row>
    <row r="219" spans="1:47">
      <c r="A219" s="268" t="s">
        <v>770</v>
      </c>
      <c r="B219" s="238" t="s">
        <v>1483</v>
      </c>
      <c r="C219" s="266">
        <v>0</v>
      </c>
      <c r="D219" s="266">
        <v>0</v>
      </c>
      <c r="E219" s="266">
        <v>0</v>
      </c>
      <c r="F219" s="266">
        <v>0</v>
      </c>
      <c r="G219" s="266">
        <v>0</v>
      </c>
      <c r="H219" s="266">
        <v>0</v>
      </c>
      <c r="I219" s="266">
        <v>0</v>
      </c>
      <c r="J219" s="266">
        <v>0</v>
      </c>
      <c r="K219" s="266">
        <v>0</v>
      </c>
      <c r="L219" s="266">
        <v>0</v>
      </c>
      <c r="M219" s="266">
        <v>0</v>
      </c>
      <c r="N219" s="266">
        <v>1911027.56</v>
      </c>
      <c r="O219" s="123">
        <v>0</v>
      </c>
      <c r="P219" s="123">
        <v>0</v>
      </c>
      <c r="Q219" s="266">
        <v>0</v>
      </c>
      <c r="R219" s="266">
        <v>0</v>
      </c>
      <c r="S219" s="266">
        <v>0</v>
      </c>
      <c r="T219" s="266">
        <v>0</v>
      </c>
      <c r="U219" s="266">
        <v>0</v>
      </c>
      <c r="V219" s="266">
        <v>0</v>
      </c>
      <c r="W219" s="266">
        <v>0</v>
      </c>
      <c r="X219" s="266">
        <v>0</v>
      </c>
      <c r="Y219" s="266">
        <v>0</v>
      </c>
      <c r="Z219" s="266">
        <v>0</v>
      </c>
      <c r="AA219" s="266">
        <v>0</v>
      </c>
      <c r="AB219" s="266">
        <v>0</v>
      </c>
      <c r="AC219" s="266">
        <v>0</v>
      </c>
      <c r="AD219" s="266">
        <v>0</v>
      </c>
      <c r="AE219" s="237">
        <v>0</v>
      </c>
      <c r="AF219" s="266">
        <v>0</v>
      </c>
      <c r="AG219" s="237">
        <f t="shared" si="61"/>
        <v>0</v>
      </c>
      <c r="AH219" s="237">
        <f t="shared" si="62"/>
        <v>0</v>
      </c>
      <c r="AI219" s="237">
        <f t="shared" si="63"/>
        <v>0</v>
      </c>
      <c r="AJ219" s="237">
        <v>0</v>
      </c>
      <c r="AK219" s="266">
        <v>0</v>
      </c>
      <c r="AL219" s="237">
        <f t="shared" si="64"/>
        <v>0</v>
      </c>
      <c r="AM219" s="237">
        <f t="shared" si="65"/>
        <v>0</v>
      </c>
      <c r="AN219" s="237">
        <f t="shared" si="66"/>
        <v>0</v>
      </c>
      <c r="AO219" s="266">
        <v>0</v>
      </c>
      <c r="AP219" s="266">
        <v>0</v>
      </c>
      <c r="AQ219" s="266">
        <v>0</v>
      </c>
      <c r="AR219" s="266">
        <v>0</v>
      </c>
      <c r="AS219" s="358">
        <v>0</v>
      </c>
      <c r="AT219" s="371">
        <v>0</v>
      </c>
      <c r="AU219" s="373"/>
    </row>
    <row r="220" spans="1:47">
      <c r="A220" s="238" t="s">
        <v>694</v>
      </c>
      <c r="B220" s="238" t="s">
        <v>1484</v>
      </c>
      <c r="C220" s="266">
        <v>0</v>
      </c>
      <c r="D220" s="266">
        <v>0</v>
      </c>
      <c r="E220" s="266">
        <v>42060.06</v>
      </c>
      <c r="F220" s="266">
        <v>0</v>
      </c>
      <c r="G220" s="266">
        <v>3001866.91</v>
      </c>
      <c r="H220" s="266">
        <v>462388.84</v>
      </c>
      <c r="I220" s="266">
        <v>265301.75</v>
      </c>
      <c r="J220" s="266">
        <v>0</v>
      </c>
      <c r="K220" s="266">
        <v>541299.81000000006</v>
      </c>
      <c r="L220" s="266">
        <v>231610.81</v>
      </c>
      <c r="M220" s="266">
        <v>75066.600000000006</v>
      </c>
      <c r="N220" s="266">
        <v>1129589.51</v>
      </c>
      <c r="O220" s="123">
        <v>2.3E-2</v>
      </c>
      <c r="P220" s="123">
        <v>0.2432</v>
      </c>
      <c r="Q220" s="266">
        <v>0</v>
      </c>
      <c r="R220" s="266">
        <v>0</v>
      </c>
      <c r="S220" s="266">
        <v>0</v>
      </c>
      <c r="T220" s="266">
        <v>0</v>
      </c>
      <c r="U220" s="266">
        <v>0</v>
      </c>
      <c r="V220" s="266">
        <v>0</v>
      </c>
      <c r="W220" s="266">
        <v>0</v>
      </c>
      <c r="X220" s="266">
        <v>0</v>
      </c>
      <c r="Y220" s="266">
        <v>0</v>
      </c>
      <c r="Z220" s="266">
        <v>0</v>
      </c>
      <c r="AA220" s="266">
        <v>0</v>
      </c>
      <c r="AB220" s="266">
        <v>0</v>
      </c>
      <c r="AC220" s="266">
        <v>303575.67999999999</v>
      </c>
      <c r="AD220" s="266">
        <v>1018928.82</v>
      </c>
      <c r="AE220" s="237">
        <v>123.28</v>
      </c>
      <c r="AF220" s="266">
        <v>961859.36</v>
      </c>
      <c r="AG220" s="237">
        <f t="shared" si="61"/>
        <v>7802.233614536015</v>
      </c>
      <c r="AH220" s="237">
        <f t="shared" si="62"/>
        <v>8265.1591499026599</v>
      </c>
      <c r="AI220" s="237">
        <f t="shared" si="63"/>
        <v>462.92553536664491</v>
      </c>
      <c r="AJ220" s="237">
        <v>36.89</v>
      </c>
      <c r="AK220" s="266">
        <v>278117.11</v>
      </c>
      <c r="AL220" s="237">
        <f t="shared" si="64"/>
        <v>7539.0921658986172</v>
      </c>
      <c r="AM220" s="237">
        <f t="shared" si="65"/>
        <v>8229.2133369476815</v>
      </c>
      <c r="AN220" s="237">
        <f t="shared" si="66"/>
        <v>690.12117104906429</v>
      </c>
      <c r="AO220" s="266">
        <v>0</v>
      </c>
      <c r="AP220" s="266">
        <v>0</v>
      </c>
      <c r="AQ220" s="266">
        <v>0</v>
      </c>
      <c r="AR220" s="266">
        <v>0</v>
      </c>
      <c r="AS220" s="358">
        <v>0</v>
      </c>
      <c r="AT220" s="371">
        <v>23184.139999999985</v>
      </c>
      <c r="AU220" s="373">
        <v>163868.85000000003</v>
      </c>
    </row>
    <row r="221" spans="1:47">
      <c r="A221" s="238" t="s">
        <v>510</v>
      </c>
      <c r="B221" s="238" t="s">
        <v>1485</v>
      </c>
      <c r="C221" s="266">
        <v>0</v>
      </c>
      <c r="D221" s="266">
        <v>0</v>
      </c>
      <c r="E221" s="266">
        <v>359254</v>
      </c>
      <c r="F221" s="266">
        <v>54527.99</v>
      </c>
      <c r="G221" s="266">
        <v>27577105.059999999</v>
      </c>
      <c r="H221" s="266">
        <v>6159459.5800000001</v>
      </c>
      <c r="I221" s="266">
        <v>1395234.51</v>
      </c>
      <c r="J221" s="266">
        <v>696124.52</v>
      </c>
      <c r="K221" s="266">
        <v>5284423.29</v>
      </c>
      <c r="L221" s="266">
        <v>2378731.77</v>
      </c>
      <c r="M221" s="266">
        <v>673137.87</v>
      </c>
      <c r="N221" s="266">
        <v>11979986.26</v>
      </c>
      <c r="O221" s="123">
        <v>5.0999999999999997E-2</v>
      </c>
      <c r="P221" s="123">
        <v>0.2001</v>
      </c>
      <c r="Q221" s="266">
        <v>0</v>
      </c>
      <c r="R221" s="266">
        <v>0</v>
      </c>
      <c r="S221" s="266">
        <v>0</v>
      </c>
      <c r="T221" s="266">
        <v>0</v>
      </c>
      <c r="U221" s="266">
        <v>0</v>
      </c>
      <c r="V221" s="266">
        <v>0</v>
      </c>
      <c r="W221" s="266">
        <v>0</v>
      </c>
      <c r="X221" s="266">
        <v>0</v>
      </c>
      <c r="Y221" s="266">
        <v>0</v>
      </c>
      <c r="Z221" s="266">
        <v>25841.87</v>
      </c>
      <c r="AA221" s="266">
        <v>197855.26</v>
      </c>
      <c r="AB221" s="266">
        <v>53776.87</v>
      </c>
      <c r="AC221" s="266">
        <v>2632597.14</v>
      </c>
      <c r="AD221" s="266">
        <v>11491408</v>
      </c>
      <c r="AE221" s="237">
        <v>1292.46</v>
      </c>
      <c r="AF221" s="266">
        <v>10506033.41</v>
      </c>
      <c r="AG221" s="237">
        <f t="shared" si="61"/>
        <v>8128.7106835027771</v>
      </c>
      <c r="AH221" s="237">
        <f t="shared" si="62"/>
        <v>8891.1130711975602</v>
      </c>
      <c r="AI221" s="237">
        <f t="shared" si="63"/>
        <v>762.4023876947831</v>
      </c>
      <c r="AJ221" s="237">
        <v>306.85000000000002</v>
      </c>
      <c r="AK221" s="266">
        <v>2410978.29</v>
      </c>
      <c r="AL221" s="237">
        <f t="shared" si="64"/>
        <v>7857.1884960078205</v>
      </c>
      <c r="AM221" s="237">
        <f t="shared" si="65"/>
        <v>8579.4268861007004</v>
      </c>
      <c r="AN221" s="237">
        <f t="shared" si="66"/>
        <v>722.23839009287985</v>
      </c>
      <c r="AO221" s="266">
        <v>0</v>
      </c>
      <c r="AP221" s="266">
        <v>0</v>
      </c>
      <c r="AQ221" s="266">
        <v>0</v>
      </c>
      <c r="AR221" s="266">
        <v>0</v>
      </c>
      <c r="AS221" s="358">
        <v>0</v>
      </c>
      <c r="AT221" s="371">
        <v>0</v>
      </c>
      <c r="AU221" s="373">
        <v>1464208.4600000004</v>
      </c>
    </row>
    <row r="222" spans="1:47">
      <c r="A222" s="238" t="s">
        <v>331</v>
      </c>
      <c r="B222" s="238" t="s">
        <v>1486</v>
      </c>
      <c r="C222" s="266">
        <v>0</v>
      </c>
      <c r="D222" s="266">
        <v>0</v>
      </c>
      <c r="E222" s="266">
        <v>0</v>
      </c>
      <c r="F222" s="266">
        <v>0</v>
      </c>
      <c r="G222" s="266">
        <v>14525.59</v>
      </c>
      <c r="H222" s="266">
        <v>683.87</v>
      </c>
      <c r="I222" s="266">
        <v>0</v>
      </c>
      <c r="J222" s="266">
        <v>4864.54</v>
      </c>
      <c r="K222" s="266">
        <v>10587.54</v>
      </c>
      <c r="L222" s="266">
        <v>0</v>
      </c>
      <c r="M222" s="266">
        <v>0</v>
      </c>
      <c r="N222" s="266">
        <v>59757.89</v>
      </c>
      <c r="O222" s="123">
        <v>0.2107</v>
      </c>
      <c r="P222" s="123">
        <v>0.7117</v>
      </c>
      <c r="Q222" s="266">
        <v>0</v>
      </c>
      <c r="R222" s="266">
        <v>0</v>
      </c>
      <c r="S222" s="266">
        <v>0</v>
      </c>
      <c r="T222" s="266">
        <v>0</v>
      </c>
      <c r="U222" s="266">
        <v>0</v>
      </c>
      <c r="V222" s="266">
        <v>0</v>
      </c>
      <c r="W222" s="266">
        <v>0</v>
      </c>
      <c r="X222" s="266">
        <v>0</v>
      </c>
      <c r="Y222" s="266">
        <v>0</v>
      </c>
      <c r="Z222" s="266">
        <v>0</v>
      </c>
      <c r="AA222" s="266">
        <v>0</v>
      </c>
      <c r="AB222" s="266">
        <v>0</v>
      </c>
      <c r="AC222" s="266">
        <v>0</v>
      </c>
      <c r="AD222" s="266">
        <v>0</v>
      </c>
      <c r="AE222" s="237">
        <v>0</v>
      </c>
      <c r="AF222" s="266">
        <v>0</v>
      </c>
      <c r="AG222" s="237">
        <f t="shared" si="61"/>
        <v>0</v>
      </c>
      <c r="AH222" s="237">
        <f t="shared" si="62"/>
        <v>0</v>
      </c>
      <c r="AI222" s="237">
        <f t="shared" si="63"/>
        <v>0</v>
      </c>
      <c r="AJ222" s="237">
        <v>0</v>
      </c>
      <c r="AK222" s="266">
        <v>0</v>
      </c>
      <c r="AL222" s="237">
        <f t="shared" si="64"/>
        <v>0</v>
      </c>
      <c r="AM222" s="237">
        <f t="shared" si="65"/>
        <v>0</v>
      </c>
      <c r="AN222" s="237">
        <f t="shared" si="66"/>
        <v>0</v>
      </c>
      <c r="AO222" s="266">
        <v>0</v>
      </c>
      <c r="AP222" s="266">
        <v>0</v>
      </c>
      <c r="AQ222" s="266">
        <v>0</v>
      </c>
      <c r="AR222" s="266">
        <v>0</v>
      </c>
      <c r="AS222" s="358">
        <v>0</v>
      </c>
      <c r="AT222" s="371">
        <v>1203.78</v>
      </c>
      <c r="AU222" s="373">
        <v>3576.4500000000003</v>
      </c>
    </row>
    <row r="223" spans="1:47">
      <c r="A223" s="238" t="s">
        <v>335</v>
      </c>
      <c r="B223" s="238" t="s">
        <v>1487</v>
      </c>
      <c r="C223" s="266">
        <v>0</v>
      </c>
      <c r="D223" s="266">
        <v>0</v>
      </c>
      <c r="E223" s="266">
        <v>0</v>
      </c>
      <c r="F223" s="266">
        <v>6057.95</v>
      </c>
      <c r="G223" s="266">
        <v>450605.54</v>
      </c>
      <c r="H223" s="266">
        <v>41086.82</v>
      </c>
      <c r="I223" s="266">
        <v>0</v>
      </c>
      <c r="J223" s="266">
        <v>0</v>
      </c>
      <c r="K223" s="266">
        <v>74882.33</v>
      </c>
      <c r="L223" s="266">
        <v>0</v>
      </c>
      <c r="M223" s="266">
        <v>18871.150000000001</v>
      </c>
      <c r="N223" s="266">
        <v>394646.57</v>
      </c>
      <c r="O223" s="123">
        <v>6.7400000000000002E-2</v>
      </c>
      <c r="P223" s="123">
        <v>0.22509999999999999</v>
      </c>
      <c r="Q223" s="266">
        <v>0</v>
      </c>
      <c r="R223" s="266">
        <v>0</v>
      </c>
      <c r="S223" s="266">
        <v>0</v>
      </c>
      <c r="T223" s="266">
        <v>0</v>
      </c>
      <c r="U223" s="266">
        <v>0</v>
      </c>
      <c r="V223" s="266">
        <v>0</v>
      </c>
      <c r="W223" s="266">
        <v>0</v>
      </c>
      <c r="X223" s="266">
        <v>0</v>
      </c>
      <c r="Y223" s="266">
        <v>0</v>
      </c>
      <c r="Z223" s="266">
        <v>679.53</v>
      </c>
      <c r="AA223" s="266">
        <v>0</v>
      </c>
      <c r="AB223" s="266">
        <v>0</v>
      </c>
      <c r="AC223" s="266">
        <v>41877.129999999997</v>
      </c>
      <c r="AD223" s="266">
        <v>118452.23</v>
      </c>
      <c r="AE223" s="237">
        <v>13</v>
      </c>
      <c r="AF223" s="266">
        <v>105773.26</v>
      </c>
      <c r="AG223" s="237">
        <f t="shared" si="61"/>
        <v>8136.4046153846148</v>
      </c>
      <c r="AH223" s="237">
        <f t="shared" si="62"/>
        <v>9111.7099999999991</v>
      </c>
      <c r="AI223" s="237">
        <f t="shared" si="63"/>
        <v>975.30538461538436</v>
      </c>
      <c r="AJ223" s="237">
        <v>4.87</v>
      </c>
      <c r="AK223" s="266">
        <v>38198.11</v>
      </c>
      <c r="AL223" s="237">
        <f t="shared" si="64"/>
        <v>7843.5544147843939</v>
      </c>
      <c r="AM223" s="237">
        <f t="shared" si="65"/>
        <v>8599</v>
      </c>
      <c r="AN223" s="237">
        <f t="shared" si="66"/>
        <v>755.44558521560612</v>
      </c>
      <c r="AO223" s="266">
        <v>0</v>
      </c>
      <c r="AP223" s="266">
        <v>0</v>
      </c>
      <c r="AQ223" s="266">
        <v>0</v>
      </c>
      <c r="AR223" s="266">
        <v>0</v>
      </c>
      <c r="AS223" s="358">
        <v>0</v>
      </c>
      <c r="AT223" s="371">
        <v>0</v>
      </c>
      <c r="AU223" s="373">
        <v>20202.800000000003</v>
      </c>
    </row>
    <row r="224" spans="1:47">
      <c r="A224" s="238" t="s">
        <v>1639</v>
      </c>
      <c r="B224" s="238" t="s">
        <v>1640</v>
      </c>
      <c r="C224" s="266">
        <v>10118.01</v>
      </c>
      <c r="D224" s="266">
        <v>0</v>
      </c>
      <c r="E224" s="266">
        <v>3745.8</v>
      </c>
      <c r="F224" s="266">
        <v>2105.3000000000002</v>
      </c>
      <c r="G224" s="266">
        <v>128818.93</v>
      </c>
      <c r="H224" s="266">
        <v>28150.38</v>
      </c>
      <c r="I224" s="266">
        <v>0</v>
      </c>
      <c r="J224" s="266">
        <v>27088.84</v>
      </c>
      <c r="K224" s="266">
        <v>41968.62</v>
      </c>
      <c r="L224" s="266">
        <v>0</v>
      </c>
      <c r="M224" s="266">
        <v>0</v>
      </c>
      <c r="N224" s="266">
        <v>51269.68</v>
      </c>
      <c r="O224" s="123">
        <v>0.08</v>
      </c>
      <c r="P224" s="123">
        <v>7.0000000000000007E-2</v>
      </c>
      <c r="Q224" s="266">
        <v>0</v>
      </c>
      <c r="R224" s="266">
        <v>0</v>
      </c>
      <c r="S224" s="266">
        <v>0</v>
      </c>
      <c r="T224" s="266">
        <v>0</v>
      </c>
      <c r="U224" s="266">
        <v>0</v>
      </c>
      <c r="V224" s="266">
        <v>0</v>
      </c>
      <c r="W224" s="266">
        <v>0</v>
      </c>
      <c r="X224" s="266">
        <v>0</v>
      </c>
      <c r="Y224" s="266">
        <v>0</v>
      </c>
      <c r="Z224" s="266">
        <v>0</v>
      </c>
      <c r="AA224" s="266">
        <v>0</v>
      </c>
      <c r="AB224" s="266">
        <v>0</v>
      </c>
      <c r="AC224" s="266">
        <v>22064.48</v>
      </c>
      <c r="AD224" s="266">
        <v>31323.759999999998</v>
      </c>
      <c r="AE224" s="237">
        <v>3.8</v>
      </c>
      <c r="AF224" s="266">
        <v>29632.58</v>
      </c>
      <c r="AG224" s="237">
        <f t="shared" si="61"/>
        <v>7798.0473684210538</v>
      </c>
      <c r="AH224" s="237">
        <f t="shared" si="62"/>
        <v>8243.0947368421057</v>
      </c>
      <c r="AI224" s="237">
        <f t="shared" si="63"/>
        <v>445.04736842105194</v>
      </c>
      <c r="AJ224" s="237">
        <v>2.66</v>
      </c>
      <c r="AK224" s="266">
        <v>20021.52</v>
      </c>
      <c r="AL224" s="237">
        <f t="shared" si="64"/>
        <v>7526.8872180451126</v>
      </c>
      <c r="AM224" s="237">
        <f t="shared" si="65"/>
        <v>8294.9172932330821</v>
      </c>
      <c r="AN224" s="237">
        <f t="shared" si="66"/>
        <v>768.03007518796949</v>
      </c>
      <c r="AO224" s="266">
        <v>0</v>
      </c>
      <c r="AP224" s="266">
        <v>0</v>
      </c>
      <c r="AQ224" s="266">
        <v>0</v>
      </c>
      <c r="AR224" s="266">
        <v>0</v>
      </c>
      <c r="AS224" s="358">
        <v>0</v>
      </c>
      <c r="AT224" s="371">
        <v>6548.75</v>
      </c>
      <c r="AU224" s="373">
        <v>14092.55</v>
      </c>
    </row>
    <row r="225" spans="1:47">
      <c r="A225" s="238" t="s">
        <v>213</v>
      </c>
      <c r="B225" s="238" t="s">
        <v>1488</v>
      </c>
      <c r="C225" s="266">
        <v>0</v>
      </c>
      <c r="D225" s="266">
        <v>0</v>
      </c>
      <c r="E225" s="266">
        <v>89445.4</v>
      </c>
      <c r="F225" s="266">
        <v>26995.32</v>
      </c>
      <c r="G225" s="266">
        <v>3763082.54</v>
      </c>
      <c r="H225" s="266">
        <v>812565.17</v>
      </c>
      <c r="I225" s="266">
        <v>101289.82</v>
      </c>
      <c r="J225" s="266">
        <v>288629.64</v>
      </c>
      <c r="K225" s="266">
        <v>1076781.22</v>
      </c>
      <c r="L225" s="266">
        <v>322440.40999999997</v>
      </c>
      <c r="M225" s="266">
        <v>91472.51</v>
      </c>
      <c r="N225" s="266">
        <v>577588.54</v>
      </c>
      <c r="O225" s="123">
        <v>1.8800000000000001E-2</v>
      </c>
      <c r="P225" s="123">
        <v>9.8299999999999998E-2</v>
      </c>
      <c r="Q225" s="266">
        <v>0</v>
      </c>
      <c r="R225" s="266">
        <v>0</v>
      </c>
      <c r="S225" s="266">
        <v>0</v>
      </c>
      <c r="T225" s="266">
        <v>0</v>
      </c>
      <c r="U225" s="266">
        <v>0</v>
      </c>
      <c r="V225" s="266">
        <v>0</v>
      </c>
      <c r="W225" s="266">
        <v>0</v>
      </c>
      <c r="X225" s="266">
        <v>0</v>
      </c>
      <c r="Y225" s="266">
        <v>0</v>
      </c>
      <c r="Z225" s="266">
        <v>1172.44</v>
      </c>
      <c r="AA225" s="266">
        <v>0</v>
      </c>
      <c r="AB225" s="266">
        <v>0</v>
      </c>
      <c r="AC225" s="266">
        <v>83799.73</v>
      </c>
      <c r="AD225" s="266">
        <v>423631.17</v>
      </c>
      <c r="AE225" s="237">
        <v>38.26</v>
      </c>
      <c r="AF225" s="266">
        <v>298502.68</v>
      </c>
      <c r="AG225" s="237">
        <f t="shared" si="61"/>
        <v>7801.9519079979091</v>
      </c>
      <c r="AH225" s="237">
        <f t="shared" si="62"/>
        <v>11072.429952953476</v>
      </c>
      <c r="AI225" s="237">
        <f t="shared" si="63"/>
        <v>3270.4780449555674</v>
      </c>
      <c r="AJ225" s="237">
        <v>10.18</v>
      </c>
      <c r="AK225" s="266">
        <v>76692.86</v>
      </c>
      <c r="AL225" s="237">
        <f t="shared" si="64"/>
        <v>7533.679764243615</v>
      </c>
      <c r="AM225" s="237">
        <f t="shared" si="65"/>
        <v>8231.8005893909631</v>
      </c>
      <c r="AN225" s="237">
        <f t="shared" si="66"/>
        <v>698.12082514734811</v>
      </c>
      <c r="AO225" s="266">
        <v>0</v>
      </c>
      <c r="AP225" s="266">
        <v>71.97</v>
      </c>
      <c r="AQ225" s="266">
        <v>0</v>
      </c>
      <c r="AR225" s="266">
        <v>0</v>
      </c>
      <c r="AS225" s="358">
        <v>0</v>
      </c>
      <c r="AT225" s="371">
        <v>17040.119999999992</v>
      </c>
      <c r="AU225" s="373">
        <v>90435.91</v>
      </c>
    </row>
    <row r="226" spans="1:47">
      <c r="A226" s="238" t="s">
        <v>313</v>
      </c>
      <c r="B226" s="238" t="s">
        <v>1489</v>
      </c>
      <c r="C226" s="266">
        <v>0</v>
      </c>
      <c r="D226" s="266">
        <v>0</v>
      </c>
      <c r="E226" s="266">
        <v>817.59</v>
      </c>
      <c r="F226" s="266">
        <v>0</v>
      </c>
      <c r="G226" s="266">
        <v>0</v>
      </c>
      <c r="H226" s="266">
        <v>0</v>
      </c>
      <c r="I226" s="266">
        <v>0</v>
      </c>
      <c r="J226" s="266">
        <v>49885.43</v>
      </c>
      <c r="K226" s="266">
        <v>108069.19</v>
      </c>
      <c r="L226" s="266">
        <v>52196.61</v>
      </c>
      <c r="M226" s="266">
        <v>5436.84</v>
      </c>
      <c r="N226" s="266">
        <v>253611.37</v>
      </c>
      <c r="O226" s="123">
        <v>3.1199999999999999E-2</v>
      </c>
      <c r="P226" s="123">
        <v>0.31740000000000002</v>
      </c>
      <c r="Q226" s="266">
        <v>0</v>
      </c>
      <c r="R226" s="266">
        <v>0</v>
      </c>
      <c r="S226" s="266">
        <v>0</v>
      </c>
      <c r="T226" s="266">
        <v>0</v>
      </c>
      <c r="U226" s="266">
        <v>0</v>
      </c>
      <c r="V226" s="266">
        <v>0</v>
      </c>
      <c r="W226" s="266">
        <v>0</v>
      </c>
      <c r="X226" s="266">
        <v>0</v>
      </c>
      <c r="Y226" s="266">
        <v>0</v>
      </c>
      <c r="Z226" s="266">
        <v>233.83</v>
      </c>
      <c r="AA226" s="266">
        <v>0</v>
      </c>
      <c r="AB226" s="266">
        <v>0</v>
      </c>
      <c r="AC226" s="266">
        <v>36395.31</v>
      </c>
      <c r="AD226" s="266">
        <v>36451.760000000002</v>
      </c>
      <c r="AE226" s="237">
        <v>4.42</v>
      </c>
      <c r="AF226" s="266">
        <v>34551.599999999999</v>
      </c>
      <c r="AG226" s="237">
        <f t="shared" si="61"/>
        <v>7817.1040723981896</v>
      </c>
      <c r="AH226" s="237">
        <f t="shared" si="62"/>
        <v>8247.0045248868792</v>
      </c>
      <c r="AI226" s="237">
        <f t="shared" si="63"/>
        <v>429.90045248868955</v>
      </c>
      <c r="AJ226" s="237">
        <v>4.43</v>
      </c>
      <c r="AK226" s="266">
        <v>33323.68</v>
      </c>
      <c r="AL226" s="237">
        <f t="shared" si="64"/>
        <v>7522.2753950338601</v>
      </c>
      <c r="AM226" s="237">
        <f t="shared" si="65"/>
        <v>8215.6455981941308</v>
      </c>
      <c r="AN226" s="237">
        <f t="shared" si="66"/>
        <v>693.37020316027065</v>
      </c>
      <c r="AO226" s="266">
        <v>357.25</v>
      </c>
      <c r="AP226" s="266">
        <v>0</v>
      </c>
      <c r="AQ226" s="266">
        <v>0</v>
      </c>
      <c r="AR226" s="266">
        <v>0</v>
      </c>
      <c r="AS226" s="358">
        <v>30351.33</v>
      </c>
      <c r="AT226" s="371">
        <v>0</v>
      </c>
      <c r="AU226" s="373">
        <v>17641.41</v>
      </c>
    </row>
    <row r="227" spans="1:47">
      <c r="A227" s="238" t="s">
        <v>281</v>
      </c>
      <c r="B227" s="238" t="s">
        <v>1490</v>
      </c>
      <c r="C227" s="266">
        <v>0</v>
      </c>
      <c r="D227" s="266">
        <v>0</v>
      </c>
      <c r="E227" s="266">
        <v>142892.6</v>
      </c>
      <c r="F227" s="266">
        <v>78925.94</v>
      </c>
      <c r="G227" s="266">
        <v>3563425.48</v>
      </c>
      <c r="H227" s="266">
        <v>705016.86</v>
      </c>
      <c r="I227" s="266">
        <v>98731</v>
      </c>
      <c r="J227" s="266">
        <v>823634.14</v>
      </c>
      <c r="K227" s="266">
        <v>1487692.15</v>
      </c>
      <c r="L227" s="266">
        <v>1856066.87</v>
      </c>
      <c r="M227" s="266">
        <v>81648.05</v>
      </c>
      <c r="N227" s="266">
        <v>1636627.09</v>
      </c>
      <c r="O227" s="123">
        <v>4.87E-2</v>
      </c>
      <c r="P227" s="123">
        <v>0.16170000000000001</v>
      </c>
      <c r="Q227" s="266">
        <v>0</v>
      </c>
      <c r="R227" s="266">
        <v>0</v>
      </c>
      <c r="S227" s="266">
        <v>0</v>
      </c>
      <c r="T227" s="266">
        <v>0</v>
      </c>
      <c r="U227" s="266">
        <v>0</v>
      </c>
      <c r="V227" s="266">
        <v>0</v>
      </c>
      <c r="W227" s="266">
        <v>0</v>
      </c>
      <c r="X227" s="266">
        <v>0</v>
      </c>
      <c r="Y227" s="266">
        <v>0</v>
      </c>
      <c r="Z227" s="266">
        <v>0</v>
      </c>
      <c r="AA227" s="266">
        <v>0</v>
      </c>
      <c r="AB227" s="266">
        <v>0</v>
      </c>
      <c r="AC227" s="266">
        <v>375625.27</v>
      </c>
      <c r="AD227" s="266">
        <v>1619300.6</v>
      </c>
      <c r="AE227" s="237">
        <v>192.55</v>
      </c>
      <c r="AF227" s="266">
        <v>1502594.52</v>
      </c>
      <c r="AG227" s="237">
        <f t="shared" si="61"/>
        <v>7803.6588937938195</v>
      </c>
      <c r="AH227" s="237">
        <f t="shared" si="62"/>
        <v>8409.7668138145928</v>
      </c>
      <c r="AI227" s="237">
        <f t="shared" si="63"/>
        <v>606.10792002077324</v>
      </c>
      <c r="AJ227" s="237">
        <v>45.64</v>
      </c>
      <c r="AK227" s="266">
        <v>343990.18</v>
      </c>
      <c r="AL227" s="237">
        <f t="shared" si="64"/>
        <v>7537.0328659070992</v>
      </c>
      <c r="AM227" s="237">
        <f t="shared" si="65"/>
        <v>8230.1768185801939</v>
      </c>
      <c r="AN227" s="237">
        <f t="shared" si="66"/>
        <v>693.14395267309465</v>
      </c>
      <c r="AO227" s="266">
        <v>954.67</v>
      </c>
      <c r="AP227" s="266">
        <v>0</v>
      </c>
      <c r="AQ227" s="266">
        <v>0</v>
      </c>
      <c r="AR227" s="266">
        <v>0</v>
      </c>
      <c r="AS227" s="358">
        <v>192725.42</v>
      </c>
      <c r="AT227" s="371">
        <v>14332.380000000005</v>
      </c>
      <c r="AU227" s="373">
        <v>209062.31999999998</v>
      </c>
    </row>
    <row r="228" spans="1:47">
      <c r="A228" s="238" t="s">
        <v>651</v>
      </c>
      <c r="B228" s="238" t="s">
        <v>1491</v>
      </c>
      <c r="C228" s="266">
        <v>0</v>
      </c>
      <c r="D228" s="266">
        <v>0</v>
      </c>
      <c r="E228" s="266">
        <v>0</v>
      </c>
      <c r="F228" s="266">
        <v>4766.8100000000004</v>
      </c>
      <c r="G228" s="266">
        <v>1137318.0900000001</v>
      </c>
      <c r="H228" s="266">
        <v>191457.8</v>
      </c>
      <c r="I228" s="266">
        <v>47828.99</v>
      </c>
      <c r="J228" s="266">
        <v>57611.47</v>
      </c>
      <c r="K228" s="266">
        <v>228824.37</v>
      </c>
      <c r="L228" s="266">
        <v>0</v>
      </c>
      <c r="M228" s="266">
        <v>24322.720000000001</v>
      </c>
      <c r="N228" s="266">
        <v>432323.67</v>
      </c>
      <c r="O228" s="123">
        <v>3.7600000000000001E-2</v>
      </c>
      <c r="P228" s="123">
        <v>0.2555</v>
      </c>
      <c r="Q228" s="266">
        <v>0</v>
      </c>
      <c r="R228" s="266">
        <v>0</v>
      </c>
      <c r="S228" s="266">
        <v>0</v>
      </c>
      <c r="T228" s="266">
        <v>0</v>
      </c>
      <c r="U228" s="266">
        <v>0</v>
      </c>
      <c r="V228" s="266">
        <v>0</v>
      </c>
      <c r="W228" s="266">
        <v>0</v>
      </c>
      <c r="X228" s="266">
        <v>0</v>
      </c>
      <c r="Y228" s="266">
        <v>0</v>
      </c>
      <c r="Z228" s="266">
        <v>1019.84</v>
      </c>
      <c r="AA228" s="266">
        <v>0</v>
      </c>
      <c r="AB228" s="266">
        <v>0</v>
      </c>
      <c r="AC228" s="266">
        <v>112824.5</v>
      </c>
      <c r="AD228" s="266">
        <v>574419.51</v>
      </c>
      <c r="AE228" s="237">
        <v>68.209999999999994</v>
      </c>
      <c r="AF228" s="266">
        <v>532326.75</v>
      </c>
      <c r="AG228" s="237">
        <f t="shared" si="61"/>
        <v>7804.2332502565614</v>
      </c>
      <c r="AH228" s="237">
        <f t="shared" si="62"/>
        <v>8421.3386600205249</v>
      </c>
      <c r="AI228" s="237">
        <f t="shared" si="63"/>
        <v>617.10540976396351</v>
      </c>
      <c r="AJ228" s="237">
        <v>13.71</v>
      </c>
      <c r="AK228" s="266">
        <v>103431.14</v>
      </c>
      <c r="AL228" s="237">
        <f t="shared" si="64"/>
        <v>7544.2115244347187</v>
      </c>
      <c r="AM228" s="237">
        <f t="shared" si="65"/>
        <v>8229.3581327498177</v>
      </c>
      <c r="AN228" s="237">
        <f t="shared" si="66"/>
        <v>685.146608315099</v>
      </c>
      <c r="AO228" s="266">
        <v>0</v>
      </c>
      <c r="AP228" s="266">
        <v>0</v>
      </c>
      <c r="AQ228" s="266">
        <v>0</v>
      </c>
      <c r="AR228" s="266">
        <v>0</v>
      </c>
      <c r="AS228" s="358">
        <v>29023.16</v>
      </c>
      <c r="AT228" s="371">
        <v>1674.9500000000007</v>
      </c>
      <c r="AU228" s="373">
        <v>56413.729999999996</v>
      </c>
    </row>
    <row r="229" spans="1:47">
      <c r="A229" s="238" t="s">
        <v>1493</v>
      </c>
      <c r="B229" s="238" t="s">
        <v>1494</v>
      </c>
      <c r="C229" s="266">
        <v>0</v>
      </c>
      <c r="D229" s="266">
        <v>0</v>
      </c>
      <c r="E229" s="266">
        <v>16785.89</v>
      </c>
      <c r="F229" s="266">
        <v>0</v>
      </c>
      <c r="G229" s="266">
        <v>335370.49</v>
      </c>
      <c r="H229" s="266">
        <v>32997.78</v>
      </c>
      <c r="I229" s="266">
        <v>0</v>
      </c>
      <c r="J229" s="266">
        <v>107940.77</v>
      </c>
      <c r="K229" s="266">
        <v>160145.26</v>
      </c>
      <c r="L229" s="266">
        <v>186170.68</v>
      </c>
      <c r="M229" s="266">
        <v>0</v>
      </c>
      <c r="N229" s="266">
        <v>317130.34000000003</v>
      </c>
      <c r="O229" s="123">
        <v>0.08</v>
      </c>
      <c r="P229" s="123">
        <v>0.1</v>
      </c>
      <c r="Q229" s="266">
        <v>0</v>
      </c>
      <c r="R229" s="266">
        <v>0</v>
      </c>
      <c r="S229" s="266">
        <v>0</v>
      </c>
      <c r="T229" s="266">
        <v>0</v>
      </c>
      <c r="U229" s="266">
        <v>0</v>
      </c>
      <c r="V229" s="266">
        <v>0</v>
      </c>
      <c r="W229" s="266">
        <v>0</v>
      </c>
      <c r="X229" s="266">
        <v>0</v>
      </c>
      <c r="Y229" s="266">
        <v>0</v>
      </c>
      <c r="Z229" s="266">
        <v>384.22</v>
      </c>
      <c r="AA229" s="266">
        <v>0</v>
      </c>
      <c r="AB229" s="266">
        <v>0</v>
      </c>
      <c r="AC229" s="266">
        <v>0</v>
      </c>
      <c r="AD229" s="266">
        <v>0</v>
      </c>
      <c r="AE229" s="237">
        <v>0</v>
      </c>
      <c r="AF229" s="266">
        <v>0</v>
      </c>
      <c r="AG229" s="237">
        <f t="shared" si="61"/>
        <v>0</v>
      </c>
      <c r="AH229" s="237">
        <f t="shared" si="62"/>
        <v>0</v>
      </c>
      <c r="AI229" s="237">
        <f t="shared" si="63"/>
        <v>0</v>
      </c>
      <c r="AJ229" s="237">
        <v>0</v>
      </c>
      <c r="AK229" s="266">
        <v>0</v>
      </c>
      <c r="AL229" s="237">
        <f t="shared" si="64"/>
        <v>0</v>
      </c>
      <c r="AM229" s="237">
        <f t="shared" si="65"/>
        <v>0</v>
      </c>
      <c r="AN229" s="237">
        <f t="shared" si="66"/>
        <v>0</v>
      </c>
      <c r="AO229" s="266">
        <v>0</v>
      </c>
      <c r="AP229" s="266">
        <v>0</v>
      </c>
      <c r="AQ229" s="266">
        <v>0</v>
      </c>
      <c r="AR229" s="266">
        <v>0</v>
      </c>
      <c r="AS229" s="358">
        <v>0</v>
      </c>
      <c r="AT229" s="371">
        <v>11361.8</v>
      </c>
      <c r="AU229" s="373">
        <v>23693.480000000003</v>
      </c>
    </row>
    <row r="230" spans="1:47">
      <c r="A230" s="238" t="s">
        <v>493</v>
      </c>
      <c r="B230" s="238" t="s">
        <v>1495</v>
      </c>
      <c r="C230" s="266">
        <v>0</v>
      </c>
      <c r="D230" s="266">
        <v>0</v>
      </c>
      <c r="E230" s="266">
        <v>0</v>
      </c>
      <c r="F230" s="266">
        <v>0</v>
      </c>
      <c r="G230" s="266">
        <v>667470.43999999994</v>
      </c>
      <c r="H230" s="266">
        <v>152388.17000000001</v>
      </c>
      <c r="I230" s="266">
        <v>0</v>
      </c>
      <c r="J230" s="266">
        <v>150037.79999999999</v>
      </c>
      <c r="K230" s="266">
        <v>218522.96</v>
      </c>
      <c r="L230" s="266">
        <v>108883.27</v>
      </c>
      <c r="M230" s="266">
        <v>15070.55</v>
      </c>
      <c r="N230" s="266">
        <v>515440.17</v>
      </c>
      <c r="O230" s="123">
        <v>2.29E-2</v>
      </c>
      <c r="P230" s="123">
        <v>0.1651</v>
      </c>
      <c r="Q230" s="266">
        <v>0</v>
      </c>
      <c r="R230" s="266">
        <v>0</v>
      </c>
      <c r="S230" s="266">
        <v>0</v>
      </c>
      <c r="T230" s="266">
        <v>0</v>
      </c>
      <c r="U230" s="266">
        <v>0</v>
      </c>
      <c r="V230" s="266">
        <v>0</v>
      </c>
      <c r="W230" s="266">
        <v>0</v>
      </c>
      <c r="X230" s="266">
        <v>0</v>
      </c>
      <c r="Y230" s="266">
        <v>0</v>
      </c>
      <c r="Z230" s="266">
        <v>0</v>
      </c>
      <c r="AA230" s="266">
        <v>0</v>
      </c>
      <c r="AB230" s="266">
        <v>0</v>
      </c>
      <c r="AC230" s="266">
        <v>0</v>
      </c>
      <c r="AD230" s="266">
        <v>303152.83</v>
      </c>
      <c r="AE230" s="237">
        <v>36.79</v>
      </c>
      <c r="AF230" s="266">
        <v>287047.51</v>
      </c>
      <c r="AG230" s="237">
        <f t="shared" si="61"/>
        <v>7802.324272900245</v>
      </c>
      <c r="AH230" s="237">
        <f t="shared" si="62"/>
        <v>8240.0877955966298</v>
      </c>
      <c r="AI230" s="237">
        <f t="shared" si="63"/>
        <v>437.76352269638483</v>
      </c>
      <c r="AJ230" s="237">
        <v>0</v>
      </c>
      <c r="AK230" s="266">
        <v>0</v>
      </c>
      <c r="AL230" s="237">
        <f t="shared" si="64"/>
        <v>0</v>
      </c>
      <c r="AM230" s="237">
        <f t="shared" si="65"/>
        <v>0</v>
      </c>
      <c r="AN230" s="237">
        <f t="shared" si="66"/>
        <v>0</v>
      </c>
      <c r="AO230" s="266">
        <v>0</v>
      </c>
      <c r="AP230" s="266">
        <v>0</v>
      </c>
      <c r="AQ230" s="266">
        <v>0</v>
      </c>
      <c r="AR230" s="266">
        <v>0</v>
      </c>
      <c r="AS230" s="358">
        <v>0</v>
      </c>
      <c r="AT230" s="371">
        <v>0</v>
      </c>
      <c r="AU230" s="373">
        <v>38537.83</v>
      </c>
    </row>
    <row r="231" spans="1:47">
      <c r="A231" s="238" t="s">
        <v>447</v>
      </c>
      <c r="B231" s="238" t="s">
        <v>1496</v>
      </c>
      <c r="C231" s="266">
        <v>54137.5</v>
      </c>
      <c r="D231" s="266">
        <v>0</v>
      </c>
      <c r="E231" s="266">
        <v>0</v>
      </c>
      <c r="F231" s="266">
        <v>0</v>
      </c>
      <c r="G231" s="266">
        <v>708526.01</v>
      </c>
      <c r="H231" s="266">
        <v>140154.57</v>
      </c>
      <c r="I231" s="266">
        <v>6361.5</v>
      </c>
      <c r="J231" s="266">
        <v>0</v>
      </c>
      <c r="K231" s="266">
        <v>126287.38</v>
      </c>
      <c r="L231" s="266">
        <v>13189.46</v>
      </c>
      <c r="M231" s="266">
        <v>0</v>
      </c>
      <c r="N231" s="266">
        <v>794353.94</v>
      </c>
      <c r="O231" s="123">
        <v>5.8500000000000003E-2</v>
      </c>
      <c r="P231" s="123">
        <v>0.26469999999999999</v>
      </c>
      <c r="Q231" s="266">
        <v>0</v>
      </c>
      <c r="R231" s="266">
        <v>0</v>
      </c>
      <c r="S231" s="266">
        <v>0</v>
      </c>
      <c r="T231" s="266">
        <v>0</v>
      </c>
      <c r="U231" s="266">
        <v>0</v>
      </c>
      <c r="V231" s="266">
        <v>0</v>
      </c>
      <c r="W231" s="266">
        <v>0</v>
      </c>
      <c r="X231" s="266">
        <v>0</v>
      </c>
      <c r="Y231" s="266">
        <v>0</v>
      </c>
      <c r="Z231" s="266">
        <v>0</v>
      </c>
      <c r="AA231" s="266">
        <v>0</v>
      </c>
      <c r="AB231" s="266">
        <v>0</v>
      </c>
      <c r="AC231" s="266">
        <v>51555.76</v>
      </c>
      <c r="AD231" s="266">
        <v>269563.76</v>
      </c>
      <c r="AE231" s="237">
        <v>32.47</v>
      </c>
      <c r="AF231" s="266">
        <v>253406.81</v>
      </c>
      <c r="AG231" s="237">
        <f t="shared" si="61"/>
        <v>7804.3366184170009</v>
      </c>
      <c r="AH231" s="237">
        <f t="shared" si="62"/>
        <v>8301.9328611025576</v>
      </c>
      <c r="AI231" s="237">
        <f t="shared" si="63"/>
        <v>497.59624268555672</v>
      </c>
      <c r="AJ231" s="237">
        <v>6.26</v>
      </c>
      <c r="AK231" s="266">
        <v>47176.639999999999</v>
      </c>
      <c r="AL231" s="237">
        <f t="shared" si="64"/>
        <v>7536.2044728434503</v>
      </c>
      <c r="AM231" s="237">
        <f t="shared" si="65"/>
        <v>8235.7444089456876</v>
      </c>
      <c r="AN231" s="237">
        <f t="shared" si="66"/>
        <v>699.53993610223733</v>
      </c>
      <c r="AO231" s="266">
        <v>73.27</v>
      </c>
      <c r="AP231" s="266">
        <v>0</v>
      </c>
      <c r="AQ231" s="266">
        <v>0</v>
      </c>
      <c r="AR231" s="266">
        <v>0</v>
      </c>
      <c r="AS231" s="358">
        <v>49424.76</v>
      </c>
      <c r="AT231" s="371">
        <v>4775.4500000000007</v>
      </c>
      <c r="AU231" s="373">
        <v>39254.82</v>
      </c>
    </row>
    <row r="232" spans="1:47">
      <c r="A232" s="238" t="s">
        <v>353</v>
      </c>
      <c r="B232" s="238" t="s">
        <v>1497</v>
      </c>
      <c r="C232" s="266">
        <v>0</v>
      </c>
      <c r="D232" s="266">
        <v>0</v>
      </c>
      <c r="E232" s="266">
        <v>33902.61</v>
      </c>
      <c r="F232" s="266">
        <v>203083.15</v>
      </c>
      <c r="G232" s="266">
        <v>25267771.640000001</v>
      </c>
      <c r="H232" s="266">
        <v>6453831.2000000002</v>
      </c>
      <c r="I232" s="266">
        <v>1733602.95</v>
      </c>
      <c r="J232" s="266">
        <v>2150758.5699999998</v>
      </c>
      <c r="K232" s="266">
        <v>5408627.5</v>
      </c>
      <c r="L232" s="266">
        <v>4942831.72</v>
      </c>
      <c r="M232" s="266">
        <v>491141.56</v>
      </c>
      <c r="N232" s="266">
        <v>7438198.8300000001</v>
      </c>
      <c r="O232" s="123">
        <v>3.1300000000000001E-2</v>
      </c>
      <c r="P232" s="123">
        <v>0.1346</v>
      </c>
      <c r="Q232" s="266">
        <v>0</v>
      </c>
      <c r="R232" s="266">
        <v>0</v>
      </c>
      <c r="S232" s="266">
        <v>0</v>
      </c>
      <c r="T232" s="266">
        <v>0</v>
      </c>
      <c r="U232" s="266">
        <v>0</v>
      </c>
      <c r="V232" s="266">
        <v>0</v>
      </c>
      <c r="W232" s="266">
        <v>0</v>
      </c>
      <c r="X232" s="266">
        <v>0</v>
      </c>
      <c r="Y232" s="266">
        <v>0</v>
      </c>
      <c r="Z232" s="266">
        <v>12294.1</v>
      </c>
      <c r="AA232" s="266">
        <v>146414.31</v>
      </c>
      <c r="AB232" s="266">
        <v>847494.67</v>
      </c>
      <c r="AC232" s="266">
        <v>1757363.35</v>
      </c>
      <c r="AD232" s="266">
        <v>9395012.1699999999</v>
      </c>
      <c r="AE232" s="237">
        <v>980.57</v>
      </c>
      <c r="AF232" s="266">
        <v>8609051.3200000003</v>
      </c>
      <c r="AG232" s="237">
        <f t="shared" si="61"/>
        <v>8779.6397197548358</v>
      </c>
      <c r="AH232" s="237">
        <f t="shared" si="62"/>
        <v>9581.1743883659492</v>
      </c>
      <c r="AI232" s="237">
        <f t="shared" si="63"/>
        <v>801.53466861111337</v>
      </c>
      <c r="AJ232" s="237">
        <v>189.42</v>
      </c>
      <c r="AK232" s="266">
        <v>1609805.21</v>
      </c>
      <c r="AL232" s="237">
        <f t="shared" si="64"/>
        <v>8498.6021011508819</v>
      </c>
      <c r="AM232" s="237">
        <f t="shared" si="65"/>
        <v>9277.6018899799401</v>
      </c>
      <c r="AN232" s="237">
        <f t="shared" si="66"/>
        <v>778.99978882905816</v>
      </c>
      <c r="AO232" s="266">
        <v>0</v>
      </c>
      <c r="AP232" s="266">
        <v>0</v>
      </c>
      <c r="AQ232" s="266">
        <v>0</v>
      </c>
      <c r="AR232" s="266">
        <v>0</v>
      </c>
      <c r="AS232" s="358">
        <v>0</v>
      </c>
      <c r="AT232" s="371">
        <v>21655.809999999939</v>
      </c>
      <c r="AU232" s="373">
        <v>1194624.03</v>
      </c>
    </row>
    <row r="233" spans="1:47">
      <c r="A233" s="238" t="s">
        <v>267</v>
      </c>
      <c r="B233" s="238" t="s">
        <v>1498</v>
      </c>
      <c r="C233" s="266">
        <v>24801.26</v>
      </c>
      <c r="D233" s="266">
        <v>0</v>
      </c>
      <c r="E233" s="266">
        <v>0</v>
      </c>
      <c r="F233" s="266">
        <v>4015.26</v>
      </c>
      <c r="G233" s="266">
        <v>390483.02</v>
      </c>
      <c r="H233" s="266">
        <v>80587.02</v>
      </c>
      <c r="I233" s="266">
        <v>4341.6099999999997</v>
      </c>
      <c r="J233" s="266">
        <v>81128.679999999993</v>
      </c>
      <c r="K233" s="266">
        <v>117942.54</v>
      </c>
      <c r="L233" s="266">
        <v>0</v>
      </c>
      <c r="M233" s="266">
        <v>0</v>
      </c>
      <c r="N233" s="266">
        <v>417115.69</v>
      </c>
      <c r="O233" s="123">
        <v>4.8800000000000003E-2</v>
      </c>
      <c r="P233" s="123">
        <v>0.21410000000000001</v>
      </c>
      <c r="Q233" s="266">
        <v>0</v>
      </c>
      <c r="R233" s="266">
        <v>0</v>
      </c>
      <c r="S233" s="266">
        <v>0</v>
      </c>
      <c r="T233" s="266">
        <v>0</v>
      </c>
      <c r="U233" s="266">
        <v>0</v>
      </c>
      <c r="V233" s="266">
        <v>0</v>
      </c>
      <c r="W233" s="266">
        <v>0</v>
      </c>
      <c r="X233" s="266">
        <v>0</v>
      </c>
      <c r="Y233" s="266">
        <v>0</v>
      </c>
      <c r="Z233" s="266">
        <v>0</v>
      </c>
      <c r="AA233" s="266">
        <v>0</v>
      </c>
      <c r="AB233" s="266">
        <v>0</v>
      </c>
      <c r="AC233" s="266">
        <v>0</v>
      </c>
      <c r="AD233" s="266">
        <v>57956.27</v>
      </c>
      <c r="AE233" s="237">
        <v>6.43</v>
      </c>
      <c r="AF233" s="266">
        <v>51140.95</v>
      </c>
      <c r="AG233" s="237">
        <f t="shared" si="61"/>
        <v>7953.4914463452569</v>
      </c>
      <c r="AH233" s="237">
        <f t="shared" si="62"/>
        <v>9013.4167962674965</v>
      </c>
      <c r="AI233" s="237">
        <f t="shared" si="63"/>
        <v>1059.9253499222395</v>
      </c>
      <c r="AJ233" s="237">
        <v>0</v>
      </c>
      <c r="AK233" s="266">
        <v>0</v>
      </c>
      <c r="AL233" s="237">
        <f t="shared" si="64"/>
        <v>0</v>
      </c>
      <c r="AM233" s="237">
        <f t="shared" si="65"/>
        <v>0</v>
      </c>
      <c r="AN233" s="237">
        <f t="shared" si="66"/>
        <v>0</v>
      </c>
      <c r="AO233" s="266">
        <v>3736.8</v>
      </c>
      <c r="AP233" s="266">
        <v>0</v>
      </c>
      <c r="AQ233" s="266">
        <v>0</v>
      </c>
      <c r="AR233" s="266">
        <v>0</v>
      </c>
      <c r="AS233" s="358">
        <v>24504.29</v>
      </c>
      <c r="AT233" s="371">
        <v>3385.1900000000014</v>
      </c>
      <c r="AU233" s="373">
        <v>24168.840000000004</v>
      </c>
    </row>
    <row r="234" spans="1:47">
      <c r="A234" s="238" t="s">
        <v>189</v>
      </c>
      <c r="B234" s="238" t="s">
        <v>1499</v>
      </c>
      <c r="C234" s="266">
        <v>0</v>
      </c>
      <c r="D234" s="266">
        <v>0</v>
      </c>
      <c r="E234" s="266">
        <v>0</v>
      </c>
      <c r="F234" s="266">
        <v>84817.81</v>
      </c>
      <c r="G234" s="266">
        <v>14570395.779999999</v>
      </c>
      <c r="H234" s="266">
        <v>3525813.44</v>
      </c>
      <c r="I234" s="266">
        <v>888308.83</v>
      </c>
      <c r="J234" s="266">
        <v>874497.02</v>
      </c>
      <c r="K234" s="266">
        <v>3373217.69</v>
      </c>
      <c r="L234" s="266">
        <v>1178832.67</v>
      </c>
      <c r="M234" s="266">
        <v>394989.19</v>
      </c>
      <c r="N234" s="266">
        <v>4779270.6100000003</v>
      </c>
      <c r="O234" s="123">
        <v>3.5200000000000002E-2</v>
      </c>
      <c r="P234" s="123">
        <v>0.17330000000000001</v>
      </c>
      <c r="Q234" s="266">
        <v>0</v>
      </c>
      <c r="R234" s="266">
        <v>0</v>
      </c>
      <c r="S234" s="266">
        <v>0</v>
      </c>
      <c r="T234" s="266">
        <v>135718.32</v>
      </c>
      <c r="U234" s="266">
        <v>0</v>
      </c>
      <c r="V234" s="266">
        <v>5598.32</v>
      </c>
      <c r="W234" s="266">
        <v>0</v>
      </c>
      <c r="X234" s="266">
        <v>0</v>
      </c>
      <c r="Y234" s="266">
        <v>0</v>
      </c>
      <c r="Z234" s="266">
        <v>2327.31</v>
      </c>
      <c r="AA234" s="266">
        <v>0</v>
      </c>
      <c r="AB234" s="266">
        <v>540.89</v>
      </c>
      <c r="AC234" s="266">
        <v>753425.45</v>
      </c>
      <c r="AD234" s="266">
        <v>4012589.92</v>
      </c>
      <c r="AE234" s="237">
        <v>447.69</v>
      </c>
      <c r="AF234" s="266">
        <v>3639295.38</v>
      </c>
      <c r="AG234" s="237">
        <f t="shared" si="61"/>
        <v>8129.0522013000063</v>
      </c>
      <c r="AH234" s="237">
        <f t="shared" si="62"/>
        <v>8962.8759186043917</v>
      </c>
      <c r="AI234" s="237">
        <f t="shared" si="63"/>
        <v>833.82371730438535</v>
      </c>
      <c r="AJ234" s="237">
        <v>87.82</v>
      </c>
      <c r="AK234" s="266">
        <v>690076.06</v>
      </c>
      <c r="AL234" s="237">
        <f t="shared" si="64"/>
        <v>7857.8462764746082</v>
      </c>
      <c r="AM234" s="237">
        <f t="shared" si="65"/>
        <v>8579.2012070143483</v>
      </c>
      <c r="AN234" s="237">
        <f t="shared" si="66"/>
        <v>721.35493053974005</v>
      </c>
      <c r="AO234" s="266">
        <v>0</v>
      </c>
      <c r="AP234" s="266">
        <v>0</v>
      </c>
      <c r="AQ234" s="266">
        <v>0</v>
      </c>
      <c r="AR234" s="266">
        <v>0</v>
      </c>
      <c r="AS234" s="358">
        <v>333030.75</v>
      </c>
      <c r="AT234" s="371">
        <v>72688.38</v>
      </c>
      <c r="AU234" s="373">
        <v>823422.11</v>
      </c>
    </row>
    <row r="235" spans="1:47">
      <c r="A235" s="238" t="s">
        <v>229</v>
      </c>
      <c r="B235" s="238" t="s">
        <v>1500</v>
      </c>
      <c r="C235" s="266">
        <v>0</v>
      </c>
      <c r="D235" s="266">
        <v>0</v>
      </c>
      <c r="E235" s="266">
        <v>0</v>
      </c>
      <c r="F235" s="266">
        <v>0</v>
      </c>
      <c r="G235" s="266">
        <v>3734224.34</v>
      </c>
      <c r="H235" s="266">
        <v>594917.62</v>
      </c>
      <c r="I235" s="266">
        <v>124619.14</v>
      </c>
      <c r="J235" s="266">
        <v>0</v>
      </c>
      <c r="K235" s="266">
        <v>460937.83</v>
      </c>
      <c r="L235" s="266">
        <v>170303.18</v>
      </c>
      <c r="M235" s="266">
        <v>97668.22</v>
      </c>
      <c r="N235" s="266">
        <v>0</v>
      </c>
      <c r="O235" s="123">
        <v>5.4699999999999999E-2</v>
      </c>
      <c r="P235" s="123">
        <v>0.185</v>
      </c>
      <c r="Q235" s="266">
        <v>0</v>
      </c>
      <c r="R235" s="266">
        <v>0</v>
      </c>
      <c r="S235" s="266">
        <v>0</v>
      </c>
      <c r="T235" s="266">
        <v>0</v>
      </c>
      <c r="U235" s="266">
        <v>0</v>
      </c>
      <c r="V235" s="266">
        <v>0</v>
      </c>
      <c r="W235" s="266">
        <v>0</v>
      </c>
      <c r="X235" s="266">
        <v>0</v>
      </c>
      <c r="Y235" s="266">
        <v>0</v>
      </c>
      <c r="Z235" s="266">
        <v>3844.45</v>
      </c>
      <c r="AA235" s="266">
        <v>41785.629999999997</v>
      </c>
      <c r="AB235" s="266">
        <v>9511.17</v>
      </c>
      <c r="AC235" s="266">
        <v>469218.08</v>
      </c>
      <c r="AD235" s="266">
        <v>1308227.74</v>
      </c>
      <c r="AE235" s="237">
        <v>150.81</v>
      </c>
      <c r="AF235" s="266">
        <v>1225776.28</v>
      </c>
      <c r="AG235" s="237">
        <f t="shared" si="61"/>
        <v>8127.9509316358335</v>
      </c>
      <c r="AH235" s="237">
        <f t="shared" si="62"/>
        <v>8674.6750215502943</v>
      </c>
      <c r="AI235" s="237">
        <f t="shared" si="63"/>
        <v>546.72408991446082</v>
      </c>
      <c r="AJ235" s="237">
        <v>54.69</v>
      </c>
      <c r="AK235" s="266">
        <v>429580.97</v>
      </c>
      <c r="AL235" s="237">
        <f t="shared" si="64"/>
        <v>7854.8358017919181</v>
      </c>
      <c r="AM235" s="237">
        <f t="shared" si="65"/>
        <v>8579.5955384896697</v>
      </c>
      <c r="AN235" s="237">
        <f t="shared" si="66"/>
        <v>724.75973669775158</v>
      </c>
      <c r="AO235" s="266">
        <v>0</v>
      </c>
      <c r="AP235" s="266">
        <v>0</v>
      </c>
      <c r="AQ235" s="266">
        <v>0</v>
      </c>
      <c r="AR235" s="266">
        <v>0</v>
      </c>
      <c r="AS235" s="358">
        <v>0</v>
      </c>
      <c r="AT235" s="371">
        <v>4099.410000000018</v>
      </c>
      <c r="AU235" s="373">
        <v>206428.79999999999</v>
      </c>
    </row>
    <row r="236" spans="1:47">
      <c r="A236" s="238" t="s">
        <v>173</v>
      </c>
      <c r="B236" s="238" t="s">
        <v>1501</v>
      </c>
      <c r="C236" s="266">
        <v>0</v>
      </c>
      <c r="D236" s="266">
        <v>0</v>
      </c>
      <c r="E236" s="266">
        <v>0</v>
      </c>
      <c r="F236" s="266">
        <v>6036.64</v>
      </c>
      <c r="G236" s="266">
        <v>240721.37</v>
      </c>
      <c r="H236" s="266">
        <v>32077.41</v>
      </c>
      <c r="I236" s="266">
        <v>7719.81</v>
      </c>
      <c r="J236" s="266">
        <v>48460.06</v>
      </c>
      <c r="K236" s="266">
        <v>100769.31</v>
      </c>
      <c r="L236" s="266">
        <v>0</v>
      </c>
      <c r="M236" s="266">
        <v>0</v>
      </c>
      <c r="N236" s="266">
        <v>0</v>
      </c>
      <c r="O236" s="123">
        <v>2.4E-2</v>
      </c>
      <c r="P236" s="123">
        <v>0.27479999999999999</v>
      </c>
      <c r="Q236" s="266">
        <v>0</v>
      </c>
      <c r="R236" s="266">
        <v>0</v>
      </c>
      <c r="S236" s="266">
        <v>0</v>
      </c>
      <c r="T236" s="266">
        <v>0</v>
      </c>
      <c r="U236" s="266">
        <v>0</v>
      </c>
      <c r="V236" s="266">
        <v>0</v>
      </c>
      <c r="W236" s="266">
        <v>0</v>
      </c>
      <c r="X236" s="266">
        <v>0</v>
      </c>
      <c r="Y236" s="266">
        <v>0</v>
      </c>
      <c r="Z236" s="266">
        <v>0</v>
      </c>
      <c r="AA236" s="266">
        <v>0</v>
      </c>
      <c r="AB236" s="266">
        <v>0</v>
      </c>
      <c r="AC236" s="266">
        <v>102270.18</v>
      </c>
      <c r="AD236" s="266">
        <v>279220.73</v>
      </c>
      <c r="AE236" s="237">
        <v>30.25</v>
      </c>
      <c r="AF236" s="266">
        <v>240735.66</v>
      </c>
      <c r="AG236" s="237">
        <f t="shared" si="61"/>
        <v>7958.2036363636362</v>
      </c>
      <c r="AH236" s="237">
        <f t="shared" si="62"/>
        <v>9230.4373553718997</v>
      </c>
      <c r="AI236" s="237">
        <f t="shared" si="63"/>
        <v>1272.2337190082635</v>
      </c>
      <c r="AJ236" s="237">
        <v>12.17</v>
      </c>
      <c r="AK236" s="266">
        <v>93535.01</v>
      </c>
      <c r="AL236" s="237">
        <f t="shared" si="64"/>
        <v>7685.7033689400159</v>
      </c>
      <c r="AM236" s="237">
        <f t="shared" si="65"/>
        <v>8403.4658997534916</v>
      </c>
      <c r="AN236" s="237">
        <f t="shared" si="66"/>
        <v>717.76253081347568</v>
      </c>
      <c r="AO236" s="266">
        <v>41.17</v>
      </c>
      <c r="AP236" s="266">
        <v>0</v>
      </c>
      <c r="AQ236" s="266">
        <v>0</v>
      </c>
      <c r="AR236" s="266">
        <v>0</v>
      </c>
      <c r="AS236" s="358">
        <v>0</v>
      </c>
      <c r="AT236" s="371">
        <v>0</v>
      </c>
      <c r="AU236" s="373">
        <v>25733.16</v>
      </c>
    </row>
    <row r="237" spans="1:47">
      <c r="A237" s="238" t="s">
        <v>619</v>
      </c>
      <c r="B237" s="238" t="s">
        <v>1502</v>
      </c>
      <c r="C237" s="266">
        <v>0</v>
      </c>
      <c r="D237" s="266">
        <v>0</v>
      </c>
      <c r="E237" s="266">
        <v>5999.8</v>
      </c>
      <c r="F237" s="266">
        <v>9507.89</v>
      </c>
      <c r="G237" s="266">
        <v>1816936.88</v>
      </c>
      <c r="H237" s="266">
        <v>390057</v>
      </c>
      <c r="I237" s="266">
        <v>133081.46</v>
      </c>
      <c r="J237" s="266">
        <v>174837.45</v>
      </c>
      <c r="K237" s="266">
        <v>420926.17</v>
      </c>
      <c r="L237" s="266">
        <v>12347.58</v>
      </c>
      <c r="M237" s="266">
        <v>39679.42</v>
      </c>
      <c r="N237" s="266">
        <v>1461476.5</v>
      </c>
      <c r="O237" s="123">
        <v>3.8600000000000002E-2</v>
      </c>
      <c r="P237" s="123">
        <v>0.19919999999999999</v>
      </c>
      <c r="Q237" s="266">
        <v>0</v>
      </c>
      <c r="R237" s="266">
        <v>0</v>
      </c>
      <c r="S237" s="266">
        <v>0</v>
      </c>
      <c r="T237" s="266">
        <v>0</v>
      </c>
      <c r="U237" s="266">
        <v>0</v>
      </c>
      <c r="V237" s="266">
        <v>0</v>
      </c>
      <c r="W237" s="266">
        <v>0</v>
      </c>
      <c r="X237" s="266">
        <v>0</v>
      </c>
      <c r="Y237" s="266">
        <v>0</v>
      </c>
      <c r="Z237" s="266">
        <v>1705.96</v>
      </c>
      <c r="AA237" s="266">
        <v>364.02</v>
      </c>
      <c r="AB237" s="266">
        <v>0</v>
      </c>
      <c r="AC237" s="266">
        <v>381447.49</v>
      </c>
      <c r="AD237" s="266">
        <v>539133.16</v>
      </c>
      <c r="AE237" s="237">
        <v>60.85</v>
      </c>
      <c r="AF237" s="266">
        <v>474864.82</v>
      </c>
      <c r="AG237" s="237">
        <f t="shared" si="61"/>
        <v>7803.8589975349223</v>
      </c>
      <c r="AH237" s="237">
        <f t="shared" si="62"/>
        <v>8860.0354971240758</v>
      </c>
      <c r="AI237" s="237">
        <f t="shared" si="63"/>
        <v>1056.1764995891535</v>
      </c>
      <c r="AJ237" s="237">
        <v>46.35</v>
      </c>
      <c r="AK237" s="266">
        <v>349278.77</v>
      </c>
      <c r="AL237" s="237">
        <f t="shared" si="64"/>
        <v>7535.680043149946</v>
      </c>
      <c r="AM237" s="237">
        <f t="shared" si="65"/>
        <v>8229.7193096008632</v>
      </c>
      <c r="AN237" s="237">
        <f t="shared" si="66"/>
        <v>694.03926645091724</v>
      </c>
      <c r="AO237" s="266">
        <v>0</v>
      </c>
      <c r="AP237" s="266">
        <v>0</v>
      </c>
      <c r="AQ237" s="266">
        <v>0</v>
      </c>
      <c r="AR237" s="266">
        <v>0</v>
      </c>
      <c r="AS237" s="358">
        <v>0</v>
      </c>
      <c r="AT237" s="371">
        <v>104.08000000000902</v>
      </c>
      <c r="AU237" s="373">
        <v>83217.790000000008</v>
      </c>
    </row>
    <row r="238" spans="1:47">
      <c r="A238" s="238" t="s">
        <v>361</v>
      </c>
      <c r="B238" s="238" t="s">
        <v>1503</v>
      </c>
      <c r="C238" s="266">
        <v>0</v>
      </c>
      <c r="D238" s="266">
        <v>0</v>
      </c>
      <c r="E238" s="266">
        <v>6647.99</v>
      </c>
      <c r="F238" s="266">
        <v>930.18</v>
      </c>
      <c r="G238" s="266">
        <v>3682838.58</v>
      </c>
      <c r="H238" s="266">
        <v>647973.68999999994</v>
      </c>
      <c r="I238" s="266">
        <v>359126.57</v>
      </c>
      <c r="J238" s="266">
        <v>0</v>
      </c>
      <c r="K238" s="266">
        <v>308812.15999999997</v>
      </c>
      <c r="L238" s="266">
        <v>324608.08</v>
      </c>
      <c r="M238" s="266">
        <v>105291.91</v>
      </c>
      <c r="N238" s="266">
        <v>2288875.34</v>
      </c>
      <c r="O238" s="123">
        <v>4.9200000000000001E-2</v>
      </c>
      <c r="P238" s="123">
        <v>0.18149999999999999</v>
      </c>
      <c r="Q238" s="266">
        <v>0</v>
      </c>
      <c r="R238" s="266">
        <v>0</v>
      </c>
      <c r="S238" s="266">
        <v>0</v>
      </c>
      <c r="T238" s="266">
        <v>0</v>
      </c>
      <c r="U238" s="266">
        <v>0</v>
      </c>
      <c r="V238" s="266">
        <v>0</v>
      </c>
      <c r="W238" s="266">
        <v>0</v>
      </c>
      <c r="X238" s="266">
        <v>0</v>
      </c>
      <c r="Y238" s="266">
        <v>0</v>
      </c>
      <c r="Z238" s="266">
        <v>3739.06</v>
      </c>
      <c r="AA238" s="266">
        <v>0</v>
      </c>
      <c r="AB238" s="266">
        <v>0</v>
      </c>
      <c r="AC238" s="266">
        <v>210711.66</v>
      </c>
      <c r="AD238" s="266">
        <v>1625583.01</v>
      </c>
      <c r="AE238" s="237">
        <v>169.39</v>
      </c>
      <c r="AF238" s="266">
        <v>1487260.87</v>
      </c>
      <c r="AG238" s="237">
        <f t="shared" si="61"/>
        <v>8780.0984119487584</v>
      </c>
      <c r="AH238" s="237">
        <f t="shared" si="62"/>
        <v>9596.6881752169556</v>
      </c>
      <c r="AI238" s="237">
        <f t="shared" si="63"/>
        <v>816.5897632681972</v>
      </c>
      <c r="AJ238" s="237">
        <v>22.71</v>
      </c>
      <c r="AK238" s="266">
        <v>193032.78</v>
      </c>
      <c r="AL238" s="237">
        <f t="shared" si="64"/>
        <v>8499.9022457067367</v>
      </c>
      <c r="AM238" s="237">
        <f t="shared" si="65"/>
        <v>9278.3645970937905</v>
      </c>
      <c r="AN238" s="237">
        <f t="shared" si="66"/>
        <v>778.46235138705379</v>
      </c>
      <c r="AO238" s="266">
        <v>0</v>
      </c>
      <c r="AP238" s="266">
        <v>0</v>
      </c>
      <c r="AQ238" s="266">
        <v>0</v>
      </c>
      <c r="AR238" s="266">
        <v>0</v>
      </c>
      <c r="AS238" s="358">
        <v>242889.2</v>
      </c>
      <c r="AT238" s="371">
        <v>23926.960000000006</v>
      </c>
      <c r="AU238" s="373">
        <v>214822.33</v>
      </c>
    </row>
    <row r="239" spans="1:47">
      <c r="A239" s="238" t="s">
        <v>655</v>
      </c>
      <c r="B239" s="238" t="s">
        <v>1504</v>
      </c>
      <c r="C239" s="266">
        <v>0</v>
      </c>
      <c r="D239" s="266">
        <v>0</v>
      </c>
      <c r="E239" s="266">
        <v>4465.68</v>
      </c>
      <c r="F239" s="266">
        <v>32840.93</v>
      </c>
      <c r="G239" s="266">
        <v>2944385.03</v>
      </c>
      <c r="H239" s="266">
        <v>655000.46</v>
      </c>
      <c r="I239" s="266">
        <v>107172.6</v>
      </c>
      <c r="J239" s="266">
        <v>454596.44</v>
      </c>
      <c r="K239" s="266">
        <v>712035.76</v>
      </c>
      <c r="L239" s="266">
        <v>224033.87</v>
      </c>
      <c r="M239" s="266">
        <v>59900.66</v>
      </c>
      <c r="N239" s="266">
        <v>1882880.96</v>
      </c>
      <c r="O239" s="123">
        <v>1.0999999999999999E-2</v>
      </c>
      <c r="P239" s="123">
        <v>0.1545</v>
      </c>
      <c r="Q239" s="266">
        <v>0</v>
      </c>
      <c r="R239" s="266">
        <v>0</v>
      </c>
      <c r="S239" s="266">
        <v>0</v>
      </c>
      <c r="T239" s="266">
        <v>0</v>
      </c>
      <c r="U239" s="266">
        <v>0</v>
      </c>
      <c r="V239" s="266">
        <v>0</v>
      </c>
      <c r="W239" s="266">
        <v>0</v>
      </c>
      <c r="X239" s="266">
        <v>0</v>
      </c>
      <c r="Y239" s="266">
        <v>0</v>
      </c>
      <c r="Z239" s="266">
        <v>2462.33</v>
      </c>
      <c r="AA239" s="266">
        <v>0</v>
      </c>
      <c r="AB239" s="266">
        <v>29133.3</v>
      </c>
      <c r="AC239" s="266">
        <v>0</v>
      </c>
      <c r="AD239" s="266">
        <v>673971.03</v>
      </c>
      <c r="AE239" s="237">
        <v>75.78</v>
      </c>
      <c r="AF239" s="266">
        <v>591355.79</v>
      </c>
      <c r="AG239" s="237">
        <f t="shared" si="61"/>
        <v>7803.5865663763534</v>
      </c>
      <c r="AH239" s="237">
        <f t="shared" si="62"/>
        <v>8893.7850356294548</v>
      </c>
      <c r="AI239" s="237">
        <f t="shared" si="63"/>
        <v>1090.1984692531014</v>
      </c>
      <c r="AJ239" s="237">
        <v>0</v>
      </c>
      <c r="AK239" s="266">
        <v>0</v>
      </c>
      <c r="AL239" s="237">
        <f t="shared" si="64"/>
        <v>0</v>
      </c>
      <c r="AM239" s="237">
        <f t="shared" si="65"/>
        <v>0</v>
      </c>
      <c r="AN239" s="237">
        <f t="shared" si="66"/>
        <v>0</v>
      </c>
      <c r="AO239" s="266">
        <v>871.05</v>
      </c>
      <c r="AP239" s="266">
        <v>0</v>
      </c>
      <c r="AQ239" s="266">
        <v>0</v>
      </c>
      <c r="AR239" s="266">
        <v>0</v>
      </c>
      <c r="AS239" s="358">
        <v>0</v>
      </c>
      <c r="AT239" s="371">
        <v>5328.1700000000055</v>
      </c>
      <c r="AU239" s="373">
        <v>138949.5</v>
      </c>
    </row>
    <row r="240" spans="1:47">
      <c r="A240" s="238" t="s">
        <v>411</v>
      </c>
      <c r="B240" s="238" t="s">
        <v>1505</v>
      </c>
      <c r="C240" s="266">
        <v>0</v>
      </c>
      <c r="D240" s="266">
        <v>0</v>
      </c>
      <c r="E240" s="266">
        <v>0</v>
      </c>
      <c r="F240" s="266">
        <v>0</v>
      </c>
      <c r="G240" s="266">
        <v>0</v>
      </c>
      <c r="H240" s="266">
        <v>0</v>
      </c>
      <c r="I240" s="266">
        <v>0</v>
      </c>
      <c r="J240" s="266">
        <v>0</v>
      </c>
      <c r="K240" s="266">
        <v>0</v>
      </c>
      <c r="L240" s="266">
        <v>22263.08</v>
      </c>
      <c r="M240" s="266">
        <v>0</v>
      </c>
      <c r="N240" s="266">
        <v>115160.21</v>
      </c>
      <c r="O240" s="123">
        <v>0.2024</v>
      </c>
      <c r="P240" s="123">
        <v>0.3201</v>
      </c>
      <c r="Q240" s="266">
        <v>0</v>
      </c>
      <c r="R240" s="266">
        <v>0</v>
      </c>
      <c r="S240" s="266">
        <v>0</v>
      </c>
      <c r="T240" s="266">
        <v>0</v>
      </c>
      <c r="U240" s="266">
        <v>0</v>
      </c>
      <c r="V240" s="266">
        <v>0</v>
      </c>
      <c r="W240" s="266">
        <v>0</v>
      </c>
      <c r="X240" s="266">
        <v>0</v>
      </c>
      <c r="Y240" s="266">
        <v>0</v>
      </c>
      <c r="Z240" s="266">
        <v>34.03</v>
      </c>
      <c r="AA240" s="266">
        <v>0</v>
      </c>
      <c r="AB240" s="266">
        <v>0</v>
      </c>
      <c r="AC240" s="266">
        <v>0</v>
      </c>
      <c r="AD240" s="266">
        <v>0</v>
      </c>
      <c r="AE240" s="237">
        <v>0</v>
      </c>
      <c r="AF240" s="266">
        <v>0</v>
      </c>
      <c r="AG240" s="237">
        <f t="shared" si="61"/>
        <v>0</v>
      </c>
      <c r="AH240" s="237">
        <f t="shared" si="62"/>
        <v>0</v>
      </c>
      <c r="AI240" s="237">
        <f t="shared" si="63"/>
        <v>0</v>
      </c>
      <c r="AJ240" s="237">
        <v>0</v>
      </c>
      <c r="AK240" s="266">
        <v>0</v>
      </c>
      <c r="AL240" s="237">
        <f t="shared" si="64"/>
        <v>0</v>
      </c>
      <c r="AM240" s="237">
        <f t="shared" si="65"/>
        <v>0</v>
      </c>
      <c r="AN240" s="237">
        <f t="shared" si="66"/>
        <v>0</v>
      </c>
      <c r="AO240" s="266">
        <v>0</v>
      </c>
      <c r="AP240" s="266">
        <v>0</v>
      </c>
      <c r="AQ240" s="266">
        <v>0</v>
      </c>
      <c r="AR240" s="266">
        <v>0</v>
      </c>
      <c r="AS240" s="358">
        <v>14670.93</v>
      </c>
      <c r="AT240" s="371">
        <v>497.34000000000003</v>
      </c>
      <c r="AU240" s="373">
        <v>2728.14</v>
      </c>
    </row>
    <row r="241" spans="1:47">
      <c r="A241" s="238" t="s">
        <v>708</v>
      </c>
      <c r="B241" s="238" t="s">
        <v>1506</v>
      </c>
      <c r="C241" s="266">
        <v>0</v>
      </c>
      <c r="D241" s="266">
        <v>0</v>
      </c>
      <c r="E241" s="266">
        <v>0</v>
      </c>
      <c r="F241" s="266">
        <v>892.04</v>
      </c>
      <c r="G241" s="266">
        <v>231820.27</v>
      </c>
      <c r="H241" s="266">
        <v>33494.74</v>
      </c>
      <c r="I241" s="266">
        <v>10055.74</v>
      </c>
      <c r="J241" s="266">
        <v>53493.59</v>
      </c>
      <c r="K241" s="266">
        <v>71851.179999999993</v>
      </c>
      <c r="L241" s="266">
        <v>0</v>
      </c>
      <c r="M241" s="266">
        <v>5329.61</v>
      </c>
      <c r="N241" s="266">
        <v>208674.5</v>
      </c>
      <c r="O241" s="123">
        <v>5.2400000000000002E-2</v>
      </c>
      <c r="P241" s="123">
        <v>0.2424</v>
      </c>
      <c r="Q241" s="266">
        <v>0</v>
      </c>
      <c r="R241" s="266">
        <v>0</v>
      </c>
      <c r="S241" s="266">
        <v>0</v>
      </c>
      <c r="T241" s="266">
        <v>0</v>
      </c>
      <c r="U241" s="266">
        <v>0</v>
      </c>
      <c r="V241" s="266">
        <v>0</v>
      </c>
      <c r="W241" s="266">
        <v>0</v>
      </c>
      <c r="X241" s="266">
        <v>0</v>
      </c>
      <c r="Y241" s="266">
        <v>0</v>
      </c>
      <c r="Z241" s="266">
        <v>0</v>
      </c>
      <c r="AA241" s="266">
        <v>3194.22</v>
      </c>
      <c r="AB241" s="266">
        <v>0</v>
      </c>
      <c r="AC241" s="266">
        <v>15268.86</v>
      </c>
      <c r="AD241" s="266">
        <v>58713.26</v>
      </c>
      <c r="AE241" s="237">
        <v>6.99</v>
      </c>
      <c r="AF241" s="266">
        <v>55585.34</v>
      </c>
      <c r="AG241" s="237">
        <f t="shared" si="61"/>
        <v>7952.1230329041482</v>
      </c>
      <c r="AH241" s="237">
        <f t="shared" si="62"/>
        <v>8399.6080114449214</v>
      </c>
      <c r="AI241" s="237">
        <f t="shared" si="63"/>
        <v>447.48497854077323</v>
      </c>
      <c r="AJ241" s="237">
        <v>1.8</v>
      </c>
      <c r="AK241" s="266">
        <v>14056.14</v>
      </c>
      <c r="AL241" s="237">
        <f t="shared" si="64"/>
        <v>7808.9666666666662</v>
      </c>
      <c r="AM241" s="237">
        <f t="shared" si="65"/>
        <v>8482.7000000000007</v>
      </c>
      <c r="AN241" s="237">
        <f t="shared" si="66"/>
        <v>673.73333333333449</v>
      </c>
      <c r="AO241" s="266">
        <v>0</v>
      </c>
      <c r="AP241" s="266">
        <v>0</v>
      </c>
      <c r="AQ241" s="266">
        <v>0</v>
      </c>
      <c r="AR241" s="266">
        <v>0</v>
      </c>
      <c r="AS241" s="358">
        <v>12162.92</v>
      </c>
      <c r="AT241" s="371">
        <v>1493.67</v>
      </c>
      <c r="AU241" s="373">
        <v>18691.21</v>
      </c>
    </row>
    <row r="242" spans="1:47">
      <c r="A242" s="238" t="s">
        <v>289</v>
      </c>
      <c r="B242" s="238" t="s">
        <v>1507</v>
      </c>
      <c r="C242" s="266">
        <v>139943.95000000001</v>
      </c>
      <c r="D242" s="266">
        <v>0</v>
      </c>
      <c r="E242" s="266">
        <v>72642.97</v>
      </c>
      <c r="F242" s="266">
        <v>46226.54</v>
      </c>
      <c r="G242" s="266">
        <v>1857649.71</v>
      </c>
      <c r="H242" s="266">
        <v>479774.17</v>
      </c>
      <c r="I242" s="266">
        <v>88094.69</v>
      </c>
      <c r="J242" s="266">
        <v>485119.08</v>
      </c>
      <c r="K242" s="266">
        <v>829261.74</v>
      </c>
      <c r="L242" s="266">
        <v>1196874.08</v>
      </c>
      <c r="M242" s="266">
        <v>47214.69</v>
      </c>
      <c r="N242" s="266">
        <v>998654.67</v>
      </c>
      <c r="O242" s="123">
        <v>4.36E-2</v>
      </c>
      <c r="P242" s="123">
        <v>0.20399999999999999</v>
      </c>
      <c r="Q242" s="266">
        <v>0</v>
      </c>
      <c r="R242" s="266">
        <v>0</v>
      </c>
      <c r="S242" s="266">
        <v>0</v>
      </c>
      <c r="T242" s="266">
        <v>0</v>
      </c>
      <c r="U242" s="266">
        <v>0</v>
      </c>
      <c r="V242" s="266">
        <v>0</v>
      </c>
      <c r="W242" s="266">
        <v>0</v>
      </c>
      <c r="X242" s="266">
        <v>0</v>
      </c>
      <c r="Y242" s="266">
        <v>0</v>
      </c>
      <c r="Z242" s="266">
        <v>1936.49</v>
      </c>
      <c r="AA242" s="266">
        <v>1805.46</v>
      </c>
      <c r="AB242" s="266">
        <v>65016.45</v>
      </c>
      <c r="AC242" s="266">
        <v>146425.37</v>
      </c>
      <c r="AD242" s="266">
        <v>718003.94</v>
      </c>
      <c r="AE242" s="237">
        <v>86.57</v>
      </c>
      <c r="AF242" s="266">
        <v>675483.62</v>
      </c>
      <c r="AG242" s="237">
        <f t="shared" si="61"/>
        <v>7802.7448307727855</v>
      </c>
      <c r="AH242" s="237">
        <f t="shared" si="62"/>
        <v>8293.9117477186101</v>
      </c>
      <c r="AI242" s="237">
        <f t="shared" si="63"/>
        <v>491.1669169458246</v>
      </c>
      <c r="AJ242" s="237">
        <v>17.79</v>
      </c>
      <c r="AK242" s="266">
        <v>134049.84</v>
      </c>
      <c r="AL242" s="237">
        <f t="shared" si="64"/>
        <v>7535.1231028667789</v>
      </c>
      <c r="AM242" s="237">
        <f t="shared" si="65"/>
        <v>8230.7684092186628</v>
      </c>
      <c r="AN242" s="237">
        <f t="shared" si="66"/>
        <v>695.64530635188385</v>
      </c>
      <c r="AO242" s="266">
        <v>3035.4</v>
      </c>
      <c r="AP242" s="266">
        <v>0</v>
      </c>
      <c r="AQ242" s="266">
        <v>0</v>
      </c>
      <c r="AR242" s="266">
        <v>0</v>
      </c>
      <c r="AS242" s="358">
        <v>155505.82</v>
      </c>
      <c r="AT242" s="371">
        <v>7750.9299999999857</v>
      </c>
      <c r="AU242" s="373">
        <v>122833.44000000002</v>
      </c>
    </row>
    <row r="243" spans="1:47">
      <c r="A243" s="238" t="s">
        <v>544</v>
      </c>
      <c r="B243" s="238" t="s">
        <v>1508</v>
      </c>
      <c r="C243" s="266">
        <v>0</v>
      </c>
      <c r="D243" s="266">
        <v>0</v>
      </c>
      <c r="E243" s="266">
        <v>0</v>
      </c>
      <c r="F243" s="266">
        <v>0</v>
      </c>
      <c r="G243" s="266">
        <v>1288060.4099999999</v>
      </c>
      <c r="H243" s="266">
        <v>176591.76</v>
      </c>
      <c r="I243" s="266">
        <v>77376.7</v>
      </c>
      <c r="J243" s="266">
        <v>0</v>
      </c>
      <c r="K243" s="266">
        <v>206848.51</v>
      </c>
      <c r="L243" s="266">
        <v>87528.94</v>
      </c>
      <c r="M243" s="266">
        <v>24025.200000000001</v>
      </c>
      <c r="N243" s="266">
        <v>375391.82</v>
      </c>
      <c r="O243" s="123">
        <v>6.7699999999999996E-2</v>
      </c>
      <c r="P243" s="123">
        <v>0.22620000000000001</v>
      </c>
      <c r="Q243" s="266">
        <v>0</v>
      </c>
      <c r="R243" s="266">
        <v>0</v>
      </c>
      <c r="S243" s="266">
        <v>0</v>
      </c>
      <c r="T243" s="266">
        <v>0</v>
      </c>
      <c r="U243" s="266">
        <v>0</v>
      </c>
      <c r="V243" s="266">
        <v>0</v>
      </c>
      <c r="W243" s="266">
        <v>0</v>
      </c>
      <c r="X243" s="266">
        <v>0</v>
      </c>
      <c r="Y243" s="266">
        <v>0</v>
      </c>
      <c r="Z243" s="266">
        <v>0</v>
      </c>
      <c r="AA243" s="266">
        <v>0</v>
      </c>
      <c r="AB243" s="266">
        <v>14565.67</v>
      </c>
      <c r="AC243" s="266">
        <v>0</v>
      </c>
      <c r="AD243" s="266">
        <v>58567.37</v>
      </c>
      <c r="AE243" s="237">
        <v>6.26</v>
      </c>
      <c r="AF243" s="266">
        <v>52978.65</v>
      </c>
      <c r="AG243" s="237">
        <f t="shared" si="61"/>
        <v>8463.0431309904161</v>
      </c>
      <c r="AH243" s="237">
        <f t="shared" si="62"/>
        <v>9355.8099041533551</v>
      </c>
      <c r="AI243" s="237">
        <f t="shared" si="63"/>
        <v>892.76677316293899</v>
      </c>
      <c r="AJ243" s="237">
        <v>0</v>
      </c>
      <c r="AK243" s="266">
        <v>0</v>
      </c>
      <c r="AL243" s="237">
        <f t="shared" si="64"/>
        <v>0</v>
      </c>
      <c r="AM243" s="237">
        <f t="shared" si="65"/>
        <v>0</v>
      </c>
      <c r="AN243" s="237">
        <f t="shared" si="66"/>
        <v>0</v>
      </c>
      <c r="AO243" s="266">
        <v>624.94000000000005</v>
      </c>
      <c r="AP243" s="266">
        <v>0</v>
      </c>
      <c r="AQ243" s="266">
        <v>0</v>
      </c>
      <c r="AR243" s="266">
        <v>0</v>
      </c>
      <c r="AS243" s="358">
        <v>34846.01</v>
      </c>
      <c r="AT243" s="371">
        <v>2606.3599999999969</v>
      </c>
      <c r="AU243" s="373">
        <v>54049.679999999993</v>
      </c>
    </row>
    <row r="244" spans="1:47">
      <c r="A244" s="238" t="s">
        <v>317</v>
      </c>
      <c r="B244" s="238" t="s">
        <v>1509</v>
      </c>
      <c r="C244" s="266">
        <v>0</v>
      </c>
      <c r="D244" s="266">
        <v>0</v>
      </c>
      <c r="E244" s="266">
        <v>1030.9000000000001</v>
      </c>
      <c r="F244" s="266">
        <v>0</v>
      </c>
      <c r="G244" s="266">
        <v>72207</v>
      </c>
      <c r="H244" s="266">
        <v>7046.49</v>
      </c>
      <c r="I244" s="266">
        <v>1129.22</v>
      </c>
      <c r="J244" s="266">
        <v>0</v>
      </c>
      <c r="K244" s="266">
        <v>17836.66</v>
      </c>
      <c r="L244" s="266">
        <v>0</v>
      </c>
      <c r="M244" s="266">
        <v>0</v>
      </c>
      <c r="N244" s="266">
        <v>0</v>
      </c>
      <c r="O244" s="123">
        <v>0.16839999999999999</v>
      </c>
      <c r="P244" s="123">
        <v>0.29520000000000002</v>
      </c>
      <c r="Q244" s="266">
        <v>0</v>
      </c>
      <c r="R244" s="266">
        <v>0</v>
      </c>
      <c r="S244" s="266">
        <v>0</v>
      </c>
      <c r="T244" s="266">
        <v>0</v>
      </c>
      <c r="U244" s="266">
        <v>0</v>
      </c>
      <c r="V244" s="266">
        <v>0</v>
      </c>
      <c r="W244" s="266">
        <v>0</v>
      </c>
      <c r="X244" s="266">
        <v>0</v>
      </c>
      <c r="Y244" s="266">
        <v>0</v>
      </c>
      <c r="Z244" s="266">
        <v>65.87</v>
      </c>
      <c r="AA244" s="266">
        <v>0</v>
      </c>
      <c r="AB244" s="266">
        <v>0</v>
      </c>
      <c r="AC244" s="266">
        <v>0</v>
      </c>
      <c r="AD244" s="266">
        <v>0</v>
      </c>
      <c r="AE244" s="237">
        <v>0</v>
      </c>
      <c r="AF244" s="266">
        <v>0</v>
      </c>
      <c r="AG244" s="237">
        <f t="shared" si="61"/>
        <v>0</v>
      </c>
      <c r="AH244" s="237">
        <f t="shared" si="62"/>
        <v>0</v>
      </c>
      <c r="AI244" s="237">
        <f t="shared" si="63"/>
        <v>0</v>
      </c>
      <c r="AJ244" s="237">
        <v>0</v>
      </c>
      <c r="AK244" s="266">
        <v>0</v>
      </c>
      <c r="AL244" s="237">
        <f t="shared" si="64"/>
        <v>0</v>
      </c>
      <c r="AM244" s="237">
        <f t="shared" si="65"/>
        <v>0</v>
      </c>
      <c r="AN244" s="237">
        <f t="shared" si="66"/>
        <v>0</v>
      </c>
      <c r="AO244" s="266">
        <v>295.54000000000002</v>
      </c>
      <c r="AP244" s="266">
        <v>0</v>
      </c>
      <c r="AQ244" s="266">
        <v>0</v>
      </c>
      <c r="AR244" s="266">
        <v>0</v>
      </c>
      <c r="AS244" s="358">
        <v>0</v>
      </c>
      <c r="AT244" s="371">
        <v>177.67999999999984</v>
      </c>
      <c r="AU244" s="373">
        <v>4348.53</v>
      </c>
    </row>
    <row r="245" spans="1:47">
      <c r="A245" s="238" t="s">
        <v>341</v>
      </c>
      <c r="B245" s="238" t="s">
        <v>1510</v>
      </c>
      <c r="C245" s="266">
        <v>0</v>
      </c>
      <c r="D245" s="266">
        <v>0</v>
      </c>
      <c r="E245" s="266">
        <v>1177992.1200000001</v>
      </c>
      <c r="F245" s="266">
        <v>507636.01</v>
      </c>
      <c r="G245" s="266">
        <v>79267240.709999993</v>
      </c>
      <c r="H245" s="266">
        <v>16369948.42</v>
      </c>
      <c r="I245" s="266">
        <v>7101899.6399999997</v>
      </c>
      <c r="J245" s="266">
        <v>5110410.7300000004</v>
      </c>
      <c r="K245" s="266">
        <v>11817417.859999999</v>
      </c>
      <c r="L245" s="266">
        <v>11979975.42</v>
      </c>
      <c r="M245" s="266">
        <v>1718443.63</v>
      </c>
      <c r="N245" s="266">
        <v>35760074.640000001</v>
      </c>
      <c r="O245" s="123">
        <v>3.7699999999999997E-2</v>
      </c>
      <c r="P245" s="123">
        <v>0.16059999999999999</v>
      </c>
      <c r="Q245" s="266">
        <v>0</v>
      </c>
      <c r="R245" s="266">
        <v>0</v>
      </c>
      <c r="S245" s="266">
        <v>0</v>
      </c>
      <c r="T245" s="266">
        <v>1196673.78</v>
      </c>
      <c r="U245" s="266">
        <v>110420.59000000008</v>
      </c>
      <c r="V245" s="266">
        <v>46855.82</v>
      </c>
      <c r="W245" s="266">
        <v>0</v>
      </c>
      <c r="X245" s="266">
        <v>0</v>
      </c>
      <c r="Y245" s="266">
        <v>0</v>
      </c>
      <c r="Z245" s="266">
        <v>0</v>
      </c>
      <c r="AA245" s="266">
        <v>145011.43</v>
      </c>
      <c r="AB245" s="266">
        <v>1258201.3</v>
      </c>
      <c r="AC245" s="266">
        <v>1488072.25</v>
      </c>
      <c r="AD245" s="266">
        <v>13085353.140000001</v>
      </c>
      <c r="AE245" s="237">
        <v>1343.88</v>
      </c>
      <c r="AF245" s="266">
        <v>11798664.84</v>
      </c>
      <c r="AG245" s="237">
        <f t="shared" si="61"/>
        <v>8779.5523707473876</v>
      </c>
      <c r="AH245" s="237">
        <f t="shared" si="62"/>
        <v>9736.9952227877493</v>
      </c>
      <c r="AI245" s="237">
        <f t="shared" si="63"/>
        <v>957.44285204036169</v>
      </c>
      <c r="AJ245" s="237">
        <v>160.4</v>
      </c>
      <c r="AK245" s="266">
        <v>1363200.81</v>
      </c>
      <c r="AL245" s="237">
        <f t="shared" si="64"/>
        <v>8498.7581670822947</v>
      </c>
      <c r="AM245" s="237">
        <f t="shared" si="65"/>
        <v>9277.2584164588534</v>
      </c>
      <c r="AN245" s="237">
        <f t="shared" si="66"/>
        <v>778.50024937655871</v>
      </c>
      <c r="AO245" s="266">
        <v>0</v>
      </c>
      <c r="AP245" s="266">
        <v>0</v>
      </c>
      <c r="AQ245" s="266">
        <v>0</v>
      </c>
      <c r="AR245" s="266">
        <v>0</v>
      </c>
      <c r="AS245" s="358">
        <v>0</v>
      </c>
      <c r="AT245" s="371">
        <v>85696.029999999795</v>
      </c>
      <c r="AU245" s="373">
        <v>4006125.8599999994</v>
      </c>
    </row>
    <row r="246" spans="1:47">
      <c r="A246" s="238" t="s">
        <v>549</v>
      </c>
      <c r="B246" s="238" t="s">
        <v>1511</v>
      </c>
      <c r="C246" s="266">
        <v>0</v>
      </c>
      <c r="D246" s="266">
        <v>0</v>
      </c>
      <c r="E246" s="266">
        <v>125144.03</v>
      </c>
      <c r="F246" s="266">
        <v>62336.73</v>
      </c>
      <c r="G246" s="266">
        <v>7126105.0499999998</v>
      </c>
      <c r="H246" s="266">
        <v>1786164.09</v>
      </c>
      <c r="I246" s="266">
        <v>471675.71</v>
      </c>
      <c r="J246" s="266">
        <v>718859.16</v>
      </c>
      <c r="K246" s="266">
        <v>1539193.19</v>
      </c>
      <c r="L246" s="266">
        <v>593274.68999999994</v>
      </c>
      <c r="M246" s="266">
        <v>135510.54</v>
      </c>
      <c r="N246" s="266">
        <v>3131635.26</v>
      </c>
      <c r="O246" s="123">
        <v>2.86E-2</v>
      </c>
      <c r="P246" s="123">
        <v>0.14910000000000001</v>
      </c>
      <c r="Q246" s="266">
        <v>0</v>
      </c>
      <c r="R246" s="266">
        <v>0</v>
      </c>
      <c r="S246" s="266">
        <v>0</v>
      </c>
      <c r="T246" s="266">
        <v>0</v>
      </c>
      <c r="U246" s="266">
        <v>0</v>
      </c>
      <c r="V246" s="266">
        <v>0</v>
      </c>
      <c r="W246" s="266">
        <v>0</v>
      </c>
      <c r="X246" s="266">
        <v>0</v>
      </c>
      <c r="Y246" s="266">
        <v>0</v>
      </c>
      <c r="Z246" s="266">
        <v>1062.6600000000001</v>
      </c>
      <c r="AA246" s="266">
        <v>13765.87</v>
      </c>
      <c r="AB246" s="266">
        <v>0</v>
      </c>
      <c r="AC246" s="266">
        <v>141209.07</v>
      </c>
      <c r="AD246" s="266">
        <v>2435898.92</v>
      </c>
      <c r="AE246" s="237">
        <v>266.83</v>
      </c>
      <c r="AF246" s="266">
        <v>2255889.75</v>
      </c>
      <c r="AG246" s="237">
        <f t="shared" si="61"/>
        <v>8454.4082374545596</v>
      </c>
      <c r="AH246" s="237">
        <f t="shared" si="62"/>
        <v>9129.0294194805683</v>
      </c>
      <c r="AI246" s="237">
        <f t="shared" si="63"/>
        <v>674.62118202600868</v>
      </c>
      <c r="AJ246" s="237">
        <v>15.81</v>
      </c>
      <c r="AK246" s="266">
        <v>129433.32</v>
      </c>
      <c r="AL246" s="237">
        <f t="shared" si="64"/>
        <v>8186.8007590132829</v>
      </c>
      <c r="AM246" s="237">
        <f t="shared" si="65"/>
        <v>8931.6299810246674</v>
      </c>
      <c r="AN246" s="237">
        <f t="shared" si="66"/>
        <v>744.82922201138445</v>
      </c>
      <c r="AO246" s="266">
        <v>0</v>
      </c>
      <c r="AP246" s="266">
        <v>0</v>
      </c>
      <c r="AQ246" s="266">
        <v>0</v>
      </c>
      <c r="AR246" s="266">
        <v>0</v>
      </c>
      <c r="AS246" s="358">
        <v>340155.61</v>
      </c>
      <c r="AT246" s="371">
        <v>0</v>
      </c>
      <c r="AU246" s="373">
        <v>326824.48</v>
      </c>
    </row>
    <row r="247" spans="1:47">
      <c r="A247" s="238" t="s">
        <v>721</v>
      </c>
      <c r="B247" s="238" t="s">
        <v>1512</v>
      </c>
      <c r="C247" s="266">
        <v>0</v>
      </c>
      <c r="D247" s="266">
        <v>0</v>
      </c>
      <c r="E247" s="266">
        <v>1860.87</v>
      </c>
      <c r="F247" s="266">
        <v>0</v>
      </c>
      <c r="G247" s="266">
        <v>4408163</v>
      </c>
      <c r="H247" s="266">
        <v>958671.29</v>
      </c>
      <c r="I247" s="266">
        <v>232651.16</v>
      </c>
      <c r="J247" s="266">
        <v>691719.14</v>
      </c>
      <c r="K247" s="266">
        <v>1110928.4099999999</v>
      </c>
      <c r="L247" s="266">
        <v>439461.84</v>
      </c>
      <c r="M247" s="266">
        <v>101487.74</v>
      </c>
      <c r="N247" s="266">
        <v>1465852.32</v>
      </c>
      <c r="O247" s="123">
        <v>3.8199999999999998E-2</v>
      </c>
      <c r="P247" s="123">
        <v>0.15870000000000001</v>
      </c>
      <c r="Q247" s="266">
        <v>0</v>
      </c>
      <c r="R247" s="266">
        <v>0</v>
      </c>
      <c r="S247" s="266">
        <v>0</v>
      </c>
      <c r="T247" s="266">
        <v>0</v>
      </c>
      <c r="U247" s="266">
        <v>0</v>
      </c>
      <c r="V247" s="266">
        <v>0</v>
      </c>
      <c r="W247" s="266">
        <v>0</v>
      </c>
      <c r="X247" s="266">
        <v>0</v>
      </c>
      <c r="Y247" s="266">
        <v>0</v>
      </c>
      <c r="Z247" s="266">
        <v>0</v>
      </c>
      <c r="AA247" s="266">
        <v>0</v>
      </c>
      <c r="AB247" s="266">
        <v>0</v>
      </c>
      <c r="AC247" s="266">
        <v>80077.73</v>
      </c>
      <c r="AD247" s="266">
        <v>1798362.32</v>
      </c>
      <c r="AE247" s="237">
        <v>214.45</v>
      </c>
      <c r="AF247" s="266">
        <v>1673514.93</v>
      </c>
      <c r="AG247" s="237">
        <f t="shared" si="61"/>
        <v>7803.7534623455349</v>
      </c>
      <c r="AH247" s="237">
        <f t="shared" si="62"/>
        <v>8385.9282816507348</v>
      </c>
      <c r="AI247" s="237">
        <f t="shared" si="63"/>
        <v>582.17481930519989</v>
      </c>
      <c r="AJ247" s="237">
        <v>9.73</v>
      </c>
      <c r="AK247" s="266">
        <v>73265.509999999995</v>
      </c>
      <c r="AL247" s="237">
        <f t="shared" si="64"/>
        <v>7529.8571428571422</v>
      </c>
      <c r="AM247" s="237">
        <f t="shared" si="65"/>
        <v>8229.9825282631027</v>
      </c>
      <c r="AN247" s="237">
        <f t="shared" si="66"/>
        <v>700.12538540596051</v>
      </c>
      <c r="AO247" s="266">
        <v>12894.52</v>
      </c>
      <c r="AP247" s="266">
        <v>0</v>
      </c>
      <c r="AQ247" s="266">
        <v>0</v>
      </c>
      <c r="AR247" s="266">
        <v>0</v>
      </c>
      <c r="AS247" s="358">
        <v>157543.26999999999</v>
      </c>
      <c r="AT247" s="371">
        <v>0</v>
      </c>
      <c r="AU247" s="373">
        <v>234367.50000000003</v>
      </c>
    </row>
    <row r="248" spans="1:47">
      <c r="A248" s="238" t="s">
        <v>506</v>
      </c>
      <c r="B248" s="238" t="s">
        <v>1513</v>
      </c>
      <c r="C248" s="266">
        <v>0</v>
      </c>
      <c r="D248" s="266">
        <v>0</v>
      </c>
      <c r="E248" s="266">
        <v>0</v>
      </c>
      <c r="F248" s="266">
        <v>0</v>
      </c>
      <c r="G248" s="266">
        <v>361142.86</v>
      </c>
      <c r="H248" s="266">
        <v>84524.27</v>
      </c>
      <c r="I248" s="266">
        <v>0</v>
      </c>
      <c r="J248" s="266">
        <v>34147.19</v>
      </c>
      <c r="K248" s="266">
        <v>78595.77</v>
      </c>
      <c r="L248" s="266">
        <v>0</v>
      </c>
      <c r="M248" s="266">
        <v>0</v>
      </c>
      <c r="N248" s="266">
        <v>366871.29</v>
      </c>
      <c r="O248" s="123">
        <v>4.7699999999999999E-2</v>
      </c>
      <c r="P248" s="123">
        <v>0.2261</v>
      </c>
      <c r="Q248" s="266">
        <v>0</v>
      </c>
      <c r="R248" s="266">
        <v>0</v>
      </c>
      <c r="S248" s="266">
        <v>0</v>
      </c>
      <c r="T248" s="266">
        <v>0</v>
      </c>
      <c r="U248" s="266">
        <v>0</v>
      </c>
      <c r="V248" s="266">
        <v>0</v>
      </c>
      <c r="W248" s="266">
        <v>0</v>
      </c>
      <c r="X248" s="266">
        <v>0</v>
      </c>
      <c r="Y248" s="266">
        <v>0</v>
      </c>
      <c r="Z248" s="266">
        <v>0</v>
      </c>
      <c r="AA248" s="266">
        <v>652.80999999999995</v>
      </c>
      <c r="AB248" s="266">
        <v>0</v>
      </c>
      <c r="AC248" s="266">
        <v>44325.09</v>
      </c>
      <c r="AD248" s="266">
        <v>170965.61</v>
      </c>
      <c r="AE248" s="237">
        <v>20.73</v>
      </c>
      <c r="AF248" s="266">
        <v>161853.18</v>
      </c>
      <c r="AG248" s="237">
        <f t="shared" si="61"/>
        <v>7807.6787264833565</v>
      </c>
      <c r="AH248" s="237">
        <f t="shared" si="62"/>
        <v>8247.2556681138431</v>
      </c>
      <c r="AI248" s="237">
        <f t="shared" si="63"/>
        <v>439.57694163048654</v>
      </c>
      <c r="AJ248" s="237">
        <v>5.38</v>
      </c>
      <c r="AK248" s="266">
        <v>40581.31</v>
      </c>
      <c r="AL248" s="237">
        <f t="shared" si="64"/>
        <v>7542.9944237918216</v>
      </c>
      <c r="AM248" s="237">
        <f t="shared" si="65"/>
        <v>8238.8643122676567</v>
      </c>
      <c r="AN248" s="237">
        <f t="shared" si="66"/>
        <v>695.86988847583507</v>
      </c>
      <c r="AO248" s="266">
        <v>0</v>
      </c>
      <c r="AP248" s="266">
        <v>0</v>
      </c>
      <c r="AQ248" s="266">
        <v>0</v>
      </c>
      <c r="AR248" s="266">
        <v>0</v>
      </c>
      <c r="AS248" s="358">
        <v>2006.23</v>
      </c>
      <c r="AT248" s="371">
        <v>0</v>
      </c>
      <c r="AU248" s="373">
        <v>22162.429999999997</v>
      </c>
    </row>
    <row r="249" spans="1:47">
      <c r="A249" s="238" t="s">
        <v>209</v>
      </c>
      <c r="B249" s="238" t="s">
        <v>1514</v>
      </c>
      <c r="C249" s="266">
        <v>0</v>
      </c>
      <c r="D249" s="266">
        <v>0</v>
      </c>
      <c r="E249" s="266">
        <v>18655.46</v>
      </c>
      <c r="F249" s="266">
        <v>14968.78</v>
      </c>
      <c r="G249" s="266">
        <v>3497386.51</v>
      </c>
      <c r="H249" s="266">
        <v>693108.21</v>
      </c>
      <c r="I249" s="266">
        <v>127495.95</v>
      </c>
      <c r="J249" s="266">
        <v>174558.12</v>
      </c>
      <c r="K249" s="266">
        <v>780643.18</v>
      </c>
      <c r="L249" s="266">
        <v>95783.22</v>
      </c>
      <c r="M249" s="266">
        <v>78094.429999999993</v>
      </c>
      <c r="N249" s="266">
        <v>1312448.6200000001</v>
      </c>
      <c r="O249" s="123">
        <v>3.6900000000000002E-2</v>
      </c>
      <c r="P249" s="123">
        <v>0.1542</v>
      </c>
      <c r="Q249" s="266">
        <v>0</v>
      </c>
      <c r="R249" s="266">
        <v>0</v>
      </c>
      <c r="S249" s="266">
        <v>0</v>
      </c>
      <c r="T249" s="266">
        <v>0</v>
      </c>
      <c r="U249" s="266">
        <v>0</v>
      </c>
      <c r="V249" s="266">
        <v>0</v>
      </c>
      <c r="W249" s="266">
        <v>0</v>
      </c>
      <c r="X249" s="266">
        <v>0</v>
      </c>
      <c r="Y249" s="266">
        <v>0</v>
      </c>
      <c r="Z249" s="266">
        <v>1633.51</v>
      </c>
      <c r="AA249" s="266">
        <v>9460.18</v>
      </c>
      <c r="AB249" s="266">
        <v>70430.820000000007</v>
      </c>
      <c r="AC249" s="266">
        <v>153439.73000000001</v>
      </c>
      <c r="AD249" s="266">
        <v>2051653.11</v>
      </c>
      <c r="AE249" s="237">
        <v>235.15</v>
      </c>
      <c r="AF249" s="266">
        <v>1911420.59</v>
      </c>
      <c r="AG249" s="237">
        <f t="shared" si="61"/>
        <v>8128.5162236870083</v>
      </c>
      <c r="AH249" s="237">
        <f t="shared" si="62"/>
        <v>8724.8697001913679</v>
      </c>
      <c r="AI249" s="237">
        <f t="shared" si="63"/>
        <v>596.35347650435961</v>
      </c>
      <c r="AJ249" s="237">
        <v>17.899999999999999</v>
      </c>
      <c r="AK249" s="266">
        <v>140580.46</v>
      </c>
      <c r="AL249" s="237">
        <f t="shared" si="64"/>
        <v>7853.6569832402238</v>
      </c>
      <c r="AM249" s="237">
        <f t="shared" si="65"/>
        <v>8572.0519553072645</v>
      </c>
      <c r="AN249" s="237">
        <f t="shared" si="66"/>
        <v>718.39497206704073</v>
      </c>
      <c r="AO249" s="266">
        <v>0</v>
      </c>
      <c r="AP249" s="266">
        <v>0</v>
      </c>
      <c r="AQ249" s="266">
        <v>0</v>
      </c>
      <c r="AR249" s="266">
        <v>0</v>
      </c>
      <c r="AS249" s="358">
        <v>0</v>
      </c>
      <c r="AT249" s="371">
        <v>86400.67</v>
      </c>
      <c r="AU249" s="373">
        <v>171485.53000000003</v>
      </c>
    </row>
    <row r="250" spans="1:47">
      <c r="A250" s="238" t="s">
        <v>538</v>
      </c>
      <c r="B250" s="238" t="s">
        <v>1515</v>
      </c>
      <c r="C250" s="266">
        <v>0</v>
      </c>
      <c r="D250" s="266">
        <v>0</v>
      </c>
      <c r="E250" s="266">
        <v>0</v>
      </c>
      <c r="F250" s="266">
        <v>0</v>
      </c>
      <c r="G250" s="266">
        <v>0</v>
      </c>
      <c r="H250" s="266">
        <v>0</v>
      </c>
      <c r="I250" s="266">
        <v>8843.5499999999993</v>
      </c>
      <c r="J250" s="266">
        <v>0</v>
      </c>
      <c r="K250" s="266">
        <v>0</v>
      </c>
      <c r="L250" s="266">
        <v>0</v>
      </c>
      <c r="M250" s="266">
        <v>105.37</v>
      </c>
      <c r="N250" s="266">
        <v>0</v>
      </c>
      <c r="O250" s="123">
        <v>0.44579999999999997</v>
      </c>
      <c r="P250" s="123">
        <v>0.52049999999999996</v>
      </c>
      <c r="Q250" s="266">
        <v>0</v>
      </c>
      <c r="R250" s="266">
        <v>0</v>
      </c>
      <c r="S250" s="266">
        <v>0</v>
      </c>
      <c r="T250" s="266">
        <v>0</v>
      </c>
      <c r="U250" s="266">
        <v>0</v>
      </c>
      <c r="V250" s="266">
        <v>0</v>
      </c>
      <c r="W250" s="266">
        <v>0</v>
      </c>
      <c r="X250" s="266">
        <v>0</v>
      </c>
      <c r="Y250" s="266">
        <v>0</v>
      </c>
      <c r="Z250" s="266">
        <v>0</v>
      </c>
      <c r="AA250" s="266">
        <v>0</v>
      </c>
      <c r="AB250" s="266">
        <v>0</v>
      </c>
      <c r="AC250" s="266">
        <v>0</v>
      </c>
      <c r="AD250" s="266">
        <v>0</v>
      </c>
      <c r="AE250" s="237">
        <v>0</v>
      </c>
      <c r="AF250" s="266">
        <v>0</v>
      </c>
      <c r="AG250" s="237">
        <f t="shared" si="61"/>
        <v>0</v>
      </c>
      <c r="AH250" s="237">
        <f t="shared" si="62"/>
        <v>0</v>
      </c>
      <c r="AI250" s="237">
        <f t="shared" si="63"/>
        <v>0</v>
      </c>
      <c r="AJ250" s="237">
        <v>0</v>
      </c>
      <c r="AK250" s="266">
        <v>0</v>
      </c>
      <c r="AL250" s="237">
        <f t="shared" si="64"/>
        <v>0</v>
      </c>
      <c r="AM250" s="237">
        <f t="shared" si="65"/>
        <v>0</v>
      </c>
      <c r="AN250" s="237">
        <f t="shared" si="66"/>
        <v>0</v>
      </c>
      <c r="AO250" s="266">
        <v>0</v>
      </c>
      <c r="AP250" s="266">
        <v>0</v>
      </c>
      <c r="AQ250" s="266">
        <v>0</v>
      </c>
      <c r="AR250" s="266">
        <v>0</v>
      </c>
      <c r="AS250" s="358">
        <v>0</v>
      </c>
      <c r="AT250" s="371">
        <v>1004.73</v>
      </c>
      <c r="AU250" s="373">
        <v>1795.3899999999999</v>
      </c>
    </row>
    <row r="251" spans="1:47">
      <c r="A251" s="238" t="s">
        <v>465</v>
      </c>
      <c r="B251" s="238" t="s">
        <v>1516</v>
      </c>
      <c r="C251" s="266">
        <v>0</v>
      </c>
      <c r="D251" s="266">
        <v>0</v>
      </c>
      <c r="E251" s="266">
        <v>153878.13</v>
      </c>
      <c r="F251" s="266">
        <v>115154.37</v>
      </c>
      <c r="G251" s="266">
        <v>6302529.5700000003</v>
      </c>
      <c r="H251" s="266">
        <v>1000960.47</v>
      </c>
      <c r="I251" s="266">
        <v>277310.46999999997</v>
      </c>
      <c r="J251" s="266">
        <v>1216136.1000000001</v>
      </c>
      <c r="K251" s="266">
        <v>1806939.8</v>
      </c>
      <c r="L251" s="266">
        <v>1163479.46</v>
      </c>
      <c r="M251" s="266">
        <v>124570.49</v>
      </c>
      <c r="N251" s="266">
        <v>3118764.67</v>
      </c>
      <c r="O251" s="123">
        <v>2.4199999999999999E-2</v>
      </c>
      <c r="P251" s="123">
        <v>0.1638</v>
      </c>
      <c r="Q251" s="266">
        <v>0</v>
      </c>
      <c r="R251" s="266">
        <v>0</v>
      </c>
      <c r="S251" s="266">
        <v>0</v>
      </c>
      <c r="T251" s="266">
        <v>121411.69</v>
      </c>
      <c r="U251" s="266">
        <v>11567.692999999999</v>
      </c>
      <c r="V251" s="266">
        <v>5206.96</v>
      </c>
      <c r="W251" s="266">
        <v>0</v>
      </c>
      <c r="X251" s="266">
        <v>0</v>
      </c>
      <c r="Y251" s="266">
        <v>0</v>
      </c>
      <c r="Z251" s="266">
        <v>0</v>
      </c>
      <c r="AA251" s="266">
        <v>57137.81</v>
      </c>
      <c r="AB251" s="266">
        <v>134260.95000000001</v>
      </c>
      <c r="AC251" s="266">
        <v>1350378.73</v>
      </c>
      <c r="AD251" s="266">
        <v>4245690.55</v>
      </c>
      <c r="AE251" s="237">
        <v>507.8</v>
      </c>
      <c r="AF251" s="266">
        <v>3962553.52</v>
      </c>
      <c r="AG251" s="237">
        <f t="shared" si="61"/>
        <v>7803.3743993698308</v>
      </c>
      <c r="AH251" s="237">
        <f t="shared" si="62"/>
        <v>8360.9502756990933</v>
      </c>
      <c r="AI251" s="237">
        <f t="shared" si="63"/>
        <v>557.57587632926243</v>
      </c>
      <c r="AJ251" s="237">
        <v>164.06</v>
      </c>
      <c r="AK251" s="266">
        <v>1236449.33</v>
      </c>
      <c r="AL251" s="237">
        <f t="shared" si="64"/>
        <v>7536.5679019870786</v>
      </c>
      <c r="AM251" s="237">
        <f t="shared" si="65"/>
        <v>8231.0053029379487</v>
      </c>
      <c r="AN251" s="237">
        <f t="shared" si="66"/>
        <v>694.43740095087014</v>
      </c>
      <c r="AO251" s="266">
        <v>1687.41</v>
      </c>
      <c r="AP251" s="266">
        <v>0</v>
      </c>
      <c r="AQ251" s="266">
        <v>0</v>
      </c>
      <c r="AR251" s="266">
        <v>0</v>
      </c>
      <c r="AS251" s="358">
        <v>151655.79</v>
      </c>
      <c r="AT251" s="371">
        <v>20416.619999999995</v>
      </c>
      <c r="AU251" s="373">
        <v>293199.54000000004</v>
      </c>
    </row>
    <row r="252" spans="1:47">
      <c r="A252" s="238" t="s">
        <v>369</v>
      </c>
      <c r="B252" s="238" t="s">
        <v>1517</v>
      </c>
      <c r="C252" s="266">
        <v>0</v>
      </c>
      <c r="D252" s="266">
        <v>0</v>
      </c>
      <c r="E252" s="266">
        <v>16163.58</v>
      </c>
      <c r="F252" s="266">
        <v>0</v>
      </c>
      <c r="G252" s="266">
        <v>13228218.029999999</v>
      </c>
      <c r="H252" s="266">
        <v>2684784.5</v>
      </c>
      <c r="I252" s="266">
        <v>1271713.24</v>
      </c>
      <c r="J252" s="266">
        <v>0</v>
      </c>
      <c r="K252" s="266">
        <v>1883895.96</v>
      </c>
      <c r="L252" s="266">
        <v>1634272.43</v>
      </c>
      <c r="M252" s="266">
        <v>319212.5</v>
      </c>
      <c r="N252" s="266">
        <v>4172205.15</v>
      </c>
      <c r="O252" s="123">
        <v>3.4099999999999998E-2</v>
      </c>
      <c r="P252" s="123">
        <v>0.1305</v>
      </c>
      <c r="Q252" s="266">
        <v>0</v>
      </c>
      <c r="R252" s="266">
        <v>0</v>
      </c>
      <c r="S252" s="266">
        <v>0</v>
      </c>
      <c r="T252" s="266">
        <v>0</v>
      </c>
      <c r="U252" s="266">
        <v>0</v>
      </c>
      <c r="V252" s="266">
        <v>0</v>
      </c>
      <c r="W252" s="266">
        <v>237393.43</v>
      </c>
      <c r="X252" s="266">
        <v>9925.23</v>
      </c>
      <c r="Y252" s="266">
        <v>0</v>
      </c>
      <c r="Z252" s="266">
        <v>10972.37</v>
      </c>
      <c r="AA252" s="266">
        <v>22800.91</v>
      </c>
      <c r="AB252" s="266">
        <v>316185.37</v>
      </c>
      <c r="AC252" s="266">
        <v>355826.33</v>
      </c>
      <c r="AD252" s="266">
        <v>3453433.07</v>
      </c>
      <c r="AE252" s="237">
        <v>348.76</v>
      </c>
      <c r="AF252" s="266">
        <v>3175530.92</v>
      </c>
      <c r="AG252" s="237">
        <f t="shared" si="61"/>
        <v>9105.2039224681721</v>
      </c>
      <c r="AH252" s="237">
        <f t="shared" si="62"/>
        <v>9902.0331173299692</v>
      </c>
      <c r="AI252" s="237">
        <f t="shared" si="63"/>
        <v>796.82919486179708</v>
      </c>
      <c r="AJ252" s="237">
        <v>36.97</v>
      </c>
      <c r="AK252" s="266">
        <v>326009.51</v>
      </c>
      <c r="AL252" s="237">
        <f t="shared" si="64"/>
        <v>8818.2177441168515</v>
      </c>
      <c r="AM252" s="237">
        <f t="shared" si="65"/>
        <v>9624.7316743305382</v>
      </c>
      <c r="AN252" s="237">
        <f t="shared" si="66"/>
        <v>806.51393021368676</v>
      </c>
      <c r="AO252" s="266">
        <v>0</v>
      </c>
      <c r="AP252" s="266">
        <v>0</v>
      </c>
      <c r="AQ252" s="266">
        <v>0</v>
      </c>
      <c r="AR252" s="266">
        <v>0</v>
      </c>
      <c r="AS252" s="358">
        <v>403037.4</v>
      </c>
      <c r="AT252" s="371">
        <v>75325.960000000079</v>
      </c>
      <c r="AU252" s="373">
        <v>711022.36</v>
      </c>
    </row>
    <row r="253" spans="1:47">
      <c r="A253" s="268" t="s">
        <v>559</v>
      </c>
      <c r="B253" s="238" t="s">
        <v>1518</v>
      </c>
      <c r="C253" s="266">
        <v>0</v>
      </c>
      <c r="D253" s="266">
        <v>0</v>
      </c>
      <c r="E253" s="266">
        <v>0</v>
      </c>
      <c r="F253" s="266">
        <v>0</v>
      </c>
      <c r="G253" s="266">
        <v>0</v>
      </c>
      <c r="H253" s="266">
        <v>0</v>
      </c>
      <c r="I253" s="266">
        <v>0</v>
      </c>
      <c r="J253" s="266">
        <v>23178.12</v>
      </c>
      <c r="K253" s="266">
        <v>33384.129999999997</v>
      </c>
      <c r="L253" s="266">
        <v>0</v>
      </c>
      <c r="M253" s="266">
        <v>2003.04</v>
      </c>
      <c r="N253" s="266">
        <v>86577.14</v>
      </c>
      <c r="O253" s="123">
        <v>8.5300000000000001E-2</v>
      </c>
      <c r="P253" s="123">
        <v>0.26840000000000003</v>
      </c>
      <c r="Q253" s="266">
        <v>0</v>
      </c>
      <c r="R253" s="266">
        <v>0</v>
      </c>
      <c r="S253" s="266">
        <v>0</v>
      </c>
      <c r="T253" s="266">
        <v>0</v>
      </c>
      <c r="U253" s="266">
        <v>0</v>
      </c>
      <c r="V253" s="266">
        <v>0</v>
      </c>
      <c r="W253" s="266">
        <v>0</v>
      </c>
      <c r="X253" s="266">
        <v>0</v>
      </c>
      <c r="Y253" s="266">
        <v>0</v>
      </c>
      <c r="Z253" s="266">
        <v>0</v>
      </c>
      <c r="AA253" s="266">
        <v>0</v>
      </c>
      <c r="AB253" s="266">
        <v>0</v>
      </c>
      <c r="AC253" s="266">
        <v>0</v>
      </c>
      <c r="AD253" s="266">
        <v>0</v>
      </c>
      <c r="AE253" s="237">
        <v>0</v>
      </c>
      <c r="AF253" s="266">
        <v>0</v>
      </c>
      <c r="AG253" s="237">
        <f t="shared" si="61"/>
        <v>0</v>
      </c>
      <c r="AH253" s="237">
        <f t="shared" si="62"/>
        <v>0</v>
      </c>
      <c r="AI253" s="237">
        <f t="shared" si="63"/>
        <v>0</v>
      </c>
      <c r="AJ253" s="237">
        <v>0</v>
      </c>
      <c r="AK253" s="266">
        <v>0</v>
      </c>
      <c r="AL253" s="237">
        <f t="shared" si="64"/>
        <v>0</v>
      </c>
      <c r="AM253" s="237">
        <f t="shared" si="65"/>
        <v>0</v>
      </c>
      <c r="AN253" s="237">
        <f t="shared" si="66"/>
        <v>0</v>
      </c>
      <c r="AO253" s="266">
        <v>9075.6299999999992</v>
      </c>
      <c r="AP253" s="266">
        <v>0</v>
      </c>
      <c r="AQ253" s="266">
        <v>0</v>
      </c>
      <c r="AR253" s="266">
        <v>0</v>
      </c>
      <c r="AS253" s="358">
        <v>0</v>
      </c>
      <c r="AT253" s="371">
        <v>39.069999999999709</v>
      </c>
      <c r="AU253" s="373">
        <v>4769.91</v>
      </c>
    </row>
    <row r="254" spans="1:47">
      <c r="A254" s="238" t="s">
        <v>355</v>
      </c>
      <c r="B254" s="238" t="s">
        <v>1519</v>
      </c>
      <c r="C254" s="266">
        <v>0</v>
      </c>
      <c r="D254" s="266">
        <v>0</v>
      </c>
      <c r="E254" s="266">
        <v>895.25</v>
      </c>
      <c r="F254" s="266">
        <v>1490.23</v>
      </c>
      <c r="G254" s="266">
        <v>89658.25</v>
      </c>
      <c r="H254" s="266">
        <v>13402.98</v>
      </c>
      <c r="I254" s="266">
        <v>11160.34</v>
      </c>
      <c r="J254" s="266">
        <v>17107.18</v>
      </c>
      <c r="K254" s="266">
        <v>32779.57</v>
      </c>
      <c r="L254" s="266">
        <v>0</v>
      </c>
      <c r="M254" s="266">
        <v>1655.53</v>
      </c>
      <c r="N254" s="266">
        <v>38156.57</v>
      </c>
      <c r="O254" s="123">
        <v>7.5499999999999998E-2</v>
      </c>
      <c r="P254" s="123">
        <v>0.46960000000000002</v>
      </c>
      <c r="Q254" s="266">
        <v>0</v>
      </c>
      <c r="R254" s="266">
        <v>0</v>
      </c>
      <c r="S254" s="266">
        <v>0</v>
      </c>
      <c r="T254" s="266">
        <v>0</v>
      </c>
      <c r="U254" s="266">
        <v>0</v>
      </c>
      <c r="V254" s="266">
        <v>0</v>
      </c>
      <c r="W254" s="266">
        <v>0</v>
      </c>
      <c r="X254" s="266">
        <v>0</v>
      </c>
      <c r="Y254" s="266">
        <v>0</v>
      </c>
      <c r="Z254" s="266">
        <v>0</v>
      </c>
      <c r="AA254" s="266">
        <v>0</v>
      </c>
      <c r="AB254" s="266">
        <v>0</v>
      </c>
      <c r="AC254" s="266">
        <v>0</v>
      </c>
      <c r="AD254" s="266">
        <v>0</v>
      </c>
      <c r="AE254" s="237">
        <v>0</v>
      </c>
      <c r="AF254" s="266">
        <v>0</v>
      </c>
      <c r="AG254" s="237">
        <f t="shared" si="61"/>
        <v>0</v>
      </c>
      <c r="AH254" s="237">
        <f t="shared" si="62"/>
        <v>0</v>
      </c>
      <c r="AI254" s="237">
        <f t="shared" si="63"/>
        <v>0</v>
      </c>
      <c r="AJ254" s="237">
        <v>0</v>
      </c>
      <c r="AK254" s="266">
        <v>0</v>
      </c>
      <c r="AL254" s="237">
        <f t="shared" si="64"/>
        <v>0</v>
      </c>
      <c r="AM254" s="237">
        <f t="shared" si="65"/>
        <v>0</v>
      </c>
      <c r="AN254" s="237">
        <f t="shared" si="66"/>
        <v>0</v>
      </c>
      <c r="AO254" s="266">
        <v>0</v>
      </c>
      <c r="AP254" s="266">
        <v>0</v>
      </c>
      <c r="AQ254" s="266">
        <v>0</v>
      </c>
      <c r="AR254" s="266">
        <v>0</v>
      </c>
      <c r="AS254" s="358">
        <v>39318.49</v>
      </c>
      <c r="AT254" s="371">
        <v>0</v>
      </c>
      <c r="AU254" s="373">
        <v>14760.720000000001</v>
      </c>
    </row>
    <row r="255" spans="1:47">
      <c r="A255" s="238" t="s">
        <v>583</v>
      </c>
      <c r="B255" s="238" t="s">
        <v>1520</v>
      </c>
      <c r="C255" s="266">
        <v>0</v>
      </c>
      <c r="D255" s="266">
        <v>0</v>
      </c>
      <c r="E255" s="266">
        <v>2542.71</v>
      </c>
      <c r="F255" s="266">
        <v>0</v>
      </c>
      <c r="G255" s="266">
        <v>14069602.960000001</v>
      </c>
      <c r="H255" s="266">
        <v>2431098.71</v>
      </c>
      <c r="I255" s="266">
        <v>776287.31</v>
      </c>
      <c r="J255" s="266">
        <v>0</v>
      </c>
      <c r="K255" s="266">
        <v>1271427.8899999999</v>
      </c>
      <c r="L255" s="266">
        <v>785174.84</v>
      </c>
      <c r="M255" s="266">
        <v>323711.69</v>
      </c>
      <c r="N255" s="266">
        <v>5930033.6200000001</v>
      </c>
      <c r="O255" s="123">
        <v>4.8500000000000001E-2</v>
      </c>
      <c r="P255" s="123">
        <v>0.15340000000000001</v>
      </c>
      <c r="Q255" s="266">
        <v>0</v>
      </c>
      <c r="R255" s="266">
        <v>0</v>
      </c>
      <c r="S255" s="266">
        <v>0</v>
      </c>
      <c r="T255" s="266">
        <v>0</v>
      </c>
      <c r="U255" s="266">
        <v>0</v>
      </c>
      <c r="V255" s="266">
        <v>0</v>
      </c>
      <c r="W255" s="266">
        <v>0</v>
      </c>
      <c r="X255" s="266">
        <v>0</v>
      </c>
      <c r="Y255" s="266">
        <v>0</v>
      </c>
      <c r="Z255" s="266">
        <v>10944.92</v>
      </c>
      <c r="AA255" s="266">
        <v>32597.03</v>
      </c>
      <c r="AB255" s="266">
        <v>53061.07</v>
      </c>
      <c r="AC255" s="266">
        <v>1139015.04</v>
      </c>
      <c r="AD255" s="266">
        <v>3765217.29</v>
      </c>
      <c r="AE255" s="237">
        <v>378.9</v>
      </c>
      <c r="AF255" s="266">
        <v>3449837.54</v>
      </c>
      <c r="AG255" s="237">
        <f t="shared" si="61"/>
        <v>9104.8760622855643</v>
      </c>
      <c r="AH255" s="237">
        <f t="shared" si="62"/>
        <v>9937.2322248614419</v>
      </c>
      <c r="AI255" s="237">
        <f t="shared" si="63"/>
        <v>832.35616257587753</v>
      </c>
      <c r="AJ255" s="237">
        <v>118.33</v>
      </c>
      <c r="AK255" s="266">
        <v>1043633.77</v>
      </c>
      <c r="AL255" s="237">
        <f t="shared" si="64"/>
        <v>8819.6887517958257</v>
      </c>
      <c r="AM255" s="237">
        <f t="shared" si="65"/>
        <v>9625.7503591650475</v>
      </c>
      <c r="AN255" s="237">
        <f t="shared" si="66"/>
        <v>806.06160736922175</v>
      </c>
      <c r="AO255" s="266">
        <v>0</v>
      </c>
      <c r="AP255" s="266">
        <v>0</v>
      </c>
      <c r="AQ255" s="266">
        <v>0</v>
      </c>
      <c r="AR255" s="266">
        <v>0</v>
      </c>
      <c r="AS255" s="358">
        <v>982766.27</v>
      </c>
      <c r="AT255" s="371">
        <v>0</v>
      </c>
      <c r="AU255" s="373">
        <v>698058.64</v>
      </c>
    </row>
    <row r="256" spans="1:47">
      <c r="A256" s="238" t="s">
        <v>366</v>
      </c>
      <c r="B256" s="238" t="s">
        <v>1521</v>
      </c>
      <c r="C256" s="266">
        <v>0</v>
      </c>
      <c r="D256" s="266">
        <v>0</v>
      </c>
      <c r="E256" s="266">
        <v>45934.8</v>
      </c>
      <c r="F256" s="266">
        <v>0</v>
      </c>
      <c r="G256" s="266">
        <v>8802970.6999999993</v>
      </c>
      <c r="H256" s="266">
        <v>1744043.21</v>
      </c>
      <c r="I256" s="266">
        <v>860639.21</v>
      </c>
      <c r="J256" s="266">
        <v>0</v>
      </c>
      <c r="K256" s="266">
        <v>470612.94</v>
      </c>
      <c r="L256" s="266">
        <v>425919.56</v>
      </c>
      <c r="M256" s="266">
        <v>228242.87</v>
      </c>
      <c r="N256" s="266">
        <v>4047417.94</v>
      </c>
      <c r="O256" s="123">
        <v>0.02</v>
      </c>
      <c r="P256" s="123">
        <v>0.1641</v>
      </c>
      <c r="Q256" s="266">
        <v>0</v>
      </c>
      <c r="R256" s="266">
        <v>0</v>
      </c>
      <c r="S256" s="266">
        <v>0</v>
      </c>
      <c r="T256" s="266">
        <v>0</v>
      </c>
      <c r="U256" s="266">
        <v>0</v>
      </c>
      <c r="V256" s="266">
        <v>0</v>
      </c>
      <c r="W256" s="266">
        <v>0</v>
      </c>
      <c r="X256" s="266">
        <v>0</v>
      </c>
      <c r="Y256" s="266">
        <v>0</v>
      </c>
      <c r="Z256" s="266">
        <v>2011.14</v>
      </c>
      <c r="AA256" s="266">
        <v>0</v>
      </c>
      <c r="AB256" s="266">
        <v>0</v>
      </c>
      <c r="AC256" s="266">
        <v>188273.88</v>
      </c>
      <c r="AD256" s="266">
        <v>3002240.62</v>
      </c>
      <c r="AE256" s="237">
        <v>302.58</v>
      </c>
      <c r="AF256" s="266">
        <v>2656664.27</v>
      </c>
      <c r="AG256" s="237">
        <f t="shared" si="61"/>
        <v>8780.0392292947326</v>
      </c>
      <c r="AH256" s="237">
        <f t="shared" si="62"/>
        <v>9922.1383435785592</v>
      </c>
      <c r="AI256" s="237">
        <f t="shared" si="63"/>
        <v>1142.0991142838266</v>
      </c>
      <c r="AJ256" s="237">
        <v>20.3</v>
      </c>
      <c r="AK256" s="266">
        <v>172538.47</v>
      </c>
      <c r="AL256" s="237">
        <f t="shared" si="64"/>
        <v>8499.4320197044326</v>
      </c>
      <c r="AM256" s="237">
        <f t="shared" si="65"/>
        <v>9274.5753694581272</v>
      </c>
      <c r="AN256" s="237">
        <f t="shared" si="66"/>
        <v>775.14334975369457</v>
      </c>
      <c r="AO256" s="266">
        <v>36376.120000000003</v>
      </c>
      <c r="AP256" s="266">
        <v>0</v>
      </c>
      <c r="AQ256" s="266">
        <v>0</v>
      </c>
      <c r="AR256" s="266">
        <v>0</v>
      </c>
      <c r="AS256" s="358">
        <v>431537.6</v>
      </c>
      <c r="AT256" s="371">
        <v>5617.1099999999278</v>
      </c>
      <c r="AU256" s="373">
        <v>482396.76999999996</v>
      </c>
    </row>
    <row r="257" spans="1:47">
      <c r="A257" s="238" t="s">
        <v>287</v>
      </c>
      <c r="B257" s="238" t="s">
        <v>1522</v>
      </c>
      <c r="C257" s="266">
        <v>0</v>
      </c>
      <c r="D257" s="266">
        <v>0</v>
      </c>
      <c r="E257" s="266">
        <v>24207.25</v>
      </c>
      <c r="F257" s="266">
        <v>0</v>
      </c>
      <c r="G257" s="266">
        <v>719633.35</v>
      </c>
      <c r="H257" s="266">
        <v>116173.22</v>
      </c>
      <c r="I257" s="266">
        <v>21081.07</v>
      </c>
      <c r="J257" s="266">
        <v>145077.88</v>
      </c>
      <c r="K257" s="266">
        <v>233879.66</v>
      </c>
      <c r="L257" s="266">
        <v>175578.95</v>
      </c>
      <c r="M257" s="266">
        <v>14975.15</v>
      </c>
      <c r="N257" s="266">
        <v>358974.19</v>
      </c>
      <c r="O257" s="123">
        <v>3.9399999999999998E-2</v>
      </c>
      <c r="P257" s="123">
        <v>0.22939999999999999</v>
      </c>
      <c r="Q257" s="266">
        <v>0</v>
      </c>
      <c r="R257" s="266">
        <v>0</v>
      </c>
      <c r="S257" s="266">
        <v>0</v>
      </c>
      <c r="T257" s="266">
        <v>0</v>
      </c>
      <c r="U257" s="266">
        <v>0</v>
      </c>
      <c r="V257" s="266">
        <v>0</v>
      </c>
      <c r="W257" s="266">
        <v>0</v>
      </c>
      <c r="X257" s="266">
        <v>0</v>
      </c>
      <c r="Y257" s="266">
        <v>0</v>
      </c>
      <c r="Z257" s="266">
        <v>0</v>
      </c>
      <c r="AA257" s="266">
        <v>7119.89</v>
      </c>
      <c r="AB257" s="266">
        <v>6932.22</v>
      </c>
      <c r="AC257" s="266">
        <v>86770.86</v>
      </c>
      <c r="AD257" s="266">
        <v>230915.48</v>
      </c>
      <c r="AE257" s="237">
        <v>26.72</v>
      </c>
      <c r="AF257" s="266">
        <v>208635.84</v>
      </c>
      <c r="AG257" s="237">
        <f t="shared" si="61"/>
        <v>7808.2275449101799</v>
      </c>
      <c r="AH257" s="237">
        <f t="shared" si="62"/>
        <v>8642.0464071856295</v>
      </c>
      <c r="AI257" s="237">
        <f t="shared" si="63"/>
        <v>833.81886227544965</v>
      </c>
      <c r="AJ257" s="237">
        <v>10.54</v>
      </c>
      <c r="AK257" s="266">
        <v>79446.570000000007</v>
      </c>
      <c r="AL257" s="237">
        <f t="shared" si="64"/>
        <v>7537.6252371916526</v>
      </c>
      <c r="AM257" s="237">
        <f t="shared" si="65"/>
        <v>8232.5294117647063</v>
      </c>
      <c r="AN257" s="237">
        <f t="shared" si="66"/>
        <v>694.90417457305375</v>
      </c>
      <c r="AO257" s="266">
        <v>0</v>
      </c>
      <c r="AP257" s="266">
        <v>0</v>
      </c>
      <c r="AQ257" s="266">
        <v>0</v>
      </c>
      <c r="AR257" s="266">
        <v>0</v>
      </c>
      <c r="AS257" s="358">
        <v>40518.269999999997</v>
      </c>
      <c r="AT257" s="371">
        <v>0</v>
      </c>
      <c r="AU257" s="373">
        <v>38339.94</v>
      </c>
    </row>
    <row r="258" spans="1:47">
      <c r="A258" s="238" t="s">
        <v>495</v>
      </c>
      <c r="B258" s="238" t="s">
        <v>1525</v>
      </c>
      <c r="C258" s="266">
        <v>0</v>
      </c>
      <c r="D258" s="266">
        <v>0</v>
      </c>
      <c r="E258" s="266">
        <v>0</v>
      </c>
      <c r="F258" s="266">
        <v>0</v>
      </c>
      <c r="G258" s="266">
        <v>687207.78</v>
      </c>
      <c r="H258" s="266">
        <v>149226.01</v>
      </c>
      <c r="I258" s="266">
        <v>204778.02</v>
      </c>
      <c r="J258" s="266">
        <v>150419.35</v>
      </c>
      <c r="K258" s="266">
        <v>239411.91</v>
      </c>
      <c r="L258" s="266">
        <v>140500.57</v>
      </c>
      <c r="M258" s="266">
        <v>14879.78</v>
      </c>
      <c r="N258" s="266">
        <v>479449.45</v>
      </c>
      <c r="O258" s="123">
        <v>2.98E-2</v>
      </c>
      <c r="P258" s="123">
        <v>0.1893</v>
      </c>
      <c r="Q258" s="266">
        <v>0</v>
      </c>
      <c r="R258" s="266">
        <v>0</v>
      </c>
      <c r="S258" s="266">
        <v>0</v>
      </c>
      <c r="T258" s="266">
        <v>0</v>
      </c>
      <c r="U258" s="266">
        <v>0</v>
      </c>
      <c r="V258" s="266">
        <v>0</v>
      </c>
      <c r="W258" s="266">
        <v>0</v>
      </c>
      <c r="X258" s="266">
        <v>0</v>
      </c>
      <c r="Y258" s="266">
        <v>0</v>
      </c>
      <c r="Z258" s="266">
        <v>0</v>
      </c>
      <c r="AA258" s="266">
        <v>0</v>
      </c>
      <c r="AB258" s="266">
        <v>0</v>
      </c>
      <c r="AC258" s="266">
        <v>15265.59</v>
      </c>
      <c r="AD258" s="266">
        <v>354694.04</v>
      </c>
      <c r="AE258" s="237">
        <v>43.04</v>
      </c>
      <c r="AF258" s="266">
        <v>335797.17</v>
      </c>
      <c r="AG258" s="237">
        <f t="shared" si="61"/>
        <v>7801.9788568773229</v>
      </c>
      <c r="AH258" s="237">
        <f t="shared" si="62"/>
        <v>8241.0325278810415</v>
      </c>
      <c r="AI258" s="237">
        <f t="shared" si="63"/>
        <v>439.05367100371859</v>
      </c>
      <c r="AJ258" s="237">
        <v>1.84</v>
      </c>
      <c r="AK258" s="266">
        <v>14000.25</v>
      </c>
      <c r="AL258" s="237">
        <f t="shared" si="64"/>
        <v>7608.83152173913</v>
      </c>
      <c r="AM258" s="237">
        <f t="shared" si="65"/>
        <v>8296.516304347826</v>
      </c>
      <c r="AN258" s="237">
        <f t="shared" si="66"/>
        <v>687.68478260869597</v>
      </c>
      <c r="AO258" s="266">
        <v>0</v>
      </c>
      <c r="AP258" s="266">
        <v>3066.61</v>
      </c>
      <c r="AQ258" s="266">
        <v>0</v>
      </c>
      <c r="AR258" s="266">
        <v>0</v>
      </c>
      <c r="AS258" s="358">
        <v>0</v>
      </c>
      <c r="AT258" s="371">
        <v>593.52000000000044</v>
      </c>
      <c r="AU258" s="373">
        <v>38506.43</v>
      </c>
    </row>
    <row r="259" spans="1:47">
      <c r="A259" s="238" t="s">
        <v>385</v>
      </c>
      <c r="B259" s="238" t="s">
        <v>1526</v>
      </c>
      <c r="C259" s="266">
        <v>0</v>
      </c>
      <c r="D259" s="266">
        <v>0</v>
      </c>
      <c r="E259" s="266">
        <v>202336.55</v>
      </c>
      <c r="F259" s="266">
        <v>0</v>
      </c>
      <c r="G259" s="266">
        <v>15211978.52</v>
      </c>
      <c r="H259" s="266">
        <v>2995575.44</v>
      </c>
      <c r="I259" s="266">
        <v>1064269.23</v>
      </c>
      <c r="J259" s="266">
        <v>203189.13</v>
      </c>
      <c r="K259" s="266">
        <v>2537822.27</v>
      </c>
      <c r="L259" s="266">
        <v>345714.64</v>
      </c>
      <c r="M259" s="266">
        <v>313668.39</v>
      </c>
      <c r="N259" s="266">
        <v>5778333.7699999996</v>
      </c>
      <c r="O259" s="123">
        <v>2.8299999999999999E-2</v>
      </c>
      <c r="P259" s="123">
        <v>0.16009999999999999</v>
      </c>
      <c r="Q259" s="266">
        <v>0</v>
      </c>
      <c r="R259" s="266">
        <v>0</v>
      </c>
      <c r="S259" s="266">
        <v>0</v>
      </c>
      <c r="T259" s="266">
        <v>0</v>
      </c>
      <c r="U259" s="266">
        <v>0</v>
      </c>
      <c r="V259" s="266">
        <v>0</v>
      </c>
      <c r="W259" s="266">
        <v>0</v>
      </c>
      <c r="X259" s="266">
        <v>0</v>
      </c>
      <c r="Y259" s="266">
        <v>0</v>
      </c>
      <c r="Z259" s="266">
        <v>10984.44</v>
      </c>
      <c r="AA259" s="266">
        <v>76016.73</v>
      </c>
      <c r="AB259" s="266">
        <v>65828.88</v>
      </c>
      <c r="AC259" s="266">
        <v>2317921.0299999998</v>
      </c>
      <c r="AD259" s="266">
        <v>5891933.0999999996</v>
      </c>
      <c r="AE259" s="237">
        <v>622.1</v>
      </c>
      <c r="AF259" s="266">
        <v>5461772.4800000004</v>
      </c>
      <c r="AG259" s="237">
        <f t="shared" si="61"/>
        <v>8779.5731875904203</v>
      </c>
      <c r="AH259" s="237">
        <f t="shared" si="62"/>
        <v>9471.0385790065902</v>
      </c>
      <c r="AI259" s="237">
        <f t="shared" si="63"/>
        <v>691.46539141616995</v>
      </c>
      <c r="AJ259" s="237">
        <v>249.88</v>
      </c>
      <c r="AK259" s="266">
        <v>2123572.36</v>
      </c>
      <c r="AL259" s="237">
        <f t="shared" si="64"/>
        <v>8498.3686569553374</v>
      </c>
      <c r="AM259" s="237">
        <f t="shared" si="65"/>
        <v>9276.136665599488</v>
      </c>
      <c r="AN259" s="237">
        <f t="shared" si="66"/>
        <v>777.76800864415054</v>
      </c>
      <c r="AO259" s="266">
        <v>0</v>
      </c>
      <c r="AP259" s="266">
        <v>0</v>
      </c>
      <c r="AQ259" s="266">
        <v>0</v>
      </c>
      <c r="AR259" s="266">
        <v>0</v>
      </c>
      <c r="AS259" s="358">
        <v>0</v>
      </c>
      <c r="AT259" s="371">
        <v>92036.890000000043</v>
      </c>
      <c r="AU259" s="373">
        <v>681166.57</v>
      </c>
    </row>
    <row r="260" spans="1:47">
      <c r="A260" s="238" t="s">
        <v>329</v>
      </c>
      <c r="B260" s="238" t="s">
        <v>1527</v>
      </c>
      <c r="C260" s="266">
        <v>0</v>
      </c>
      <c r="D260" s="266">
        <v>0</v>
      </c>
      <c r="E260" s="266">
        <v>0</v>
      </c>
      <c r="F260" s="266">
        <v>0</v>
      </c>
      <c r="G260" s="266">
        <v>1970061.79</v>
      </c>
      <c r="H260" s="266">
        <v>512056.99</v>
      </c>
      <c r="I260" s="266">
        <v>80757.08</v>
      </c>
      <c r="J260" s="266">
        <v>0</v>
      </c>
      <c r="K260" s="266">
        <v>288623.84000000003</v>
      </c>
      <c r="L260" s="266">
        <v>18621.939999999999</v>
      </c>
      <c r="M260" s="266">
        <v>43792.02</v>
      </c>
      <c r="N260" s="266">
        <v>985481.64</v>
      </c>
      <c r="O260" s="123">
        <v>4.6699999999999998E-2</v>
      </c>
      <c r="P260" s="123">
        <v>0.1835</v>
      </c>
      <c r="Q260" s="266">
        <v>0</v>
      </c>
      <c r="R260" s="266">
        <v>0</v>
      </c>
      <c r="S260" s="266">
        <v>0</v>
      </c>
      <c r="T260" s="266">
        <v>0</v>
      </c>
      <c r="U260" s="266">
        <v>0</v>
      </c>
      <c r="V260" s="266">
        <v>0</v>
      </c>
      <c r="W260" s="266">
        <v>0</v>
      </c>
      <c r="X260" s="266">
        <v>0</v>
      </c>
      <c r="Y260" s="266">
        <v>0</v>
      </c>
      <c r="Z260" s="266">
        <v>1490.79</v>
      </c>
      <c r="AA260" s="266">
        <v>0</v>
      </c>
      <c r="AB260" s="266">
        <v>0</v>
      </c>
      <c r="AC260" s="266">
        <v>0</v>
      </c>
      <c r="AD260" s="266">
        <v>634876.18999999994</v>
      </c>
      <c r="AE260" s="237">
        <v>60.16</v>
      </c>
      <c r="AF260" s="266">
        <v>557059.96</v>
      </c>
      <c r="AG260" s="237">
        <f t="shared" si="61"/>
        <v>9259.6402925531911</v>
      </c>
      <c r="AH260" s="237">
        <f t="shared" si="62"/>
        <v>10553.128158244681</v>
      </c>
      <c r="AI260" s="237">
        <f t="shared" si="63"/>
        <v>1293.4878656914898</v>
      </c>
      <c r="AJ260" s="237">
        <v>0</v>
      </c>
      <c r="AK260" s="266">
        <v>0</v>
      </c>
      <c r="AL260" s="237">
        <f t="shared" si="64"/>
        <v>0</v>
      </c>
      <c r="AM260" s="237">
        <f t="shared" si="65"/>
        <v>0</v>
      </c>
      <c r="AN260" s="237">
        <f t="shared" si="66"/>
        <v>0</v>
      </c>
      <c r="AO260" s="266">
        <v>0</v>
      </c>
      <c r="AP260" s="266">
        <v>0</v>
      </c>
      <c r="AQ260" s="266">
        <v>0</v>
      </c>
      <c r="AR260" s="266">
        <v>0</v>
      </c>
      <c r="AS260" s="358">
        <v>131617.07</v>
      </c>
      <c r="AT260" s="371">
        <v>0</v>
      </c>
      <c r="AU260" s="373">
        <v>96474.500000000015</v>
      </c>
    </row>
    <row r="261" spans="1:47">
      <c r="A261" s="238" t="s">
        <v>461</v>
      </c>
      <c r="B261" s="238" t="s">
        <v>1528</v>
      </c>
      <c r="C261" s="266">
        <v>0</v>
      </c>
      <c r="D261" s="266">
        <v>0</v>
      </c>
      <c r="E261" s="266">
        <v>0</v>
      </c>
      <c r="F261" s="266">
        <v>0</v>
      </c>
      <c r="G261" s="266">
        <v>227720.86</v>
      </c>
      <c r="H261" s="266">
        <v>40561.51</v>
      </c>
      <c r="I261" s="266">
        <v>0</v>
      </c>
      <c r="J261" s="266">
        <v>0</v>
      </c>
      <c r="K261" s="266">
        <v>57897.62</v>
      </c>
      <c r="L261" s="266">
        <v>0</v>
      </c>
      <c r="M261" s="266">
        <v>5532.23</v>
      </c>
      <c r="N261" s="266">
        <v>94942.61</v>
      </c>
      <c r="O261" s="123">
        <v>3.9699999999999999E-2</v>
      </c>
      <c r="P261" s="123">
        <v>0.2273</v>
      </c>
      <c r="Q261" s="266">
        <v>0</v>
      </c>
      <c r="R261" s="266">
        <v>0</v>
      </c>
      <c r="S261" s="266">
        <v>0</v>
      </c>
      <c r="T261" s="266">
        <v>0</v>
      </c>
      <c r="U261" s="266">
        <v>0</v>
      </c>
      <c r="V261" s="266">
        <v>0</v>
      </c>
      <c r="W261" s="266">
        <v>0</v>
      </c>
      <c r="X261" s="266">
        <v>0</v>
      </c>
      <c r="Y261" s="266">
        <v>0</v>
      </c>
      <c r="Z261" s="266">
        <v>220.65</v>
      </c>
      <c r="AA261" s="266">
        <v>0</v>
      </c>
      <c r="AB261" s="266">
        <v>0</v>
      </c>
      <c r="AC261" s="266">
        <v>0</v>
      </c>
      <c r="AD261" s="266">
        <v>0</v>
      </c>
      <c r="AE261" s="237">
        <v>0</v>
      </c>
      <c r="AF261" s="266">
        <v>0</v>
      </c>
      <c r="AG261" s="237">
        <f t="shared" si="61"/>
        <v>0</v>
      </c>
      <c r="AH261" s="237">
        <f t="shared" si="62"/>
        <v>0</v>
      </c>
      <c r="AI261" s="237">
        <f t="shared" si="63"/>
        <v>0</v>
      </c>
      <c r="AJ261" s="237">
        <v>0</v>
      </c>
      <c r="AK261" s="266">
        <v>0</v>
      </c>
      <c r="AL261" s="237">
        <f t="shared" si="64"/>
        <v>0</v>
      </c>
      <c r="AM261" s="237">
        <f t="shared" si="65"/>
        <v>0</v>
      </c>
      <c r="AN261" s="237">
        <f t="shared" si="66"/>
        <v>0</v>
      </c>
      <c r="AO261" s="266">
        <v>0</v>
      </c>
      <c r="AP261" s="266">
        <v>0</v>
      </c>
      <c r="AQ261" s="266">
        <v>0</v>
      </c>
      <c r="AR261" s="266">
        <v>0</v>
      </c>
      <c r="AS261" s="358">
        <v>6626.6</v>
      </c>
      <c r="AT261" s="371">
        <v>0</v>
      </c>
      <c r="AU261" s="373">
        <v>11687.57</v>
      </c>
    </row>
    <row r="262" spans="1:47">
      <c r="A262" s="238" t="s">
        <v>595</v>
      </c>
      <c r="B262" s="238" t="s">
        <v>1529</v>
      </c>
      <c r="C262" s="266">
        <v>0</v>
      </c>
      <c r="D262" s="266">
        <v>0</v>
      </c>
      <c r="E262" s="266">
        <v>375935.74</v>
      </c>
      <c r="F262" s="266">
        <v>477322.35</v>
      </c>
      <c r="G262" s="266">
        <v>40146205.710000001</v>
      </c>
      <c r="H262" s="266">
        <v>10081271.73</v>
      </c>
      <c r="I262" s="266">
        <v>5222052.9000000004</v>
      </c>
      <c r="J262" s="266">
        <v>5565984.8399999999</v>
      </c>
      <c r="K262" s="266">
        <v>11299902.82</v>
      </c>
      <c r="L262" s="266">
        <v>3061814.84</v>
      </c>
      <c r="M262" s="266">
        <v>867370.15</v>
      </c>
      <c r="N262" s="266">
        <v>13985550.779999999</v>
      </c>
      <c r="O262" s="123">
        <v>3.2099999999999997E-2</v>
      </c>
      <c r="P262" s="123">
        <v>0.13370000000000001</v>
      </c>
      <c r="Q262" s="266">
        <v>0</v>
      </c>
      <c r="R262" s="266">
        <v>0</v>
      </c>
      <c r="S262" s="266">
        <v>0</v>
      </c>
      <c r="T262" s="266">
        <v>0</v>
      </c>
      <c r="U262" s="266">
        <v>0</v>
      </c>
      <c r="V262" s="266">
        <v>0</v>
      </c>
      <c r="W262" s="266">
        <v>0</v>
      </c>
      <c r="X262" s="266">
        <v>0</v>
      </c>
      <c r="Y262" s="266">
        <v>0</v>
      </c>
      <c r="Z262" s="266">
        <v>1915.64</v>
      </c>
      <c r="AA262" s="266">
        <v>156067.68</v>
      </c>
      <c r="AB262" s="266">
        <v>105090.73</v>
      </c>
      <c r="AC262" s="266">
        <v>2371467.06</v>
      </c>
      <c r="AD262" s="266">
        <v>9417935.0899999999</v>
      </c>
      <c r="AE262" s="237">
        <v>1076.0999999999999</v>
      </c>
      <c r="AF262" s="266">
        <v>8747261.2200000007</v>
      </c>
      <c r="AG262" s="237">
        <f t="shared" si="61"/>
        <v>8128.6694730972968</v>
      </c>
      <c r="AH262" s="237">
        <f t="shared" si="62"/>
        <v>8751.9144038658123</v>
      </c>
      <c r="AI262" s="237">
        <f t="shared" si="63"/>
        <v>623.24493076851559</v>
      </c>
      <c r="AJ262" s="237">
        <v>276.42</v>
      </c>
      <c r="AK262" s="266">
        <v>2171851.9300000002</v>
      </c>
      <c r="AL262" s="237">
        <f t="shared" si="64"/>
        <v>7857.0723174878813</v>
      </c>
      <c r="AM262" s="237">
        <f t="shared" si="65"/>
        <v>8579.2166268721503</v>
      </c>
      <c r="AN262" s="237">
        <f t="shared" si="66"/>
        <v>722.14430938426904</v>
      </c>
      <c r="AO262" s="266">
        <v>0</v>
      </c>
      <c r="AP262" s="266">
        <v>0</v>
      </c>
      <c r="AQ262" s="266">
        <v>0</v>
      </c>
      <c r="AR262" s="266">
        <v>0</v>
      </c>
      <c r="AS262" s="358">
        <v>0</v>
      </c>
      <c r="AT262" s="371">
        <v>0</v>
      </c>
      <c r="AU262" s="373">
        <v>2026171.1</v>
      </c>
    </row>
    <row r="263" spans="1:47">
      <c r="A263" s="238" t="s">
        <v>1531</v>
      </c>
      <c r="B263" s="238" t="s">
        <v>1532</v>
      </c>
      <c r="C263" s="266">
        <v>46778.89</v>
      </c>
      <c r="D263" s="266">
        <v>0</v>
      </c>
      <c r="E263" s="266">
        <v>0</v>
      </c>
      <c r="F263" s="266">
        <v>0</v>
      </c>
      <c r="G263" s="266">
        <v>527562.89</v>
      </c>
      <c r="H263" s="266">
        <v>87258.240000000005</v>
      </c>
      <c r="I263" s="266">
        <v>0</v>
      </c>
      <c r="J263" s="266">
        <v>0</v>
      </c>
      <c r="K263" s="266">
        <v>121759.06</v>
      </c>
      <c r="L263" s="266">
        <v>10828.53</v>
      </c>
      <c r="M263" s="266">
        <v>0</v>
      </c>
      <c r="N263" s="266">
        <v>336117.7</v>
      </c>
      <c r="O263" s="123">
        <v>0.08</v>
      </c>
      <c r="P263" s="123">
        <v>0.1</v>
      </c>
      <c r="Q263" s="266">
        <v>0</v>
      </c>
      <c r="R263" s="266">
        <v>0</v>
      </c>
      <c r="S263" s="266">
        <v>0</v>
      </c>
      <c r="T263" s="266">
        <v>0</v>
      </c>
      <c r="U263" s="266">
        <v>0</v>
      </c>
      <c r="V263" s="266">
        <v>0</v>
      </c>
      <c r="W263" s="266">
        <v>0</v>
      </c>
      <c r="X263" s="266">
        <v>0</v>
      </c>
      <c r="Y263" s="266">
        <v>0</v>
      </c>
      <c r="Z263" s="266">
        <v>0</v>
      </c>
      <c r="AA263" s="266">
        <v>0</v>
      </c>
      <c r="AB263" s="266">
        <v>0</v>
      </c>
      <c r="AC263" s="266">
        <v>0</v>
      </c>
      <c r="AD263" s="266">
        <v>0</v>
      </c>
      <c r="AE263" s="237">
        <v>0</v>
      </c>
      <c r="AF263" s="266">
        <v>0</v>
      </c>
      <c r="AG263" s="237">
        <f t="shared" ref="AG263:AG326" si="67">IFERROR(AF263/AE263,0)</f>
        <v>0</v>
      </c>
      <c r="AH263" s="237">
        <f t="shared" ref="AH263:AH328" si="68">IFERROR(AD263/AE263,0)</f>
        <v>0</v>
      </c>
      <c r="AI263" s="237">
        <f t="shared" ref="AI263:AI326" si="69">AH263-AG263</f>
        <v>0</v>
      </c>
      <c r="AJ263" s="237">
        <v>0</v>
      </c>
      <c r="AK263" s="266">
        <v>0</v>
      </c>
      <c r="AL263" s="237">
        <f t="shared" ref="AL263:AL326" si="70">IFERROR(AK263/AJ263,0)</f>
        <v>0</v>
      </c>
      <c r="AM263" s="237">
        <f t="shared" ref="AM263:AM328" si="71">IFERROR(AC263/AJ263,0)</f>
        <v>0</v>
      </c>
      <c r="AN263" s="237">
        <f t="shared" ref="AN263:AN326" si="72">AM263-AL263</f>
        <v>0</v>
      </c>
      <c r="AO263" s="266">
        <v>0</v>
      </c>
      <c r="AP263" s="266">
        <v>0</v>
      </c>
      <c r="AQ263" s="266">
        <v>0</v>
      </c>
      <c r="AR263" s="266">
        <v>0</v>
      </c>
      <c r="AS263" s="358">
        <v>0</v>
      </c>
      <c r="AT263" s="371">
        <v>3782.8700000000008</v>
      </c>
      <c r="AU263" s="373">
        <v>29981.399999999998</v>
      </c>
    </row>
    <row r="264" spans="1:47">
      <c r="A264" s="238" t="s">
        <v>445</v>
      </c>
      <c r="B264" s="238" t="s">
        <v>1533</v>
      </c>
      <c r="C264" s="266">
        <v>0</v>
      </c>
      <c r="D264" s="266">
        <v>0</v>
      </c>
      <c r="E264" s="266">
        <v>0</v>
      </c>
      <c r="F264" s="266">
        <v>1905.82</v>
      </c>
      <c r="G264" s="266">
        <v>97823.57</v>
      </c>
      <c r="H264" s="266">
        <v>12354.85</v>
      </c>
      <c r="I264" s="266">
        <v>0</v>
      </c>
      <c r="J264" s="266">
        <v>11922.91</v>
      </c>
      <c r="K264" s="266">
        <v>26707.31</v>
      </c>
      <c r="L264" s="266">
        <v>0</v>
      </c>
      <c r="M264" s="266">
        <v>2003.04</v>
      </c>
      <c r="N264" s="266">
        <v>121066.92</v>
      </c>
      <c r="O264" s="123">
        <v>5.8599999999999999E-2</v>
      </c>
      <c r="P264" s="123">
        <v>0.2167</v>
      </c>
      <c r="Q264" s="266">
        <v>0</v>
      </c>
      <c r="R264" s="266">
        <v>0</v>
      </c>
      <c r="S264" s="266">
        <v>0</v>
      </c>
      <c r="T264" s="266">
        <v>0</v>
      </c>
      <c r="U264" s="266">
        <v>0</v>
      </c>
      <c r="V264" s="266">
        <v>0</v>
      </c>
      <c r="W264" s="266">
        <v>0</v>
      </c>
      <c r="X264" s="266">
        <v>0</v>
      </c>
      <c r="Y264" s="266">
        <v>0</v>
      </c>
      <c r="Z264" s="266">
        <v>0</v>
      </c>
      <c r="AA264" s="266">
        <v>0</v>
      </c>
      <c r="AB264" s="266">
        <v>0</v>
      </c>
      <c r="AC264" s="266">
        <v>0</v>
      </c>
      <c r="AD264" s="266">
        <v>79562.13</v>
      </c>
      <c r="AE264" s="237">
        <v>9.65</v>
      </c>
      <c r="AF264" s="266">
        <v>75313.789999999994</v>
      </c>
      <c r="AG264" s="237">
        <f t="shared" si="67"/>
        <v>7804.5378238341964</v>
      </c>
      <c r="AH264" s="237">
        <f t="shared" si="68"/>
        <v>8244.7803108808293</v>
      </c>
      <c r="AI264" s="237">
        <f t="shared" si="69"/>
        <v>440.24248704663296</v>
      </c>
      <c r="AJ264" s="237">
        <v>0</v>
      </c>
      <c r="AK264" s="266">
        <v>0</v>
      </c>
      <c r="AL264" s="237">
        <f t="shared" si="70"/>
        <v>0</v>
      </c>
      <c r="AM264" s="237">
        <f t="shared" si="71"/>
        <v>0</v>
      </c>
      <c r="AN264" s="237">
        <f t="shared" si="72"/>
        <v>0</v>
      </c>
      <c r="AO264" s="266">
        <v>0.32</v>
      </c>
      <c r="AP264" s="266">
        <v>0</v>
      </c>
      <c r="AQ264" s="266">
        <v>0</v>
      </c>
      <c r="AR264" s="266">
        <v>0</v>
      </c>
      <c r="AS264" s="358">
        <v>16756.36</v>
      </c>
      <c r="AT264" s="371">
        <v>0</v>
      </c>
      <c r="AU264" s="373">
        <v>11826.68</v>
      </c>
    </row>
    <row r="265" spans="1:47">
      <c r="A265" s="238" t="s">
        <v>710</v>
      </c>
      <c r="B265" s="238" t="s">
        <v>1534</v>
      </c>
      <c r="C265" s="266">
        <v>0</v>
      </c>
      <c r="D265" s="266">
        <v>0</v>
      </c>
      <c r="E265" s="266">
        <v>0</v>
      </c>
      <c r="F265" s="266">
        <v>0</v>
      </c>
      <c r="G265" s="266">
        <v>143819.21</v>
      </c>
      <c r="H265" s="266">
        <v>12296.08</v>
      </c>
      <c r="I265" s="266">
        <v>9670.57</v>
      </c>
      <c r="J265" s="266">
        <v>0</v>
      </c>
      <c r="K265" s="266">
        <v>33574.9</v>
      </c>
      <c r="L265" s="266">
        <v>0</v>
      </c>
      <c r="M265" s="266">
        <v>0</v>
      </c>
      <c r="N265" s="266">
        <v>362113</v>
      </c>
      <c r="O265" s="123">
        <v>3.6200000000000003E-2</v>
      </c>
      <c r="P265" s="123">
        <v>0.20680000000000001</v>
      </c>
      <c r="Q265" s="266">
        <v>0</v>
      </c>
      <c r="R265" s="266">
        <v>0</v>
      </c>
      <c r="S265" s="266">
        <v>0</v>
      </c>
      <c r="T265" s="266">
        <v>0</v>
      </c>
      <c r="U265" s="266">
        <v>0</v>
      </c>
      <c r="V265" s="266">
        <v>0</v>
      </c>
      <c r="W265" s="266">
        <v>0</v>
      </c>
      <c r="X265" s="266">
        <v>0</v>
      </c>
      <c r="Y265" s="266">
        <v>0</v>
      </c>
      <c r="Z265" s="266">
        <v>170.16</v>
      </c>
      <c r="AA265" s="266">
        <v>0</v>
      </c>
      <c r="AB265" s="266">
        <v>0</v>
      </c>
      <c r="AC265" s="266">
        <v>0</v>
      </c>
      <c r="AD265" s="266">
        <v>115371.22</v>
      </c>
      <c r="AE265" s="237">
        <v>13.99</v>
      </c>
      <c r="AF265" s="266">
        <v>109289.01</v>
      </c>
      <c r="AG265" s="237">
        <f t="shared" si="67"/>
        <v>7811.9378127233731</v>
      </c>
      <c r="AH265" s="237">
        <f t="shared" si="68"/>
        <v>8246.6919228020015</v>
      </c>
      <c r="AI265" s="237">
        <f t="shared" si="69"/>
        <v>434.7541100786284</v>
      </c>
      <c r="AJ265" s="237">
        <v>0</v>
      </c>
      <c r="AK265" s="266">
        <v>0</v>
      </c>
      <c r="AL265" s="237">
        <f t="shared" si="70"/>
        <v>0</v>
      </c>
      <c r="AM265" s="237">
        <f t="shared" si="71"/>
        <v>0</v>
      </c>
      <c r="AN265" s="237">
        <f t="shared" si="72"/>
        <v>0</v>
      </c>
      <c r="AO265" s="266">
        <v>0</v>
      </c>
      <c r="AP265" s="266">
        <v>0</v>
      </c>
      <c r="AQ265" s="266">
        <v>0</v>
      </c>
      <c r="AR265" s="266">
        <v>0</v>
      </c>
      <c r="AS265" s="358">
        <v>33852.86</v>
      </c>
      <c r="AT265" s="371">
        <v>0</v>
      </c>
      <c r="AU265" s="373">
        <v>14023.789999999999</v>
      </c>
    </row>
    <row r="266" spans="1:47">
      <c r="A266" s="238" t="s">
        <v>593</v>
      </c>
      <c r="B266" s="238" t="s">
        <v>1535</v>
      </c>
      <c r="C266" s="266">
        <v>0</v>
      </c>
      <c r="D266" s="266">
        <v>0</v>
      </c>
      <c r="E266" s="266">
        <v>1970.87</v>
      </c>
      <c r="F266" s="266">
        <v>560.37</v>
      </c>
      <c r="G266" s="266">
        <v>7487492.5099999998</v>
      </c>
      <c r="H266" s="266">
        <v>1688505.66</v>
      </c>
      <c r="I266" s="266">
        <v>468249.02</v>
      </c>
      <c r="J266" s="266">
        <v>5456.74</v>
      </c>
      <c r="K266" s="266">
        <v>937310.92</v>
      </c>
      <c r="L266" s="266">
        <v>212273.68</v>
      </c>
      <c r="M266" s="266">
        <v>155062.72</v>
      </c>
      <c r="N266" s="266">
        <v>2879257.14</v>
      </c>
      <c r="O266" s="123">
        <v>3.2800000000000003E-2</v>
      </c>
      <c r="P266" s="123">
        <v>0.13780000000000001</v>
      </c>
      <c r="Q266" s="266">
        <v>0</v>
      </c>
      <c r="R266" s="266">
        <v>0</v>
      </c>
      <c r="S266" s="266">
        <v>0</v>
      </c>
      <c r="T266" s="266">
        <v>0</v>
      </c>
      <c r="U266" s="266">
        <v>0</v>
      </c>
      <c r="V266" s="266">
        <v>0</v>
      </c>
      <c r="W266" s="266">
        <v>0</v>
      </c>
      <c r="X266" s="266">
        <v>0</v>
      </c>
      <c r="Y266" s="266">
        <v>0</v>
      </c>
      <c r="Z266" s="266">
        <v>788.21</v>
      </c>
      <c r="AA266" s="266">
        <v>0</v>
      </c>
      <c r="AB266" s="266">
        <v>0</v>
      </c>
      <c r="AC266" s="266">
        <v>708171.17</v>
      </c>
      <c r="AD266" s="266">
        <v>3127226</v>
      </c>
      <c r="AE266" s="237">
        <v>320.26</v>
      </c>
      <c r="AF266" s="266">
        <v>2861502.8</v>
      </c>
      <c r="AG266" s="237">
        <f t="shared" si="67"/>
        <v>8934.9366140011243</v>
      </c>
      <c r="AH266" s="237">
        <f t="shared" si="68"/>
        <v>9764.6474739274345</v>
      </c>
      <c r="AI266" s="237">
        <f t="shared" si="69"/>
        <v>829.71085992631015</v>
      </c>
      <c r="AJ266" s="237">
        <v>74.92</v>
      </c>
      <c r="AK266" s="266">
        <v>648315.71</v>
      </c>
      <c r="AL266" s="237">
        <f t="shared" si="70"/>
        <v>8653.4398024559523</v>
      </c>
      <c r="AM266" s="237">
        <f t="shared" si="71"/>
        <v>9452.364789108382</v>
      </c>
      <c r="AN266" s="237">
        <f t="shared" si="72"/>
        <v>798.92498665242965</v>
      </c>
      <c r="AO266" s="266">
        <v>0</v>
      </c>
      <c r="AP266" s="266">
        <v>0</v>
      </c>
      <c r="AQ266" s="266">
        <v>0</v>
      </c>
      <c r="AR266" s="266">
        <v>0</v>
      </c>
      <c r="AS266" s="358">
        <v>0</v>
      </c>
      <c r="AT266" s="371">
        <v>3504.6899999999732</v>
      </c>
      <c r="AU266" s="373">
        <v>340178.78</v>
      </c>
    </row>
    <row r="267" spans="1:47">
      <c r="A267" s="238" t="s">
        <v>273</v>
      </c>
      <c r="B267" s="238" t="s">
        <v>1536</v>
      </c>
      <c r="C267" s="266">
        <v>618.28</v>
      </c>
      <c r="D267" s="266">
        <v>0</v>
      </c>
      <c r="E267" s="266">
        <v>0</v>
      </c>
      <c r="F267" s="266">
        <v>0</v>
      </c>
      <c r="G267" s="266">
        <v>0</v>
      </c>
      <c r="H267" s="266">
        <v>0</v>
      </c>
      <c r="I267" s="266">
        <v>0</v>
      </c>
      <c r="J267" s="266">
        <v>0</v>
      </c>
      <c r="K267" s="266">
        <v>0</v>
      </c>
      <c r="L267" s="266">
        <v>0</v>
      </c>
      <c r="M267" s="266">
        <v>0</v>
      </c>
      <c r="N267" s="266">
        <v>105862.21</v>
      </c>
      <c r="O267" s="123">
        <v>2.0400000000000001E-2</v>
      </c>
      <c r="P267" s="123">
        <v>0.2462</v>
      </c>
      <c r="Q267" s="266">
        <v>0</v>
      </c>
      <c r="R267" s="266">
        <v>0</v>
      </c>
      <c r="S267" s="266">
        <v>0</v>
      </c>
      <c r="T267" s="266">
        <v>0</v>
      </c>
      <c r="U267" s="266">
        <v>0</v>
      </c>
      <c r="V267" s="266">
        <v>0</v>
      </c>
      <c r="W267" s="266">
        <v>0</v>
      </c>
      <c r="X267" s="266">
        <v>0</v>
      </c>
      <c r="Y267" s="266">
        <v>0</v>
      </c>
      <c r="Z267" s="266">
        <v>16.47</v>
      </c>
      <c r="AA267" s="266">
        <v>0</v>
      </c>
      <c r="AB267" s="266">
        <v>0</v>
      </c>
      <c r="AC267" s="266">
        <v>0</v>
      </c>
      <c r="AD267" s="266">
        <v>0</v>
      </c>
      <c r="AE267" s="237">
        <v>0</v>
      </c>
      <c r="AF267" s="266">
        <v>0</v>
      </c>
      <c r="AG267" s="237">
        <f t="shared" si="67"/>
        <v>0</v>
      </c>
      <c r="AH267" s="237">
        <f t="shared" si="68"/>
        <v>0</v>
      </c>
      <c r="AI267" s="237">
        <f t="shared" si="69"/>
        <v>0</v>
      </c>
      <c r="AJ267" s="237">
        <v>0</v>
      </c>
      <c r="AK267" s="266">
        <v>0</v>
      </c>
      <c r="AL267" s="237">
        <f t="shared" si="70"/>
        <v>0</v>
      </c>
      <c r="AM267" s="237">
        <f t="shared" si="71"/>
        <v>0</v>
      </c>
      <c r="AN267" s="237">
        <f t="shared" si="72"/>
        <v>0</v>
      </c>
      <c r="AO267" s="266">
        <v>0</v>
      </c>
      <c r="AP267" s="266">
        <v>0</v>
      </c>
      <c r="AQ267" s="266">
        <v>0</v>
      </c>
      <c r="AR267" s="266">
        <v>0</v>
      </c>
      <c r="AS267" s="358">
        <v>15830.75</v>
      </c>
      <c r="AT267" s="371">
        <v>32.439999999999827</v>
      </c>
      <c r="AU267" s="373">
        <v>2068.1799999999998</v>
      </c>
    </row>
    <row r="268" spans="1:47">
      <c r="A268" s="238" t="s">
        <v>233</v>
      </c>
      <c r="B268" s="238" t="s">
        <v>1537</v>
      </c>
      <c r="C268" s="266">
        <v>0</v>
      </c>
      <c r="D268" s="266">
        <v>0</v>
      </c>
      <c r="E268" s="266">
        <v>0</v>
      </c>
      <c r="F268" s="266">
        <v>0</v>
      </c>
      <c r="G268" s="266">
        <v>45342.42</v>
      </c>
      <c r="H268" s="266">
        <v>3900.68</v>
      </c>
      <c r="I268" s="266">
        <v>0</v>
      </c>
      <c r="J268" s="266">
        <v>0</v>
      </c>
      <c r="K268" s="266">
        <v>0</v>
      </c>
      <c r="L268" s="266">
        <v>0</v>
      </c>
      <c r="M268" s="266">
        <v>0</v>
      </c>
      <c r="N268" s="266">
        <v>95827.07</v>
      </c>
      <c r="O268" s="123">
        <v>0.24740000000000001</v>
      </c>
      <c r="P268" s="123">
        <v>0.4582</v>
      </c>
      <c r="Q268" s="266">
        <v>0</v>
      </c>
      <c r="R268" s="266">
        <v>0</v>
      </c>
      <c r="S268" s="266">
        <v>0</v>
      </c>
      <c r="T268" s="266">
        <v>0</v>
      </c>
      <c r="U268" s="266">
        <v>0</v>
      </c>
      <c r="V268" s="266">
        <v>0</v>
      </c>
      <c r="W268" s="266">
        <v>0</v>
      </c>
      <c r="X268" s="266">
        <v>0</v>
      </c>
      <c r="Y268" s="266">
        <v>0</v>
      </c>
      <c r="Z268" s="266">
        <v>21.96</v>
      </c>
      <c r="AA268" s="266">
        <v>0</v>
      </c>
      <c r="AB268" s="266">
        <v>0</v>
      </c>
      <c r="AC268" s="266">
        <v>0</v>
      </c>
      <c r="AD268" s="266">
        <v>0</v>
      </c>
      <c r="AE268" s="237">
        <v>0</v>
      </c>
      <c r="AF268" s="266">
        <v>0</v>
      </c>
      <c r="AG268" s="237">
        <f t="shared" si="67"/>
        <v>0</v>
      </c>
      <c r="AH268" s="237">
        <f t="shared" si="68"/>
        <v>0</v>
      </c>
      <c r="AI268" s="237">
        <f t="shared" si="69"/>
        <v>0</v>
      </c>
      <c r="AJ268" s="237">
        <v>0</v>
      </c>
      <c r="AK268" s="266">
        <v>0</v>
      </c>
      <c r="AL268" s="237">
        <f t="shared" si="70"/>
        <v>0</v>
      </c>
      <c r="AM268" s="237">
        <f t="shared" si="71"/>
        <v>0</v>
      </c>
      <c r="AN268" s="237">
        <f t="shared" si="72"/>
        <v>0</v>
      </c>
      <c r="AO268" s="266">
        <v>0</v>
      </c>
      <c r="AP268" s="266">
        <v>0</v>
      </c>
      <c r="AQ268" s="266">
        <v>0</v>
      </c>
      <c r="AR268" s="266">
        <v>0</v>
      </c>
      <c r="AS268" s="358">
        <v>11116.17</v>
      </c>
      <c r="AT268" s="371">
        <v>144.45000000000027</v>
      </c>
      <c r="AU268" s="373">
        <v>3646.2400000000002</v>
      </c>
    </row>
    <row r="269" spans="1:47">
      <c r="A269" s="238" t="s">
        <v>193</v>
      </c>
      <c r="B269" s="238" t="s">
        <v>1538</v>
      </c>
      <c r="C269" s="266">
        <v>0</v>
      </c>
      <c r="D269" s="266">
        <v>0</v>
      </c>
      <c r="E269" s="266">
        <v>0</v>
      </c>
      <c r="F269" s="266">
        <v>0</v>
      </c>
      <c r="G269" s="266">
        <v>0</v>
      </c>
      <c r="H269" s="266">
        <v>0</v>
      </c>
      <c r="I269" s="266">
        <v>0</v>
      </c>
      <c r="J269" s="266">
        <v>0</v>
      </c>
      <c r="K269" s="266">
        <v>0</v>
      </c>
      <c r="L269" s="266">
        <v>0</v>
      </c>
      <c r="M269" s="266">
        <v>0</v>
      </c>
      <c r="N269" s="266">
        <v>0</v>
      </c>
      <c r="O269" s="123">
        <v>0.27739999999999998</v>
      </c>
      <c r="P269" s="123">
        <v>0.65549999999999997</v>
      </c>
      <c r="Q269" s="266">
        <v>0</v>
      </c>
      <c r="R269" s="266">
        <v>0</v>
      </c>
      <c r="S269" s="266">
        <v>0</v>
      </c>
      <c r="T269" s="266">
        <v>0</v>
      </c>
      <c r="U269" s="266">
        <v>0</v>
      </c>
      <c r="V269" s="266">
        <v>0</v>
      </c>
      <c r="W269" s="266">
        <v>0</v>
      </c>
      <c r="X269" s="266">
        <v>0</v>
      </c>
      <c r="Y269" s="266">
        <v>0</v>
      </c>
      <c r="Z269" s="266">
        <v>0</v>
      </c>
      <c r="AA269" s="266">
        <v>0</v>
      </c>
      <c r="AB269" s="266">
        <v>0</v>
      </c>
      <c r="AC269" s="266">
        <v>0</v>
      </c>
      <c r="AD269" s="266">
        <v>0</v>
      </c>
      <c r="AE269" s="237">
        <v>0</v>
      </c>
      <c r="AF269" s="266">
        <v>0</v>
      </c>
      <c r="AG269" s="237">
        <f t="shared" si="67"/>
        <v>0</v>
      </c>
      <c r="AH269" s="237">
        <f t="shared" si="68"/>
        <v>0</v>
      </c>
      <c r="AI269" s="237">
        <f t="shared" si="69"/>
        <v>0</v>
      </c>
      <c r="AJ269" s="237">
        <v>0</v>
      </c>
      <c r="AK269" s="266">
        <v>0</v>
      </c>
      <c r="AL269" s="237">
        <f t="shared" si="70"/>
        <v>0</v>
      </c>
      <c r="AM269" s="237">
        <f t="shared" si="71"/>
        <v>0</v>
      </c>
      <c r="AN269" s="237">
        <f t="shared" si="72"/>
        <v>0</v>
      </c>
      <c r="AO269" s="266">
        <v>0</v>
      </c>
      <c r="AP269" s="266">
        <v>0</v>
      </c>
      <c r="AQ269" s="266">
        <v>0</v>
      </c>
      <c r="AR269" s="266">
        <v>0</v>
      </c>
      <c r="AS269" s="358">
        <v>0</v>
      </c>
      <c r="AT269" s="371">
        <v>872.78</v>
      </c>
      <c r="AU269" s="373">
        <v>2073.58</v>
      </c>
    </row>
    <row r="270" spans="1:47">
      <c r="A270" s="238" t="s">
        <v>508</v>
      </c>
      <c r="B270" s="238" t="s">
        <v>1539</v>
      </c>
      <c r="C270" s="266">
        <v>0</v>
      </c>
      <c r="D270" s="266">
        <v>0</v>
      </c>
      <c r="E270" s="266">
        <v>0</v>
      </c>
      <c r="F270" s="266">
        <v>0</v>
      </c>
      <c r="G270" s="266">
        <v>4142547.18</v>
      </c>
      <c r="H270" s="266">
        <v>917013.67</v>
      </c>
      <c r="I270" s="266">
        <v>335478.21999999997</v>
      </c>
      <c r="J270" s="266">
        <v>6825.74</v>
      </c>
      <c r="K270" s="266">
        <v>476195.33</v>
      </c>
      <c r="L270" s="266">
        <v>189105.44</v>
      </c>
      <c r="M270" s="266">
        <v>97166.34</v>
      </c>
      <c r="N270" s="266">
        <v>2312216.64</v>
      </c>
      <c r="O270" s="123">
        <v>3.5499999999999997E-2</v>
      </c>
      <c r="P270" s="123">
        <v>0.19950000000000001</v>
      </c>
      <c r="Q270" s="266">
        <v>0</v>
      </c>
      <c r="R270" s="266">
        <v>0</v>
      </c>
      <c r="S270" s="266">
        <v>0</v>
      </c>
      <c r="T270" s="266">
        <v>0</v>
      </c>
      <c r="U270" s="266">
        <v>0</v>
      </c>
      <c r="V270" s="266">
        <v>0</v>
      </c>
      <c r="W270" s="266">
        <v>0</v>
      </c>
      <c r="X270" s="266">
        <v>0</v>
      </c>
      <c r="Y270" s="266">
        <v>0</v>
      </c>
      <c r="Z270" s="266">
        <v>3714.91</v>
      </c>
      <c r="AA270" s="266">
        <v>4784.09</v>
      </c>
      <c r="AB270" s="266">
        <v>172353.23</v>
      </c>
      <c r="AC270" s="266">
        <v>64099.86</v>
      </c>
      <c r="AD270" s="266">
        <v>2019362.95</v>
      </c>
      <c r="AE270" s="237">
        <v>231.41</v>
      </c>
      <c r="AF270" s="266">
        <v>1881022.12</v>
      </c>
      <c r="AG270" s="237">
        <f t="shared" si="67"/>
        <v>8128.5256471198309</v>
      </c>
      <c r="AH270" s="237">
        <f t="shared" si="68"/>
        <v>8726.3426386068022</v>
      </c>
      <c r="AI270" s="237">
        <f t="shared" si="69"/>
        <v>597.81699148697135</v>
      </c>
      <c r="AJ270" s="237">
        <v>7.48</v>
      </c>
      <c r="AK270" s="266">
        <v>58647.81</v>
      </c>
      <c r="AL270" s="237">
        <f t="shared" si="70"/>
        <v>7840.616310160427</v>
      </c>
      <c r="AM270" s="237">
        <f t="shared" si="71"/>
        <v>8569.5</v>
      </c>
      <c r="AN270" s="237">
        <f t="shared" si="72"/>
        <v>728.88368983957298</v>
      </c>
      <c r="AO270" s="266">
        <v>0</v>
      </c>
      <c r="AP270" s="266">
        <v>0</v>
      </c>
      <c r="AQ270" s="266">
        <v>0</v>
      </c>
      <c r="AR270" s="266">
        <v>0</v>
      </c>
      <c r="AS270" s="358">
        <v>0</v>
      </c>
      <c r="AT270" s="371">
        <v>22919.229999999996</v>
      </c>
      <c r="AU270" s="373">
        <v>207557.63</v>
      </c>
    </row>
    <row r="271" spans="1:47">
      <c r="A271" s="238" t="s">
        <v>702</v>
      </c>
      <c r="B271" s="238" t="s">
        <v>1540</v>
      </c>
      <c r="C271" s="266">
        <v>6826.49</v>
      </c>
      <c r="D271" s="266">
        <v>0</v>
      </c>
      <c r="E271" s="266">
        <v>0</v>
      </c>
      <c r="F271" s="266">
        <v>0</v>
      </c>
      <c r="G271" s="266">
        <v>64964.77</v>
      </c>
      <c r="H271" s="266">
        <v>4122.87</v>
      </c>
      <c r="I271" s="266">
        <v>0</v>
      </c>
      <c r="J271" s="266">
        <v>0</v>
      </c>
      <c r="K271" s="266">
        <v>0</v>
      </c>
      <c r="L271" s="266">
        <v>0</v>
      </c>
      <c r="M271" s="266">
        <v>1430.75</v>
      </c>
      <c r="N271" s="266">
        <v>96913.22</v>
      </c>
      <c r="O271" s="123">
        <v>0.11990000000000001</v>
      </c>
      <c r="P271" s="123">
        <v>0.29389999999999999</v>
      </c>
      <c r="Q271" s="266">
        <v>0</v>
      </c>
      <c r="R271" s="266">
        <v>0</v>
      </c>
      <c r="S271" s="266">
        <v>0</v>
      </c>
      <c r="T271" s="266">
        <v>0</v>
      </c>
      <c r="U271" s="266">
        <v>0</v>
      </c>
      <c r="V271" s="266">
        <v>0</v>
      </c>
      <c r="W271" s="266">
        <v>0</v>
      </c>
      <c r="X271" s="266">
        <v>0</v>
      </c>
      <c r="Y271" s="266">
        <v>0</v>
      </c>
      <c r="Z271" s="266">
        <v>75.75</v>
      </c>
      <c r="AA271" s="266">
        <v>0</v>
      </c>
      <c r="AB271" s="266">
        <v>0</v>
      </c>
      <c r="AC271" s="266">
        <v>0</v>
      </c>
      <c r="AD271" s="266">
        <v>0</v>
      </c>
      <c r="AE271" s="237">
        <v>0</v>
      </c>
      <c r="AF271" s="266">
        <v>0</v>
      </c>
      <c r="AG271" s="237">
        <f t="shared" si="67"/>
        <v>0</v>
      </c>
      <c r="AH271" s="237">
        <f t="shared" si="68"/>
        <v>0</v>
      </c>
      <c r="AI271" s="237">
        <f t="shared" si="69"/>
        <v>0</v>
      </c>
      <c r="AJ271" s="237">
        <v>0</v>
      </c>
      <c r="AK271" s="266">
        <v>0</v>
      </c>
      <c r="AL271" s="237">
        <f t="shared" si="70"/>
        <v>0</v>
      </c>
      <c r="AM271" s="237">
        <f t="shared" si="71"/>
        <v>0</v>
      </c>
      <c r="AN271" s="237">
        <f t="shared" si="72"/>
        <v>0</v>
      </c>
      <c r="AO271" s="266">
        <v>0</v>
      </c>
      <c r="AP271" s="266">
        <v>0</v>
      </c>
      <c r="AQ271" s="266">
        <v>0</v>
      </c>
      <c r="AR271" s="266">
        <v>0</v>
      </c>
      <c r="AS271" s="358">
        <v>11568.04</v>
      </c>
      <c r="AT271" s="371">
        <v>0</v>
      </c>
      <c r="AU271" s="373">
        <v>3785.87</v>
      </c>
    </row>
    <row r="272" spans="1:47">
      <c r="A272" s="238" t="s">
        <v>565</v>
      </c>
      <c r="B272" s="238" t="s">
        <v>1541</v>
      </c>
      <c r="C272" s="266">
        <v>0</v>
      </c>
      <c r="D272" s="266">
        <v>0</v>
      </c>
      <c r="E272" s="266">
        <v>23980.55</v>
      </c>
      <c r="F272" s="266">
        <v>12564.72</v>
      </c>
      <c r="G272" s="266">
        <v>0</v>
      </c>
      <c r="H272" s="266">
        <v>0</v>
      </c>
      <c r="I272" s="266">
        <v>0</v>
      </c>
      <c r="J272" s="266">
        <v>113219.89</v>
      </c>
      <c r="K272" s="266">
        <v>283860.46999999997</v>
      </c>
      <c r="L272" s="266">
        <v>38352.35</v>
      </c>
      <c r="M272" s="266">
        <v>24608.87</v>
      </c>
      <c r="N272" s="266">
        <v>677764.27</v>
      </c>
      <c r="O272" s="123">
        <v>3.1699999999999999E-2</v>
      </c>
      <c r="P272" s="123">
        <v>0.2107</v>
      </c>
      <c r="Q272" s="266">
        <v>0</v>
      </c>
      <c r="R272" s="266">
        <v>0</v>
      </c>
      <c r="S272" s="266">
        <v>0</v>
      </c>
      <c r="T272" s="266">
        <v>0</v>
      </c>
      <c r="U272" s="266">
        <v>0</v>
      </c>
      <c r="V272" s="266">
        <v>0</v>
      </c>
      <c r="W272" s="266">
        <v>0</v>
      </c>
      <c r="X272" s="266">
        <v>0</v>
      </c>
      <c r="Y272" s="266">
        <v>0</v>
      </c>
      <c r="Z272" s="266">
        <v>0</v>
      </c>
      <c r="AA272" s="266">
        <v>5618.9</v>
      </c>
      <c r="AB272" s="266">
        <v>0</v>
      </c>
      <c r="AC272" s="266">
        <v>113170.75</v>
      </c>
      <c r="AD272" s="266">
        <v>246849.93</v>
      </c>
      <c r="AE272" s="237">
        <v>29.96</v>
      </c>
      <c r="AF272" s="266">
        <v>233838.78</v>
      </c>
      <c r="AG272" s="237">
        <f t="shared" si="67"/>
        <v>7805.032710280374</v>
      </c>
      <c r="AH272" s="237">
        <f t="shared" si="68"/>
        <v>8239.3167556742319</v>
      </c>
      <c r="AI272" s="237">
        <f t="shared" si="69"/>
        <v>434.28404539385792</v>
      </c>
      <c r="AJ272" s="237">
        <v>13.76</v>
      </c>
      <c r="AK272" s="266">
        <v>103687.78</v>
      </c>
      <c r="AL272" s="237">
        <f t="shared" si="70"/>
        <v>7535.4491279069771</v>
      </c>
      <c r="AM272" s="237">
        <f t="shared" si="71"/>
        <v>8224.6184593023263</v>
      </c>
      <c r="AN272" s="237">
        <f t="shared" si="72"/>
        <v>689.16933139534922</v>
      </c>
      <c r="AO272" s="266">
        <v>0</v>
      </c>
      <c r="AP272" s="266">
        <v>1008.44</v>
      </c>
      <c r="AQ272" s="266">
        <v>0</v>
      </c>
      <c r="AR272" s="266">
        <v>0</v>
      </c>
      <c r="AS272" s="358">
        <v>35083.43</v>
      </c>
      <c r="AT272" s="371">
        <v>24179.019999999997</v>
      </c>
      <c r="AU272" s="373">
        <v>49493.319999999992</v>
      </c>
    </row>
    <row r="273" spans="1:47">
      <c r="A273" s="238" t="s">
        <v>587</v>
      </c>
      <c r="B273" s="238" t="s">
        <v>1542</v>
      </c>
      <c r="C273" s="266">
        <v>0</v>
      </c>
      <c r="D273" s="266">
        <v>0</v>
      </c>
      <c r="E273" s="266">
        <v>0</v>
      </c>
      <c r="F273" s="266">
        <v>0</v>
      </c>
      <c r="G273" s="266">
        <v>2994191.98</v>
      </c>
      <c r="H273" s="266">
        <v>727729.15</v>
      </c>
      <c r="I273" s="266">
        <v>220321.77</v>
      </c>
      <c r="J273" s="266">
        <v>440592.61</v>
      </c>
      <c r="K273" s="266">
        <v>731083.54</v>
      </c>
      <c r="L273" s="266">
        <v>386520.66</v>
      </c>
      <c r="M273" s="266">
        <v>62137.69</v>
      </c>
      <c r="N273" s="266">
        <v>1446164.56</v>
      </c>
      <c r="O273" s="123">
        <v>5.11E-2</v>
      </c>
      <c r="P273" s="123">
        <v>0.16370000000000001</v>
      </c>
      <c r="Q273" s="266">
        <v>0</v>
      </c>
      <c r="R273" s="266">
        <v>0</v>
      </c>
      <c r="S273" s="266">
        <v>0</v>
      </c>
      <c r="T273" s="266">
        <v>0</v>
      </c>
      <c r="U273" s="266">
        <v>0</v>
      </c>
      <c r="V273" s="266">
        <v>0</v>
      </c>
      <c r="W273" s="266">
        <v>0</v>
      </c>
      <c r="X273" s="266">
        <v>0</v>
      </c>
      <c r="Y273" s="266">
        <v>0</v>
      </c>
      <c r="Z273" s="266">
        <v>2196.67</v>
      </c>
      <c r="AA273" s="266">
        <v>0</v>
      </c>
      <c r="AB273" s="266">
        <v>118093.66</v>
      </c>
      <c r="AC273" s="266">
        <v>82932.350000000006</v>
      </c>
      <c r="AD273" s="266">
        <v>884070.72</v>
      </c>
      <c r="AE273" s="237">
        <v>93.51</v>
      </c>
      <c r="AF273" s="266">
        <v>821050.09</v>
      </c>
      <c r="AG273" s="237">
        <f t="shared" si="67"/>
        <v>8780.34531066196</v>
      </c>
      <c r="AH273" s="237">
        <f t="shared" si="68"/>
        <v>9454.2906641000955</v>
      </c>
      <c r="AI273" s="237">
        <f t="shared" si="69"/>
        <v>673.9453534381355</v>
      </c>
      <c r="AJ273" s="237">
        <v>8.94</v>
      </c>
      <c r="AK273" s="266">
        <v>75983.14</v>
      </c>
      <c r="AL273" s="237">
        <f t="shared" si="70"/>
        <v>8499.2326621923949</v>
      </c>
      <c r="AM273" s="237">
        <f t="shared" si="71"/>
        <v>9276.5492170022389</v>
      </c>
      <c r="AN273" s="237">
        <f t="shared" si="72"/>
        <v>777.31655480984409</v>
      </c>
      <c r="AO273" s="266">
        <v>0</v>
      </c>
      <c r="AP273" s="266">
        <v>0</v>
      </c>
      <c r="AQ273" s="266">
        <v>0</v>
      </c>
      <c r="AR273" s="266">
        <v>0</v>
      </c>
      <c r="AS273" s="358">
        <v>154232.43</v>
      </c>
      <c r="AT273" s="371">
        <v>7218.1300000000047</v>
      </c>
      <c r="AU273" s="373">
        <v>150885.29999999999</v>
      </c>
    </row>
    <row r="274" spans="1:47">
      <c r="A274" s="238" t="s">
        <v>1547</v>
      </c>
      <c r="B274" s="238" t="s">
        <v>1548</v>
      </c>
      <c r="C274" s="266">
        <v>42080.94</v>
      </c>
      <c r="D274" s="266">
        <v>0</v>
      </c>
      <c r="E274" s="266">
        <v>0</v>
      </c>
      <c r="F274" s="266">
        <v>0</v>
      </c>
      <c r="G274" s="266">
        <v>389704.62</v>
      </c>
      <c r="H274" s="266">
        <v>72143.39</v>
      </c>
      <c r="I274" s="266">
        <v>0</v>
      </c>
      <c r="J274" s="266">
        <v>0</v>
      </c>
      <c r="K274" s="266">
        <v>99883.85</v>
      </c>
      <c r="L274" s="266">
        <v>69814</v>
      </c>
      <c r="M274" s="266">
        <v>10264.31</v>
      </c>
      <c r="N274" s="266">
        <v>356708.5</v>
      </c>
      <c r="O274" s="123">
        <v>0.08</v>
      </c>
      <c r="P274" s="123">
        <v>0.1</v>
      </c>
      <c r="Q274" s="266">
        <v>0</v>
      </c>
      <c r="R274" s="266">
        <v>0</v>
      </c>
      <c r="S274" s="266">
        <v>0</v>
      </c>
      <c r="T274" s="266">
        <v>0</v>
      </c>
      <c r="U274" s="266">
        <v>0</v>
      </c>
      <c r="V274" s="266">
        <v>0</v>
      </c>
      <c r="W274" s="266">
        <v>0</v>
      </c>
      <c r="X274" s="266">
        <v>0</v>
      </c>
      <c r="Y274" s="266">
        <v>0</v>
      </c>
      <c r="Z274" s="266">
        <v>0</v>
      </c>
      <c r="AA274" s="266">
        <v>0</v>
      </c>
      <c r="AB274" s="266">
        <v>0</v>
      </c>
      <c r="AC274" s="266">
        <v>0</v>
      </c>
      <c r="AD274" s="266">
        <v>4315.53</v>
      </c>
      <c r="AE274" s="237">
        <v>0</v>
      </c>
      <c r="AF274" s="266">
        <v>0</v>
      </c>
      <c r="AG274" s="237">
        <f t="shared" si="67"/>
        <v>0</v>
      </c>
      <c r="AH274" s="237">
        <f t="shared" si="68"/>
        <v>0</v>
      </c>
      <c r="AI274" s="237">
        <f t="shared" si="69"/>
        <v>0</v>
      </c>
      <c r="AJ274" s="237">
        <v>0</v>
      </c>
      <c r="AK274" s="266">
        <v>0</v>
      </c>
      <c r="AL274" s="237">
        <f t="shared" si="70"/>
        <v>0</v>
      </c>
      <c r="AM274" s="237">
        <f t="shared" si="71"/>
        <v>0</v>
      </c>
      <c r="AN274" s="237">
        <f t="shared" si="72"/>
        <v>0</v>
      </c>
      <c r="AO274" s="266">
        <v>0</v>
      </c>
      <c r="AP274" s="266">
        <v>0</v>
      </c>
      <c r="AQ274" s="266">
        <v>0</v>
      </c>
      <c r="AR274" s="266">
        <v>0</v>
      </c>
      <c r="AS274" s="358">
        <v>0</v>
      </c>
      <c r="AT274" s="371">
        <v>11229.019999999999</v>
      </c>
      <c r="AU274" s="373">
        <v>20889.72</v>
      </c>
    </row>
    <row r="275" spans="1:47">
      <c r="A275" s="238" t="s">
        <v>633</v>
      </c>
      <c r="B275" s="238" t="s">
        <v>1549</v>
      </c>
      <c r="C275" s="266">
        <v>0</v>
      </c>
      <c r="D275" s="266">
        <v>0</v>
      </c>
      <c r="E275" s="266">
        <v>0</v>
      </c>
      <c r="F275" s="266">
        <v>1640.73</v>
      </c>
      <c r="G275" s="266">
        <v>65358.86</v>
      </c>
      <c r="H275" s="266">
        <v>5639.76</v>
      </c>
      <c r="I275" s="266">
        <v>0</v>
      </c>
      <c r="J275" s="266">
        <v>22033.52</v>
      </c>
      <c r="K275" s="266">
        <v>38534.83</v>
      </c>
      <c r="L275" s="266">
        <v>0</v>
      </c>
      <c r="M275" s="266">
        <v>1812.28</v>
      </c>
      <c r="N275" s="266">
        <v>0</v>
      </c>
      <c r="O275" s="123">
        <v>5.8700000000000002E-2</v>
      </c>
      <c r="P275" s="123">
        <v>0.2681</v>
      </c>
      <c r="Q275" s="266">
        <v>0</v>
      </c>
      <c r="R275" s="266">
        <v>0</v>
      </c>
      <c r="S275" s="266">
        <v>0</v>
      </c>
      <c r="T275" s="266">
        <v>0</v>
      </c>
      <c r="U275" s="266">
        <v>0</v>
      </c>
      <c r="V275" s="266">
        <v>0</v>
      </c>
      <c r="W275" s="266">
        <v>0</v>
      </c>
      <c r="X275" s="266">
        <v>0</v>
      </c>
      <c r="Y275" s="266">
        <v>0</v>
      </c>
      <c r="Z275" s="266">
        <v>0</v>
      </c>
      <c r="AA275" s="266">
        <v>0</v>
      </c>
      <c r="AB275" s="266">
        <v>0</v>
      </c>
      <c r="AC275" s="266">
        <v>0</v>
      </c>
      <c r="AD275" s="266">
        <v>0</v>
      </c>
      <c r="AE275" s="237">
        <v>0</v>
      </c>
      <c r="AF275" s="266">
        <v>0</v>
      </c>
      <c r="AG275" s="237">
        <f t="shared" si="67"/>
        <v>0</v>
      </c>
      <c r="AH275" s="237">
        <f t="shared" si="68"/>
        <v>0</v>
      </c>
      <c r="AI275" s="237">
        <f t="shared" si="69"/>
        <v>0</v>
      </c>
      <c r="AJ275" s="237">
        <v>0</v>
      </c>
      <c r="AK275" s="266">
        <v>0</v>
      </c>
      <c r="AL275" s="237">
        <f t="shared" si="70"/>
        <v>0</v>
      </c>
      <c r="AM275" s="237">
        <f t="shared" si="71"/>
        <v>0</v>
      </c>
      <c r="AN275" s="237">
        <f t="shared" si="72"/>
        <v>0</v>
      </c>
      <c r="AO275" s="266">
        <v>0</v>
      </c>
      <c r="AP275" s="266">
        <v>0</v>
      </c>
      <c r="AQ275" s="266">
        <v>0</v>
      </c>
      <c r="AR275" s="266">
        <v>0</v>
      </c>
      <c r="AS275" s="358">
        <v>0</v>
      </c>
      <c r="AT275" s="371">
        <v>101.68000000000029</v>
      </c>
      <c r="AU275" s="373">
        <v>4909.88</v>
      </c>
    </row>
    <row r="276" spans="1:47">
      <c r="A276" s="238" t="s">
        <v>1619</v>
      </c>
      <c r="B276" s="238" t="s">
        <v>1676</v>
      </c>
      <c r="C276" s="266">
        <v>0</v>
      </c>
      <c r="D276" s="266">
        <v>0</v>
      </c>
      <c r="E276" s="266">
        <v>0.14000000000000001</v>
      </c>
      <c r="F276" s="266">
        <v>0</v>
      </c>
      <c r="G276" s="266">
        <v>498895.68</v>
      </c>
      <c r="H276" s="266">
        <v>111275.24</v>
      </c>
      <c r="I276" s="266">
        <v>0</v>
      </c>
      <c r="J276" s="266">
        <v>0</v>
      </c>
      <c r="K276" s="266">
        <v>123392.4</v>
      </c>
      <c r="L276" s="266">
        <v>135623.18</v>
      </c>
      <c r="M276" s="266">
        <v>13685.75</v>
      </c>
      <c r="N276" s="266">
        <v>485892.78</v>
      </c>
      <c r="O276" s="123">
        <v>0.08</v>
      </c>
      <c r="P276" s="123">
        <v>0.1</v>
      </c>
      <c r="Q276" s="266">
        <v>0</v>
      </c>
      <c r="R276" s="266">
        <v>0</v>
      </c>
      <c r="S276" s="266">
        <v>0</v>
      </c>
      <c r="T276" s="266">
        <v>0</v>
      </c>
      <c r="U276" s="266">
        <v>0</v>
      </c>
      <c r="V276" s="266">
        <v>0</v>
      </c>
      <c r="W276" s="266">
        <v>0</v>
      </c>
      <c r="X276" s="266">
        <v>0</v>
      </c>
      <c r="Y276" s="266">
        <v>0</v>
      </c>
      <c r="Z276" s="266">
        <v>0</v>
      </c>
      <c r="AA276" s="266">
        <v>0</v>
      </c>
      <c r="AB276" s="266">
        <v>0</v>
      </c>
      <c r="AC276" s="266">
        <v>0</v>
      </c>
      <c r="AD276" s="266">
        <v>0</v>
      </c>
      <c r="AE276" s="237">
        <v>0</v>
      </c>
      <c r="AF276" s="266">
        <v>0</v>
      </c>
      <c r="AG276" s="237">
        <f t="shared" si="67"/>
        <v>0</v>
      </c>
      <c r="AH276" s="237">
        <f t="shared" si="68"/>
        <v>0</v>
      </c>
      <c r="AI276" s="237">
        <f t="shared" si="69"/>
        <v>0</v>
      </c>
      <c r="AJ276" s="237">
        <v>0</v>
      </c>
      <c r="AK276" s="266">
        <v>0</v>
      </c>
      <c r="AL276" s="237">
        <f t="shared" si="70"/>
        <v>0</v>
      </c>
      <c r="AM276" s="237">
        <f t="shared" si="71"/>
        <v>0</v>
      </c>
      <c r="AN276" s="237">
        <f t="shared" si="72"/>
        <v>0</v>
      </c>
      <c r="AO276" s="266">
        <v>0</v>
      </c>
      <c r="AP276" s="266">
        <v>0</v>
      </c>
      <c r="AQ276" s="266">
        <v>0</v>
      </c>
      <c r="AR276" s="266">
        <v>0</v>
      </c>
      <c r="AS276" s="358">
        <v>0</v>
      </c>
      <c r="AT276" s="371">
        <v>12389.9</v>
      </c>
      <c r="AU276" s="373">
        <v>31218.53</v>
      </c>
    </row>
    <row r="277" spans="1:47">
      <c r="A277" s="238" t="s">
        <v>1544</v>
      </c>
      <c r="B277" s="238" t="s">
        <v>1545</v>
      </c>
      <c r="C277" s="266">
        <v>0</v>
      </c>
      <c r="D277" s="266">
        <v>0</v>
      </c>
      <c r="E277" s="266">
        <v>0</v>
      </c>
      <c r="F277" s="266">
        <v>0</v>
      </c>
      <c r="G277" s="266">
        <v>200299.64</v>
      </c>
      <c r="H277" s="266">
        <v>45744.93</v>
      </c>
      <c r="I277" s="266">
        <v>0</v>
      </c>
      <c r="J277" s="266">
        <v>58060.9</v>
      </c>
      <c r="K277" s="266">
        <v>84193.57</v>
      </c>
      <c r="L277" s="266">
        <v>21804.74</v>
      </c>
      <c r="M277" s="266">
        <v>5268.69</v>
      </c>
      <c r="N277" s="266">
        <v>65349.75</v>
      </c>
      <c r="O277" s="123">
        <v>0.08</v>
      </c>
      <c r="P277" s="123">
        <v>0.1</v>
      </c>
      <c r="Q277" s="266">
        <v>0</v>
      </c>
      <c r="R277" s="266">
        <v>0</v>
      </c>
      <c r="S277" s="266">
        <v>0</v>
      </c>
      <c r="T277" s="266">
        <v>0</v>
      </c>
      <c r="U277" s="266">
        <v>0</v>
      </c>
      <c r="V277" s="266">
        <v>0</v>
      </c>
      <c r="W277" s="266">
        <v>0</v>
      </c>
      <c r="X277" s="266">
        <v>0</v>
      </c>
      <c r="Y277" s="266">
        <v>0</v>
      </c>
      <c r="Z277" s="266">
        <v>0</v>
      </c>
      <c r="AA277" s="266">
        <v>0</v>
      </c>
      <c r="AB277" s="266">
        <v>0</v>
      </c>
      <c r="AC277" s="266">
        <v>0</v>
      </c>
      <c r="AD277" s="266">
        <v>0</v>
      </c>
      <c r="AE277" s="237">
        <v>0</v>
      </c>
      <c r="AF277" s="266">
        <v>0</v>
      </c>
      <c r="AG277" s="237">
        <f t="shared" si="67"/>
        <v>0</v>
      </c>
      <c r="AH277" s="237">
        <f t="shared" si="68"/>
        <v>0</v>
      </c>
      <c r="AI277" s="237">
        <f t="shared" si="69"/>
        <v>0</v>
      </c>
      <c r="AJ277" s="237">
        <v>0</v>
      </c>
      <c r="AK277" s="266">
        <v>0</v>
      </c>
      <c r="AL277" s="237">
        <f t="shared" si="70"/>
        <v>0</v>
      </c>
      <c r="AM277" s="237">
        <f t="shared" si="71"/>
        <v>0</v>
      </c>
      <c r="AN277" s="237">
        <f t="shared" si="72"/>
        <v>0</v>
      </c>
      <c r="AO277" s="266">
        <v>0</v>
      </c>
      <c r="AP277" s="266">
        <v>0</v>
      </c>
      <c r="AQ277" s="266">
        <v>0</v>
      </c>
      <c r="AR277" s="266">
        <v>0</v>
      </c>
      <c r="AS277" s="358">
        <v>0</v>
      </c>
      <c r="AT277" s="371">
        <v>7084.1899999999987</v>
      </c>
      <c r="AU277" s="373">
        <v>14517.61</v>
      </c>
    </row>
    <row r="278" spans="1:47">
      <c r="A278" s="238" t="s">
        <v>518</v>
      </c>
      <c r="B278" s="238" t="s">
        <v>1550</v>
      </c>
      <c r="C278" s="266">
        <v>0</v>
      </c>
      <c r="D278" s="266">
        <v>0</v>
      </c>
      <c r="E278" s="266">
        <v>180471.92</v>
      </c>
      <c r="F278" s="266">
        <v>12589.73</v>
      </c>
      <c r="G278" s="266">
        <v>12211781.75</v>
      </c>
      <c r="H278" s="266">
        <v>2345555.34</v>
      </c>
      <c r="I278" s="266">
        <v>426615.71</v>
      </c>
      <c r="J278" s="266">
        <v>281558.43</v>
      </c>
      <c r="K278" s="266">
        <v>1890719.73</v>
      </c>
      <c r="L278" s="266">
        <v>646081.4</v>
      </c>
      <c r="M278" s="266">
        <v>300841.82</v>
      </c>
      <c r="N278" s="266">
        <v>4959687.72</v>
      </c>
      <c r="O278" s="123">
        <v>3.5999999999999997E-2</v>
      </c>
      <c r="P278" s="123">
        <v>0.14430000000000001</v>
      </c>
      <c r="Q278" s="266">
        <v>0</v>
      </c>
      <c r="R278" s="266">
        <v>0</v>
      </c>
      <c r="S278" s="266">
        <v>0</v>
      </c>
      <c r="T278" s="266">
        <v>0</v>
      </c>
      <c r="U278" s="266">
        <v>0</v>
      </c>
      <c r="V278" s="266">
        <v>0</v>
      </c>
      <c r="W278" s="266">
        <v>0</v>
      </c>
      <c r="X278" s="266">
        <v>0</v>
      </c>
      <c r="Y278" s="266">
        <v>0</v>
      </c>
      <c r="Z278" s="266">
        <v>7305.76</v>
      </c>
      <c r="AA278" s="266">
        <v>797.64</v>
      </c>
      <c r="AB278" s="266">
        <v>309788.40000000002</v>
      </c>
      <c r="AC278" s="266">
        <v>973982.74</v>
      </c>
      <c r="AD278" s="266">
        <v>4169306.05</v>
      </c>
      <c r="AE278" s="237">
        <v>445.94</v>
      </c>
      <c r="AF278" s="266">
        <v>3770041.48</v>
      </c>
      <c r="AG278" s="237">
        <f t="shared" si="67"/>
        <v>8454.1451316320581</v>
      </c>
      <c r="AH278" s="237">
        <f t="shared" si="68"/>
        <v>9349.4776203076635</v>
      </c>
      <c r="AI278" s="237">
        <f t="shared" si="69"/>
        <v>895.33248867560542</v>
      </c>
      <c r="AJ278" s="237">
        <v>109.09</v>
      </c>
      <c r="AK278" s="266">
        <v>892071.49</v>
      </c>
      <c r="AL278" s="237">
        <f t="shared" si="70"/>
        <v>8177.3901365844713</v>
      </c>
      <c r="AM278" s="237">
        <f t="shared" si="71"/>
        <v>8928.2495187459899</v>
      </c>
      <c r="AN278" s="237">
        <f t="shared" si="72"/>
        <v>750.85938216151862</v>
      </c>
      <c r="AO278" s="266">
        <v>0</v>
      </c>
      <c r="AP278" s="266">
        <v>0</v>
      </c>
      <c r="AQ278" s="266">
        <v>0</v>
      </c>
      <c r="AR278" s="266">
        <v>0</v>
      </c>
      <c r="AS278" s="358">
        <v>0</v>
      </c>
      <c r="AT278" s="371">
        <v>0</v>
      </c>
      <c r="AU278" s="373">
        <v>656292.27000000014</v>
      </c>
    </row>
    <row r="279" spans="1:47">
      <c r="A279" s="238" t="s">
        <v>727</v>
      </c>
      <c r="B279" s="238" t="s">
        <v>1551</v>
      </c>
      <c r="C279" s="266">
        <v>0</v>
      </c>
      <c r="D279" s="266">
        <v>0</v>
      </c>
      <c r="E279" s="266">
        <v>16383.02</v>
      </c>
      <c r="F279" s="266">
        <v>141557.48000000001</v>
      </c>
      <c r="G279" s="266">
        <v>7923539.5800000001</v>
      </c>
      <c r="H279" s="266">
        <v>2111907.77</v>
      </c>
      <c r="I279" s="266">
        <v>306335.23</v>
      </c>
      <c r="J279" s="266">
        <v>1868843.5</v>
      </c>
      <c r="K279" s="266">
        <v>3462220.28</v>
      </c>
      <c r="L279" s="266">
        <v>3226555.52</v>
      </c>
      <c r="M279" s="266">
        <v>183040.4</v>
      </c>
      <c r="N279" s="266">
        <v>3086261.73</v>
      </c>
      <c r="O279" s="123">
        <v>6.5799999999999997E-2</v>
      </c>
      <c r="P279" s="123">
        <v>0.19059999999999999</v>
      </c>
      <c r="Q279" s="266">
        <v>0</v>
      </c>
      <c r="R279" s="266">
        <v>0</v>
      </c>
      <c r="S279" s="266">
        <v>0</v>
      </c>
      <c r="T279" s="266">
        <v>0</v>
      </c>
      <c r="U279" s="266">
        <v>0</v>
      </c>
      <c r="V279" s="266">
        <v>0</v>
      </c>
      <c r="W279" s="266">
        <v>0</v>
      </c>
      <c r="X279" s="266">
        <v>0</v>
      </c>
      <c r="Y279" s="266">
        <v>0</v>
      </c>
      <c r="Z279" s="266">
        <v>540.11</v>
      </c>
      <c r="AA279" s="266">
        <v>0</v>
      </c>
      <c r="AB279" s="266">
        <v>201429.76000000001</v>
      </c>
      <c r="AC279" s="266">
        <v>0</v>
      </c>
      <c r="AD279" s="266">
        <v>2153900.61</v>
      </c>
      <c r="AE279" s="237">
        <v>255.88</v>
      </c>
      <c r="AF279" s="266">
        <v>1996755.47</v>
      </c>
      <c r="AG279" s="237">
        <f t="shared" si="67"/>
        <v>7803.4839377833359</v>
      </c>
      <c r="AH279" s="237">
        <f t="shared" si="68"/>
        <v>8417.6200171955606</v>
      </c>
      <c r="AI279" s="237">
        <f t="shared" si="69"/>
        <v>614.13607941222472</v>
      </c>
      <c r="AJ279" s="237">
        <v>0</v>
      </c>
      <c r="AK279" s="266">
        <v>0</v>
      </c>
      <c r="AL279" s="237">
        <f t="shared" si="70"/>
        <v>0</v>
      </c>
      <c r="AM279" s="237">
        <f t="shared" si="71"/>
        <v>0</v>
      </c>
      <c r="AN279" s="237">
        <f t="shared" si="72"/>
        <v>0</v>
      </c>
      <c r="AO279" s="266">
        <v>4953.7700000000004</v>
      </c>
      <c r="AP279" s="266">
        <v>0</v>
      </c>
      <c r="AQ279" s="266">
        <v>0</v>
      </c>
      <c r="AR279" s="266">
        <v>0</v>
      </c>
      <c r="AS279" s="358">
        <v>326504.17</v>
      </c>
      <c r="AT279" s="371">
        <v>15491.98000000004</v>
      </c>
      <c r="AU279" s="373">
        <v>459427.4</v>
      </c>
    </row>
    <row r="280" spans="1:47">
      <c r="A280" s="238" t="s">
        <v>1239</v>
      </c>
      <c r="B280" s="238" t="s">
        <v>1552</v>
      </c>
      <c r="C280" s="266">
        <v>8879.2099999999991</v>
      </c>
      <c r="D280" s="266">
        <v>0</v>
      </c>
      <c r="E280" s="266">
        <v>3749.64</v>
      </c>
      <c r="F280" s="266">
        <v>0</v>
      </c>
      <c r="G280" s="266">
        <v>97514.82</v>
      </c>
      <c r="H280" s="266">
        <v>20220.38</v>
      </c>
      <c r="I280" s="266">
        <v>0</v>
      </c>
      <c r="J280" s="266">
        <v>26267.8</v>
      </c>
      <c r="K280" s="266">
        <v>33110.68</v>
      </c>
      <c r="L280" s="266">
        <v>0</v>
      </c>
      <c r="M280" s="266">
        <v>0</v>
      </c>
      <c r="N280" s="266">
        <v>68769.66</v>
      </c>
      <c r="O280" s="123">
        <v>0</v>
      </c>
      <c r="P280" s="123">
        <v>0</v>
      </c>
      <c r="Q280" s="266">
        <v>0</v>
      </c>
      <c r="R280" s="266">
        <v>0</v>
      </c>
      <c r="S280" s="266">
        <v>0</v>
      </c>
      <c r="T280" s="266">
        <v>0</v>
      </c>
      <c r="U280" s="266">
        <v>0</v>
      </c>
      <c r="V280" s="266">
        <v>0</v>
      </c>
      <c r="W280" s="266">
        <v>0</v>
      </c>
      <c r="X280" s="266">
        <v>0</v>
      </c>
      <c r="Y280" s="266">
        <v>0</v>
      </c>
      <c r="Z280" s="266">
        <v>0</v>
      </c>
      <c r="AA280" s="266">
        <v>0</v>
      </c>
      <c r="AB280" s="266">
        <v>0</v>
      </c>
      <c r="AC280" s="266">
        <v>0</v>
      </c>
      <c r="AD280" s="266">
        <v>29484.23</v>
      </c>
      <c r="AE280" s="237">
        <v>3.18</v>
      </c>
      <c r="AF280" s="266">
        <v>27958.18</v>
      </c>
      <c r="AG280" s="237">
        <f t="shared" si="67"/>
        <v>8791.8805031446536</v>
      </c>
      <c r="AH280" s="237">
        <f t="shared" si="68"/>
        <v>9271.7704402515719</v>
      </c>
      <c r="AI280" s="237">
        <f t="shared" si="69"/>
        <v>479.8899371069183</v>
      </c>
      <c r="AJ280" s="237">
        <v>0</v>
      </c>
      <c r="AK280" s="266">
        <v>0</v>
      </c>
      <c r="AL280" s="237">
        <f t="shared" si="70"/>
        <v>0</v>
      </c>
      <c r="AM280" s="237">
        <f t="shared" si="71"/>
        <v>0</v>
      </c>
      <c r="AN280" s="237">
        <f t="shared" si="72"/>
        <v>0</v>
      </c>
      <c r="AO280" s="266">
        <v>0</v>
      </c>
      <c r="AP280" s="266">
        <v>0</v>
      </c>
      <c r="AQ280" s="266">
        <v>0</v>
      </c>
      <c r="AR280" s="266">
        <v>0</v>
      </c>
      <c r="AS280" s="358">
        <v>0</v>
      </c>
      <c r="AT280" s="371">
        <v>7231.19</v>
      </c>
      <c r="AU280" s="373">
        <v>14907.71</v>
      </c>
    </row>
    <row r="281" spans="1:47">
      <c r="A281" s="238" t="s">
        <v>512</v>
      </c>
      <c r="B281" s="238" t="s">
        <v>1553</v>
      </c>
      <c r="C281" s="266">
        <v>0</v>
      </c>
      <c r="D281" s="266">
        <v>0</v>
      </c>
      <c r="E281" s="266">
        <v>287324.68</v>
      </c>
      <c r="F281" s="266">
        <v>540331.61</v>
      </c>
      <c r="G281" s="266">
        <v>42523965.350000001</v>
      </c>
      <c r="H281" s="266">
        <v>9228029.5399999991</v>
      </c>
      <c r="I281" s="266">
        <v>2307899.2799999998</v>
      </c>
      <c r="J281" s="266">
        <v>5534119.7000000002</v>
      </c>
      <c r="K281" s="266">
        <v>10974772.939999999</v>
      </c>
      <c r="L281" s="266">
        <v>5416253.8099999996</v>
      </c>
      <c r="M281" s="266">
        <v>860692.13</v>
      </c>
      <c r="N281" s="266">
        <v>14284957.01</v>
      </c>
      <c r="O281" s="123">
        <v>5.4199999999999998E-2</v>
      </c>
      <c r="P281" s="123">
        <v>0.1603</v>
      </c>
      <c r="Q281" s="266">
        <v>0</v>
      </c>
      <c r="R281" s="266">
        <v>0</v>
      </c>
      <c r="S281" s="266">
        <v>0</v>
      </c>
      <c r="T281" s="266">
        <v>304952.69</v>
      </c>
      <c r="U281" s="266">
        <v>0</v>
      </c>
      <c r="V281" s="266">
        <v>11711.26</v>
      </c>
      <c r="W281" s="266">
        <v>0</v>
      </c>
      <c r="X281" s="266">
        <v>0</v>
      </c>
      <c r="Y281" s="266">
        <v>0</v>
      </c>
      <c r="Z281" s="266">
        <v>0</v>
      </c>
      <c r="AA281" s="266">
        <v>205289.51</v>
      </c>
      <c r="AB281" s="266">
        <v>0</v>
      </c>
      <c r="AC281" s="266">
        <v>2817747.66</v>
      </c>
      <c r="AD281" s="266">
        <v>14025510.029999999</v>
      </c>
      <c r="AE281" s="237">
        <v>1551.83</v>
      </c>
      <c r="AF281" s="266">
        <v>13119514.52</v>
      </c>
      <c r="AG281" s="237">
        <f t="shared" si="67"/>
        <v>8454.2214804456671</v>
      </c>
      <c r="AH281" s="237">
        <f t="shared" si="68"/>
        <v>9038.0454237899776</v>
      </c>
      <c r="AI281" s="237">
        <f t="shared" si="69"/>
        <v>583.82394334431046</v>
      </c>
      <c r="AJ281" s="237">
        <v>315.61</v>
      </c>
      <c r="AK281" s="266">
        <v>2580893.2200000002</v>
      </c>
      <c r="AL281" s="237">
        <f t="shared" si="70"/>
        <v>8177.4760622287004</v>
      </c>
      <c r="AM281" s="237">
        <f t="shared" si="71"/>
        <v>8927.9416368302645</v>
      </c>
      <c r="AN281" s="237">
        <f t="shared" si="72"/>
        <v>750.46557460156419</v>
      </c>
      <c r="AO281" s="266">
        <v>0</v>
      </c>
      <c r="AP281" s="266">
        <v>0</v>
      </c>
      <c r="AQ281" s="266">
        <v>0</v>
      </c>
      <c r="AR281" s="266">
        <v>0</v>
      </c>
      <c r="AS281" s="358">
        <v>493003.46</v>
      </c>
      <c r="AT281" s="371">
        <v>0</v>
      </c>
      <c r="AU281" s="373">
        <v>2095808.63</v>
      </c>
    </row>
    <row r="282" spans="1:47">
      <c r="A282" s="238" t="s">
        <v>311</v>
      </c>
      <c r="B282" s="238" t="s">
        <v>1554</v>
      </c>
      <c r="C282" s="266">
        <v>0</v>
      </c>
      <c r="D282" s="266">
        <v>0</v>
      </c>
      <c r="E282" s="266">
        <v>0</v>
      </c>
      <c r="F282" s="266">
        <v>3851.45</v>
      </c>
      <c r="G282" s="266">
        <v>206361.48</v>
      </c>
      <c r="H282" s="266">
        <v>31222.43</v>
      </c>
      <c r="I282" s="266">
        <v>0</v>
      </c>
      <c r="J282" s="266">
        <v>48263.92</v>
      </c>
      <c r="K282" s="266">
        <v>81361.88</v>
      </c>
      <c r="L282" s="266">
        <v>0</v>
      </c>
      <c r="M282" s="266">
        <v>0</v>
      </c>
      <c r="N282" s="266">
        <v>111787.98</v>
      </c>
      <c r="O282" s="123">
        <v>0.12909999999999999</v>
      </c>
      <c r="P282" s="123">
        <v>0.39029999999999998</v>
      </c>
      <c r="Q282" s="266">
        <v>0</v>
      </c>
      <c r="R282" s="266">
        <v>0</v>
      </c>
      <c r="S282" s="266">
        <v>0</v>
      </c>
      <c r="T282" s="266">
        <v>0</v>
      </c>
      <c r="U282" s="266">
        <v>0</v>
      </c>
      <c r="V282" s="266">
        <v>0</v>
      </c>
      <c r="W282" s="266">
        <v>0</v>
      </c>
      <c r="X282" s="266">
        <v>0</v>
      </c>
      <c r="Y282" s="266">
        <v>0</v>
      </c>
      <c r="Z282" s="266">
        <v>0</v>
      </c>
      <c r="AA282" s="266">
        <v>0</v>
      </c>
      <c r="AB282" s="266">
        <v>0</v>
      </c>
      <c r="AC282" s="266">
        <v>0</v>
      </c>
      <c r="AD282" s="266">
        <v>56423.21</v>
      </c>
      <c r="AE282" s="237">
        <v>6.85</v>
      </c>
      <c r="AF282" s="266">
        <v>53334.16</v>
      </c>
      <c r="AG282" s="237">
        <f t="shared" si="67"/>
        <v>7786.0087591240881</v>
      </c>
      <c r="AH282" s="237">
        <f t="shared" si="68"/>
        <v>8236.9649635036494</v>
      </c>
      <c r="AI282" s="237">
        <f t="shared" si="69"/>
        <v>450.95620437956131</v>
      </c>
      <c r="AJ282" s="237">
        <v>0</v>
      </c>
      <c r="AK282" s="266">
        <v>0</v>
      </c>
      <c r="AL282" s="237">
        <f t="shared" si="70"/>
        <v>0</v>
      </c>
      <c r="AM282" s="237">
        <f t="shared" si="71"/>
        <v>0</v>
      </c>
      <c r="AN282" s="237">
        <f t="shared" si="72"/>
        <v>0</v>
      </c>
      <c r="AO282" s="266">
        <v>0</v>
      </c>
      <c r="AP282" s="266">
        <v>200.57</v>
      </c>
      <c r="AQ282" s="266">
        <v>0</v>
      </c>
      <c r="AR282" s="266">
        <v>0</v>
      </c>
      <c r="AS282" s="358">
        <v>19460.82</v>
      </c>
      <c r="AT282" s="371">
        <v>0</v>
      </c>
      <c r="AU282" s="373">
        <v>16425.97</v>
      </c>
    </row>
    <row r="283" spans="1:47">
      <c r="A283" s="238" t="s">
        <v>364</v>
      </c>
      <c r="B283" s="238" t="s">
        <v>1555</v>
      </c>
      <c r="C283" s="266">
        <v>0</v>
      </c>
      <c r="D283" s="266">
        <v>0</v>
      </c>
      <c r="E283" s="266">
        <v>0</v>
      </c>
      <c r="F283" s="266">
        <v>0</v>
      </c>
      <c r="G283" s="266">
        <v>12043051.26</v>
      </c>
      <c r="H283" s="266">
        <v>2357729.61</v>
      </c>
      <c r="I283" s="266">
        <v>950466.77</v>
      </c>
      <c r="J283" s="266">
        <v>0</v>
      </c>
      <c r="K283" s="266">
        <v>812828.77</v>
      </c>
      <c r="L283" s="266">
        <v>517417.07</v>
      </c>
      <c r="M283" s="266">
        <v>292845.71000000002</v>
      </c>
      <c r="N283" s="266">
        <v>4595401.46</v>
      </c>
      <c r="O283" s="123">
        <v>2.47E-2</v>
      </c>
      <c r="P283" s="123">
        <v>0.16470000000000001</v>
      </c>
      <c r="Q283" s="266">
        <v>0</v>
      </c>
      <c r="R283" s="266">
        <v>0</v>
      </c>
      <c r="S283" s="266">
        <v>0</v>
      </c>
      <c r="T283" s="266">
        <v>0</v>
      </c>
      <c r="U283" s="266">
        <v>0</v>
      </c>
      <c r="V283" s="266">
        <v>0</v>
      </c>
      <c r="W283" s="266">
        <v>0</v>
      </c>
      <c r="X283" s="266">
        <v>0</v>
      </c>
      <c r="Y283" s="266">
        <v>0</v>
      </c>
      <c r="Z283" s="266">
        <v>10236.85</v>
      </c>
      <c r="AA283" s="266">
        <v>32122.16</v>
      </c>
      <c r="AB283" s="266">
        <v>429713.32</v>
      </c>
      <c r="AC283" s="266">
        <v>366111.61</v>
      </c>
      <c r="AD283" s="266">
        <v>4856066.41</v>
      </c>
      <c r="AE283" s="237">
        <v>478.44</v>
      </c>
      <c r="AF283" s="266">
        <v>4275213.74</v>
      </c>
      <c r="AG283" s="237">
        <f t="shared" si="67"/>
        <v>8935.7364350806802</v>
      </c>
      <c r="AH283" s="237">
        <f t="shared" si="68"/>
        <v>10149.791844327397</v>
      </c>
      <c r="AI283" s="237">
        <f t="shared" si="69"/>
        <v>1214.0554092467173</v>
      </c>
      <c r="AJ283" s="237">
        <v>38.729999999999997</v>
      </c>
      <c r="AK283" s="266">
        <v>335044.44</v>
      </c>
      <c r="AL283" s="237">
        <f t="shared" si="70"/>
        <v>8650.7730441518215</v>
      </c>
      <c r="AM283" s="237">
        <f t="shared" si="71"/>
        <v>9452.9204750839144</v>
      </c>
      <c r="AN283" s="237">
        <f t="shared" si="72"/>
        <v>802.1474309320929</v>
      </c>
      <c r="AO283" s="266">
        <v>255.65</v>
      </c>
      <c r="AP283" s="266">
        <v>0</v>
      </c>
      <c r="AQ283" s="266">
        <v>0</v>
      </c>
      <c r="AR283" s="266">
        <v>0</v>
      </c>
      <c r="AS283" s="358">
        <v>334379.77</v>
      </c>
      <c r="AT283" s="371">
        <v>18956.100000000035</v>
      </c>
      <c r="AU283" s="373">
        <v>625712.98</v>
      </c>
    </row>
    <row r="284" spans="1:47">
      <c r="A284" s="238" t="s">
        <v>692</v>
      </c>
      <c r="B284" s="238" t="s">
        <v>1556</v>
      </c>
      <c r="C284" s="266">
        <v>0</v>
      </c>
      <c r="D284" s="266">
        <v>0</v>
      </c>
      <c r="E284" s="266">
        <v>0</v>
      </c>
      <c r="F284" s="266">
        <v>0</v>
      </c>
      <c r="G284" s="266">
        <v>254655.21</v>
      </c>
      <c r="H284" s="266">
        <v>48336.08</v>
      </c>
      <c r="I284" s="266">
        <v>3300.59</v>
      </c>
      <c r="J284" s="266">
        <v>56750.59</v>
      </c>
      <c r="K284" s="266">
        <v>72936.850000000006</v>
      </c>
      <c r="L284" s="266">
        <v>1742.26</v>
      </c>
      <c r="M284" s="266">
        <v>5724.4</v>
      </c>
      <c r="N284" s="266">
        <v>153352.10999999999</v>
      </c>
      <c r="O284" s="123">
        <v>6.8400000000000002E-2</v>
      </c>
      <c r="P284" s="123">
        <v>0.23150000000000001</v>
      </c>
      <c r="Q284" s="266">
        <v>0</v>
      </c>
      <c r="R284" s="266">
        <v>0</v>
      </c>
      <c r="S284" s="266">
        <v>0</v>
      </c>
      <c r="T284" s="266">
        <v>0</v>
      </c>
      <c r="U284" s="266">
        <v>0</v>
      </c>
      <c r="V284" s="266">
        <v>0</v>
      </c>
      <c r="W284" s="266">
        <v>0</v>
      </c>
      <c r="X284" s="266">
        <v>0</v>
      </c>
      <c r="Y284" s="266">
        <v>0</v>
      </c>
      <c r="Z284" s="266">
        <v>0</v>
      </c>
      <c r="AA284" s="266">
        <v>0</v>
      </c>
      <c r="AB284" s="266">
        <v>0</v>
      </c>
      <c r="AC284" s="266">
        <v>17393.669999999998</v>
      </c>
      <c r="AD284" s="266">
        <v>142935.01999999999</v>
      </c>
      <c r="AE284" s="237">
        <v>16.989999999999998</v>
      </c>
      <c r="AF284" s="266">
        <v>135088.66</v>
      </c>
      <c r="AG284" s="237">
        <f t="shared" si="67"/>
        <v>7951.0688640376702</v>
      </c>
      <c r="AH284" s="237">
        <f t="shared" si="68"/>
        <v>8412.8911124190709</v>
      </c>
      <c r="AI284" s="237">
        <f t="shared" si="69"/>
        <v>461.82224838140064</v>
      </c>
      <c r="AJ284" s="237">
        <v>2.0699999999999998</v>
      </c>
      <c r="AK284" s="266">
        <v>15895.27</v>
      </c>
      <c r="AL284" s="237">
        <f t="shared" si="70"/>
        <v>7678.8743961352666</v>
      </c>
      <c r="AM284" s="237">
        <f t="shared" si="71"/>
        <v>8402.7391304347821</v>
      </c>
      <c r="AN284" s="237">
        <f t="shared" si="72"/>
        <v>723.86473429951548</v>
      </c>
      <c r="AO284" s="266">
        <v>0</v>
      </c>
      <c r="AP284" s="266">
        <v>0</v>
      </c>
      <c r="AQ284" s="266">
        <v>0</v>
      </c>
      <c r="AR284" s="266">
        <v>0</v>
      </c>
      <c r="AS284" s="358">
        <v>27594.6</v>
      </c>
      <c r="AT284" s="371">
        <v>321.4900000000016</v>
      </c>
      <c r="AU284" s="373">
        <v>19172.870000000003</v>
      </c>
    </row>
    <row r="285" spans="1:47">
      <c r="A285" s="238" t="s">
        <v>657</v>
      </c>
      <c r="B285" s="238" t="s">
        <v>1557</v>
      </c>
      <c r="C285" s="266">
        <v>0</v>
      </c>
      <c r="D285" s="266">
        <v>0</v>
      </c>
      <c r="E285" s="266">
        <v>0</v>
      </c>
      <c r="F285" s="266">
        <v>0</v>
      </c>
      <c r="G285" s="266">
        <v>1717640.38</v>
      </c>
      <c r="H285" s="266">
        <v>455117.04</v>
      </c>
      <c r="I285" s="266">
        <v>68974.91</v>
      </c>
      <c r="J285" s="266">
        <v>252479.4</v>
      </c>
      <c r="K285" s="266">
        <v>370659.21</v>
      </c>
      <c r="L285" s="266">
        <v>18802.009999999998</v>
      </c>
      <c r="M285" s="266">
        <v>35864.089999999997</v>
      </c>
      <c r="N285" s="266">
        <v>1028315.78</v>
      </c>
      <c r="O285" s="123">
        <v>2.4299999999999999E-2</v>
      </c>
      <c r="P285" s="123">
        <v>0.19070000000000001</v>
      </c>
      <c r="Q285" s="266">
        <v>0</v>
      </c>
      <c r="R285" s="266">
        <v>0</v>
      </c>
      <c r="S285" s="266">
        <v>0</v>
      </c>
      <c r="T285" s="266">
        <v>0</v>
      </c>
      <c r="U285" s="266">
        <v>0</v>
      </c>
      <c r="V285" s="266">
        <v>0</v>
      </c>
      <c r="W285" s="266">
        <v>0</v>
      </c>
      <c r="X285" s="266">
        <v>0</v>
      </c>
      <c r="Y285" s="266">
        <v>0</v>
      </c>
      <c r="Z285" s="266">
        <v>1474.33</v>
      </c>
      <c r="AA285" s="266">
        <v>21575.82</v>
      </c>
      <c r="AB285" s="266">
        <v>22235.08</v>
      </c>
      <c r="AC285" s="266">
        <v>183098.23</v>
      </c>
      <c r="AD285" s="266">
        <v>494854.35</v>
      </c>
      <c r="AE285" s="237">
        <v>57.19</v>
      </c>
      <c r="AF285" s="266">
        <v>446238.31</v>
      </c>
      <c r="AG285" s="237">
        <f t="shared" si="67"/>
        <v>7802.7331701346393</v>
      </c>
      <c r="AH285" s="237">
        <f t="shared" si="68"/>
        <v>8652.8125546424199</v>
      </c>
      <c r="AI285" s="237">
        <f t="shared" si="69"/>
        <v>850.07938450778056</v>
      </c>
      <c r="AJ285" s="237">
        <v>22.26</v>
      </c>
      <c r="AK285" s="266">
        <v>167712.59</v>
      </c>
      <c r="AL285" s="237">
        <f t="shared" si="70"/>
        <v>7534.258310871518</v>
      </c>
      <c r="AM285" s="237">
        <f t="shared" si="71"/>
        <v>8225.437106918238</v>
      </c>
      <c r="AN285" s="237">
        <f t="shared" si="72"/>
        <v>691.17879604671998</v>
      </c>
      <c r="AO285" s="266">
        <v>110.17</v>
      </c>
      <c r="AP285" s="266">
        <v>0</v>
      </c>
      <c r="AQ285" s="266">
        <v>0</v>
      </c>
      <c r="AR285" s="266">
        <v>0</v>
      </c>
      <c r="AS285" s="358">
        <v>0</v>
      </c>
      <c r="AT285" s="371">
        <v>4418.8899999999994</v>
      </c>
      <c r="AU285" s="373">
        <v>83276.58</v>
      </c>
    </row>
    <row r="286" spans="1:47">
      <c r="A286" s="238" t="s">
        <v>391</v>
      </c>
      <c r="B286" s="238" t="s">
        <v>1558</v>
      </c>
      <c r="C286" s="266">
        <v>0</v>
      </c>
      <c r="D286" s="266">
        <v>0</v>
      </c>
      <c r="E286" s="266">
        <v>4475.9399999999996</v>
      </c>
      <c r="F286" s="266">
        <v>0</v>
      </c>
      <c r="G286" s="266">
        <v>282796.84000000003</v>
      </c>
      <c r="H286" s="266">
        <v>34167.599999999999</v>
      </c>
      <c r="I286" s="266">
        <v>19665.28</v>
      </c>
      <c r="J286" s="266">
        <v>0</v>
      </c>
      <c r="K286" s="266">
        <v>55226.89</v>
      </c>
      <c r="L286" s="266">
        <v>0</v>
      </c>
      <c r="M286" s="266">
        <v>6104.52</v>
      </c>
      <c r="N286" s="266">
        <v>137417.76</v>
      </c>
      <c r="O286" s="123">
        <v>9.9099999999999994E-2</v>
      </c>
      <c r="P286" s="123">
        <v>0.34789999999999999</v>
      </c>
      <c r="Q286" s="266">
        <v>0</v>
      </c>
      <c r="R286" s="266">
        <v>0</v>
      </c>
      <c r="S286" s="266">
        <v>0</v>
      </c>
      <c r="T286" s="266">
        <v>0</v>
      </c>
      <c r="U286" s="266">
        <v>0</v>
      </c>
      <c r="V286" s="266">
        <v>0</v>
      </c>
      <c r="W286" s="266">
        <v>0</v>
      </c>
      <c r="X286" s="266">
        <v>0</v>
      </c>
      <c r="Y286" s="266">
        <v>0</v>
      </c>
      <c r="Z286" s="266">
        <v>0</v>
      </c>
      <c r="AA286" s="266">
        <v>0</v>
      </c>
      <c r="AB286" s="266">
        <v>0</v>
      </c>
      <c r="AC286" s="266">
        <v>17346.38</v>
      </c>
      <c r="AD286" s="266">
        <v>79145.460000000006</v>
      </c>
      <c r="AE286" s="237">
        <v>9.6</v>
      </c>
      <c r="AF286" s="266">
        <v>74973.52</v>
      </c>
      <c r="AG286" s="237">
        <f t="shared" si="67"/>
        <v>7809.7416666666677</v>
      </c>
      <c r="AH286" s="237">
        <f t="shared" si="68"/>
        <v>8244.3187500000004</v>
      </c>
      <c r="AI286" s="237">
        <f t="shared" si="69"/>
        <v>434.57708333333267</v>
      </c>
      <c r="AJ286" s="237">
        <v>2.11</v>
      </c>
      <c r="AK286" s="266">
        <v>16029.99</v>
      </c>
      <c r="AL286" s="237">
        <f t="shared" si="70"/>
        <v>7597.1516587677725</v>
      </c>
      <c r="AM286" s="237">
        <f t="shared" si="71"/>
        <v>8221.033175355451</v>
      </c>
      <c r="AN286" s="237">
        <f t="shared" si="72"/>
        <v>623.88151658767856</v>
      </c>
      <c r="AO286" s="266">
        <v>0</v>
      </c>
      <c r="AP286" s="266">
        <v>0</v>
      </c>
      <c r="AQ286" s="266">
        <v>0</v>
      </c>
      <c r="AR286" s="266">
        <v>0</v>
      </c>
      <c r="AS286" s="358">
        <v>16809.810000000001</v>
      </c>
      <c r="AT286" s="371">
        <v>0</v>
      </c>
      <c r="AU286" s="373">
        <v>19929.310000000001</v>
      </c>
    </row>
    <row r="287" spans="1:47">
      <c r="A287" s="238" t="s">
        <v>433</v>
      </c>
      <c r="B287" s="238" t="s">
        <v>1559</v>
      </c>
      <c r="C287" s="266">
        <v>0</v>
      </c>
      <c r="D287" s="266">
        <v>0</v>
      </c>
      <c r="E287" s="266">
        <v>0</v>
      </c>
      <c r="F287" s="266">
        <v>5732.33</v>
      </c>
      <c r="G287" s="266">
        <v>1010666.18</v>
      </c>
      <c r="H287" s="266">
        <v>384977.54</v>
      </c>
      <c r="I287" s="266">
        <v>38880.03</v>
      </c>
      <c r="J287" s="266">
        <v>62080.21</v>
      </c>
      <c r="K287" s="266">
        <v>264211</v>
      </c>
      <c r="L287" s="266">
        <v>19842.330000000002</v>
      </c>
      <c r="M287" s="266">
        <v>23489.81</v>
      </c>
      <c r="N287" s="266">
        <v>516354.88</v>
      </c>
      <c r="O287" s="123">
        <v>2.6100000000000002E-2</v>
      </c>
      <c r="P287" s="123">
        <v>0.19270000000000001</v>
      </c>
      <c r="Q287" s="266">
        <v>0</v>
      </c>
      <c r="R287" s="266">
        <v>0</v>
      </c>
      <c r="S287" s="266">
        <v>0</v>
      </c>
      <c r="T287" s="266">
        <v>0</v>
      </c>
      <c r="U287" s="266">
        <v>0</v>
      </c>
      <c r="V287" s="266">
        <v>0</v>
      </c>
      <c r="W287" s="266">
        <v>0</v>
      </c>
      <c r="X287" s="266">
        <v>0</v>
      </c>
      <c r="Y287" s="266">
        <v>0</v>
      </c>
      <c r="Z287" s="266">
        <v>948.49</v>
      </c>
      <c r="AA287" s="266">
        <v>0</v>
      </c>
      <c r="AB287" s="266">
        <v>0</v>
      </c>
      <c r="AC287" s="266">
        <v>176371.49</v>
      </c>
      <c r="AD287" s="266">
        <v>481958.66</v>
      </c>
      <c r="AE287" s="237">
        <v>54.3</v>
      </c>
      <c r="AF287" s="266">
        <v>432267.83</v>
      </c>
      <c r="AG287" s="237">
        <f t="shared" si="67"/>
        <v>7960.7335174953969</v>
      </c>
      <c r="AH287" s="237">
        <f t="shared" si="68"/>
        <v>8875.8500920810311</v>
      </c>
      <c r="AI287" s="237">
        <f t="shared" si="69"/>
        <v>915.11657458563423</v>
      </c>
      <c r="AJ287" s="237">
        <v>21</v>
      </c>
      <c r="AK287" s="266">
        <v>161494.84</v>
      </c>
      <c r="AL287" s="237">
        <f t="shared" si="70"/>
        <v>7690.2304761904761</v>
      </c>
      <c r="AM287" s="237">
        <f t="shared" si="71"/>
        <v>8398.6423809523803</v>
      </c>
      <c r="AN287" s="237">
        <f t="shared" si="72"/>
        <v>708.41190476190422</v>
      </c>
      <c r="AO287" s="266">
        <v>0</v>
      </c>
      <c r="AP287" s="266">
        <v>0</v>
      </c>
      <c r="AQ287" s="266">
        <v>0</v>
      </c>
      <c r="AR287" s="266">
        <v>0</v>
      </c>
      <c r="AS287" s="358">
        <v>57199.97</v>
      </c>
      <c r="AT287" s="371">
        <v>980.66000000000349</v>
      </c>
      <c r="AU287" s="373">
        <v>51896.14</v>
      </c>
    </row>
    <row r="288" spans="1:47">
      <c r="A288" s="238" t="s">
        <v>487</v>
      </c>
      <c r="B288" s="238" t="s">
        <v>1560</v>
      </c>
      <c r="C288" s="266">
        <v>0</v>
      </c>
      <c r="D288" s="266">
        <v>0</v>
      </c>
      <c r="E288" s="266">
        <v>25450.65</v>
      </c>
      <c r="F288" s="266">
        <v>25457.88</v>
      </c>
      <c r="G288" s="266">
        <v>1007807.54</v>
      </c>
      <c r="H288" s="266">
        <v>214556.64</v>
      </c>
      <c r="I288" s="266">
        <v>127754.83</v>
      </c>
      <c r="J288" s="266">
        <v>312761.59999999998</v>
      </c>
      <c r="K288" s="266">
        <v>479777.62</v>
      </c>
      <c r="L288" s="266">
        <v>213744.21</v>
      </c>
      <c r="M288" s="266">
        <v>30522.65</v>
      </c>
      <c r="N288" s="266">
        <v>960237.09</v>
      </c>
      <c r="O288" s="123">
        <v>5.3900000000000003E-2</v>
      </c>
      <c r="P288" s="123">
        <v>0.24149999999999999</v>
      </c>
      <c r="Q288" s="266">
        <v>0</v>
      </c>
      <c r="R288" s="266">
        <v>0</v>
      </c>
      <c r="S288" s="266">
        <v>0</v>
      </c>
      <c r="T288" s="266">
        <v>0</v>
      </c>
      <c r="U288" s="266">
        <v>0</v>
      </c>
      <c r="V288" s="266">
        <v>0</v>
      </c>
      <c r="W288" s="266">
        <v>0</v>
      </c>
      <c r="X288" s="266">
        <v>0</v>
      </c>
      <c r="Y288" s="266">
        <v>0</v>
      </c>
      <c r="Z288" s="266">
        <v>0</v>
      </c>
      <c r="AA288" s="266">
        <v>0</v>
      </c>
      <c r="AB288" s="266">
        <v>54825.23</v>
      </c>
      <c r="AC288" s="266">
        <v>52772.38</v>
      </c>
      <c r="AD288" s="266">
        <v>475816.59</v>
      </c>
      <c r="AE288" s="237">
        <v>55.68</v>
      </c>
      <c r="AF288" s="266">
        <v>434532.29</v>
      </c>
      <c r="AG288" s="237">
        <f t="shared" si="67"/>
        <v>7804.1000359195396</v>
      </c>
      <c r="AH288" s="237">
        <f t="shared" si="68"/>
        <v>8545.5565732758623</v>
      </c>
      <c r="AI288" s="237">
        <f t="shared" si="69"/>
        <v>741.45653735632277</v>
      </c>
      <c r="AJ288" s="237">
        <v>6.41</v>
      </c>
      <c r="AK288" s="266">
        <v>48421.77</v>
      </c>
      <c r="AL288" s="237">
        <f t="shared" si="70"/>
        <v>7554.0982839313565</v>
      </c>
      <c r="AM288" s="237">
        <f t="shared" si="71"/>
        <v>8232.820592823713</v>
      </c>
      <c r="AN288" s="237">
        <f t="shared" si="72"/>
        <v>678.72230889235652</v>
      </c>
      <c r="AO288" s="266">
        <v>0</v>
      </c>
      <c r="AP288" s="266">
        <v>0</v>
      </c>
      <c r="AQ288" s="266">
        <v>0</v>
      </c>
      <c r="AR288" s="266">
        <v>0</v>
      </c>
      <c r="AS288" s="358">
        <v>8439.58</v>
      </c>
      <c r="AT288" s="371">
        <v>0</v>
      </c>
      <c r="AU288" s="373">
        <v>67386.38</v>
      </c>
    </row>
    <row r="289" spans="1:47">
      <c r="A289" s="238" t="s">
        <v>729</v>
      </c>
      <c r="B289" s="238" t="s">
        <v>1561</v>
      </c>
      <c r="C289" s="266">
        <v>104712.17</v>
      </c>
      <c r="D289" s="266">
        <v>0</v>
      </c>
      <c r="E289" s="266">
        <v>55971.08</v>
      </c>
      <c r="F289" s="266">
        <v>50748.19</v>
      </c>
      <c r="G289" s="266">
        <v>5002371.72</v>
      </c>
      <c r="H289" s="266">
        <v>818529.54</v>
      </c>
      <c r="I289" s="266">
        <v>308009.73</v>
      </c>
      <c r="J289" s="266">
        <v>1042252.5</v>
      </c>
      <c r="K289" s="266">
        <v>2237595.06</v>
      </c>
      <c r="L289" s="266">
        <v>2110502</v>
      </c>
      <c r="M289" s="266">
        <v>116462.9</v>
      </c>
      <c r="N289" s="266">
        <v>1460288.22</v>
      </c>
      <c r="O289" s="123">
        <v>2.5399999999999999E-2</v>
      </c>
      <c r="P289" s="123">
        <v>0.20280000000000001</v>
      </c>
      <c r="Q289" s="266">
        <v>0</v>
      </c>
      <c r="R289" s="266">
        <v>0</v>
      </c>
      <c r="S289" s="266">
        <v>0</v>
      </c>
      <c r="T289" s="266">
        <v>0</v>
      </c>
      <c r="U289" s="266">
        <v>0</v>
      </c>
      <c r="V289" s="266">
        <v>0</v>
      </c>
      <c r="W289" s="266">
        <v>0</v>
      </c>
      <c r="X289" s="266">
        <v>0</v>
      </c>
      <c r="Y289" s="266">
        <v>0</v>
      </c>
      <c r="Z289" s="266">
        <v>0</v>
      </c>
      <c r="AA289" s="266">
        <v>69072.39</v>
      </c>
      <c r="AB289" s="266">
        <v>176426.81</v>
      </c>
      <c r="AC289" s="266">
        <v>1071569.01</v>
      </c>
      <c r="AD289" s="266">
        <v>3337547.19</v>
      </c>
      <c r="AE289" s="237">
        <v>396.62</v>
      </c>
      <c r="AF289" s="266">
        <v>3095029.02</v>
      </c>
      <c r="AG289" s="237">
        <f t="shared" si="67"/>
        <v>7803.5122283293831</v>
      </c>
      <c r="AH289" s="237">
        <f t="shared" si="68"/>
        <v>8414.9745096061724</v>
      </c>
      <c r="AI289" s="237">
        <f t="shared" si="69"/>
        <v>611.46228127678933</v>
      </c>
      <c r="AJ289" s="237">
        <v>130.19</v>
      </c>
      <c r="AK289" s="266">
        <v>981131.27</v>
      </c>
      <c r="AL289" s="237">
        <f t="shared" si="70"/>
        <v>7536.1492434134725</v>
      </c>
      <c r="AM289" s="237">
        <f t="shared" si="71"/>
        <v>8230.8088946923726</v>
      </c>
      <c r="AN289" s="237">
        <f t="shared" si="72"/>
        <v>694.65965127890013</v>
      </c>
      <c r="AO289" s="266">
        <v>454.55</v>
      </c>
      <c r="AP289" s="266">
        <v>0</v>
      </c>
      <c r="AQ289" s="266">
        <v>0</v>
      </c>
      <c r="AR289" s="266">
        <v>0</v>
      </c>
      <c r="AS289" s="358">
        <v>0</v>
      </c>
      <c r="AT289" s="371">
        <v>0</v>
      </c>
      <c r="AU289" s="373">
        <v>267315.03999999998</v>
      </c>
    </row>
    <row r="290" spans="1:47">
      <c r="A290" s="238" t="s">
        <v>667</v>
      </c>
      <c r="B290" s="238" t="s">
        <v>1562</v>
      </c>
      <c r="C290" s="266">
        <v>0</v>
      </c>
      <c r="D290" s="266">
        <v>0</v>
      </c>
      <c r="E290" s="266">
        <v>0</v>
      </c>
      <c r="F290" s="266">
        <v>5391.27</v>
      </c>
      <c r="G290" s="266">
        <v>262628.38</v>
      </c>
      <c r="H290" s="266">
        <v>35452.25</v>
      </c>
      <c r="I290" s="266">
        <v>9195.5</v>
      </c>
      <c r="J290" s="266">
        <v>59328.36</v>
      </c>
      <c r="K290" s="266">
        <v>71728.19</v>
      </c>
      <c r="L290" s="266">
        <v>60428.35</v>
      </c>
      <c r="M290" s="266">
        <v>6009.14</v>
      </c>
      <c r="N290" s="266">
        <v>134237.84</v>
      </c>
      <c r="O290" s="123">
        <v>7.9100000000000004E-2</v>
      </c>
      <c r="P290" s="123">
        <v>0.34960000000000002</v>
      </c>
      <c r="Q290" s="266">
        <v>0</v>
      </c>
      <c r="R290" s="266">
        <v>0</v>
      </c>
      <c r="S290" s="266">
        <v>0</v>
      </c>
      <c r="T290" s="266">
        <v>0</v>
      </c>
      <c r="U290" s="266">
        <v>0</v>
      </c>
      <c r="V290" s="266">
        <v>0</v>
      </c>
      <c r="W290" s="266">
        <v>0</v>
      </c>
      <c r="X290" s="266">
        <v>0</v>
      </c>
      <c r="Y290" s="266">
        <v>0</v>
      </c>
      <c r="Z290" s="266">
        <v>247</v>
      </c>
      <c r="AA290" s="266">
        <v>2120.59</v>
      </c>
      <c r="AB290" s="266">
        <v>0</v>
      </c>
      <c r="AC290" s="266">
        <v>25205.16</v>
      </c>
      <c r="AD290" s="266">
        <v>87596.49</v>
      </c>
      <c r="AE290" s="237">
        <v>10.27</v>
      </c>
      <c r="AF290" s="266">
        <v>80098.429999999993</v>
      </c>
      <c r="AG290" s="237">
        <f t="shared" si="67"/>
        <v>7799.2629016553065</v>
      </c>
      <c r="AH290" s="237">
        <f t="shared" si="68"/>
        <v>8529.3563777994168</v>
      </c>
      <c r="AI290" s="237">
        <f t="shared" si="69"/>
        <v>730.09347614411035</v>
      </c>
      <c r="AJ290" s="237">
        <v>3.06</v>
      </c>
      <c r="AK290" s="266">
        <v>23212.9</v>
      </c>
      <c r="AL290" s="237">
        <f t="shared" si="70"/>
        <v>7585.9150326797389</v>
      </c>
      <c r="AM290" s="237">
        <f t="shared" si="71"/>
        <v>8236.9803921568619</v>
      </c>
      <c r="AN290" s="237">
        <f t="shared" si="72"/>
        <v>651.06535947712291</v>
      </c>
      <c r="AO290" s="266">
        <v>0</v>
      </c>
      <c r="AP290" s="266">
        <v>0</v>
      </c>
      <c r="AQ290" s="266">
        <v>0</v>
      </c>
      <c r="AR290" s="266">
        <v>0</v>
      </c>
      <c r="AS290" s="358">
        <v>8129.7</v>
      </c>
      <c r="AT290" s="371">
        <v>2106.1699999999992</v>
      </c>
      <c r="AU290" s="373">
        <v>18783.370000000003</v>
      </c>
    </row>
    <row r="291" spans="1:47">
      <c r="A291" s="238" t="s">
        <v>237</v>
      </c>
      <c r="B291" s="238" t="s">
        <v>1563</v>
      </c>
      <c r="C291" s="266">
        <v>0</v>
      </c>
      <c r="D291" s="266">
        <v>0</v>
      </c>
      <c r="E291" s="266">
        <v>0</v>
      </c>
      <c r="F291" s="266">
        <v>0</v>
      </c>
      <c r="G291" s="266">
        <v>0</v>
      </c>
      <c r="H291" s="266">
        <v>0</v>
      </c>
      <c r="I291" s="266">
        <v>0</v>
      </c>
      <c r="J291" s="266">
        <v>0</v>
      </c>
      <c r="K291" s="266">
        <v>176469.66</v>
      </c>
      <c r="L291" s="266">
        <v>0</v>
      </c>
      <c r="M291" s="266">
        <v>19541.939999999999</v>
      </c>
      <c r="N291" s="266">
        <v>437353.45</v>
      </c>
      <c r="O291" s="123">
        <v>3.44E-2</v>
      </c>
      <c r="P291" s="123">
        <v>0.25180000000000002</v>
      </c>
      <c r="Q291" s="266">
        <v>0</v>
      </c>
      <c r="R291" s="266">
        <v>0</v>
      </c>
      <c r="S291" s="266">
        <v>0</v>
      </c>
      <c r="T291" s="266">
        <v>0</v>
      </c>
      <c r="U291" s="266">
        <v>0</v>
      </c>
      <c r="V291" s="266">
        <v>0</v>
      </c>
      <c r="W291" s="266">
        <v>0</v>
      </c>
      <c r="X291" s="266">
        <v>0</v>
      </c>
      <c r="Y291" s="266">
        <v>0</v>
      </c>
      <c r="Z291" s="266">
        <v>761.86</v>
      </c>
      <c r="AA291" s="266">
        <v>13446.75</v>
      </c>
      <c r="AB291" s="266">
        <v>0</v>
      </c>
      <c r="AC291" s="266">
        <v>92034.21</v>
      </c>
      <c r="AD291" s="266">
        <v>226104.67</v>
      </c>
      <c r="AE291" s="237">
        <v>24.86</v>
      </c>
      <c r="AF291" s="266">
        <v>197869.31</v>
      </c>
      <c r="AG291" s="237">
        <f t="shared" si="67"/>
        <v>7959.3447304907486</v>
      </c>
      <c r="AH291" s="237">
        <f t="shared" si="68"/>
        <v>9095.1194690265493</v>
      </c>
      <c r="AI291" s="237">
        <f t="shared" si="69"/>
        <v>1135.7747385358007</v>
      </c>
      <c r="AJ291" s="237">
        <v>10.94</v>
      </c>
      <c r="AK291" s="266">
        <v>84045.83</v>
      </c>
      <c r="AL291" s="237">
        <f t="shared" si="70"/>
        <v>7682.4341864716644</v>
      </c>
      <c r="AM291" s="237">
        <f t="shared" si="71"/>
        <v>8412.633455210238</v>
      </c>
      <c r="AN291" s="237">
        <f t="shared" si="72"/>
        <v>730.19926873857366</v>
      </c>
      <c r="AO291" s="266">
        <v>0</v>
      </c>
      <c r="AP291" s="266">
        <v>0</v>
      </c>
      <c r="AQ291" s="266">
        <v>0</v>
      </c>
      <c r="AR291" s="266">
        <v>0</v>
      </c>
      <c r="AS291" s="358">
        <v>67645.94</v>
      </c>
      <c r="AT291" s="371">
        <v>1648.6399999999994</v>
      </c>
      <c r="AU291" s="373">
        <v>38632.020000000004</v>
      </c>
    </row>
    <row r="292" spans="1:47">
      <c r="A292" s="238" t="s">
        <v>405</v>
      </c>
      <c r="B292" s="238" t="s">
        <v>1564</v>
      </c>
      <c r="C292" s="266">
        <v>0</v>
      </c>
      <c r="D292" s="266">
        <v>0</v>
      </c>
      <c r="E292" s="266">
        <v>0</v>
      </c>
      <c r="F292" s="266">
        <v>0</v>
      </c>
      <c r="G292" s="266">
        <v>0</v>
      </c>
      <c r="H292" s="266">
        <v>0</v>
      </c>
      <c r="I292" s="266">
        <v>0</v>
      </c>
      <c r="J292" s="266">
        <v>0</v>
      </c>
      <c r="K292" s="266">
        <v>0</v>
      </c>
      <c r="L292" s="266">
        <v>12815.29</v>
      </c>
      <c r="M292" s="266">
        <v>6199.91</v>
      </c>
      <c r="N292" s="266">
        <v>135641.88</v>
      </c>
      <c r="O292" s="123">
        <v>5.8999999999999997E-2</v>
      </c>
      <c r="P292" s="123">
        <v>0.25819999999999999</v>
      </c>
      <c r="Q292" s="266">
        <v>0</v>
      </c>
      <c r="R292" s="266">
        <v>0</v>
      </c>
      <c r="S292" s="266">
        <v>0</v>
      </c>
      <c r="T292" s="266">
        <v>0</v>
      </c>
      <c r="U292" s="266">
        <v>0</v>
      </c>
      <c r="V292" s="266">
        <v>0</v>
      </c>
      <c r="W292" s="266">
        <v>0</v>
      </c>
      <c r="X292" s="266">
        <v>0</v>
      </c>
      <c r="Y292" s="266">
        <v>0</v>
      </c>
      <c r="Z292" s="266">
        <v>248.1</v>
      </c>
      <c r="AA292" s="266">
        <v>0</v>
      </c>
      <c r="AB292" s="266">
        <v>0</v>
      </c>
      <c r="AC292" s="266">
        <v>0</v>
      </c>
      <c r="AD292" s="266">
        <v>0</v>
      </c>
      <c r="AE292" s="237">
        <v>0</v>
      </c>
      <c r="AF292" s="266">
        <v>0</v>
      </c>
      <c r="AG292" s="237">
        <f t="shared" si="67"/>
        <v>0</v>
      </c>
      <c r="AH292" s="237">
        <f t="shared" si="68"/>
        <v>0</v>
      </c>
      <c r="AI292" s="237">
        <f t="shared" si="69"/>
        <v>0</v>
      </c>
      <c r="AJ292" s="237">
        <v>0</v>
      </c>
      <c r="AK292" s="266">
        <v>0</v>
      </c>
      <c r="AL292" s="237">
        <f t="shared" si="70"/>
        <v>0</v>
      </c>
      <c r="AM292" s="237">
        <f t="shared" si="71"/>
        <v>0</v>
      </c>
      <c r="AN292" s="237">
        <f t="shared" si="72"/>
        <v>0</v>
      </c>
      <c r="AO292" s="266">
        <v>0</v>
      </c>
      <c r="AP292" s="266">
        <v>0</v>
      </c>
      <c r="AQ292" s="266">
        <v>0</v>
      </c>
      <c r="AR292" s="266">
        <v>0</v>
      </c>
      <c r="AS292" s="358">
        <v>0</v>
      </c>
      <c r="AT292" s="371">
        <v>1407.5900000000011</v>
      </c>
      <c r="AU292" s="373">
        <v>16345.16</v>
      </c>
    </row>
    <row r="293" spans="1:47">
      <c r="A293" s="238" t="s">
        <v>359</v>
      </c>
      <c r="B293" s="238" t="s">
        <v>1565</v>
      </c>
      <c r="C293" s="266">
        <v>0</v>
      </c>
      <c r="D293" s="266">
        <v>0</v>
      </c>
      <c r="E293" s="266">
        <v>140235.73000000001</v>
      </c>
      <c r="F293" s="266">
        <v>88434.76</v>
      </c>
      <c r="G293" s="266">
        <v>3392687.9</v>
      </c>
      <c r="H293" s="266">
        <v>605462.72</v>
      </c>
      <c r="I293" s="266">
        <v>408029.44</v>
      </c>
      <c r="J293" s="266">
        <v>909108.55</v>
      </c>
      <c r="K293" s="266">
        <v>1414929.18</v>
      </c>
      <c r="L293" s="266">
        <v>1805963.89</v>
      </c>
      <c r="M293" s="266">
        <v>90281.76</v>
      </c>
      <c r="N293" s="266">
        <v>921079.87</v>
      </c>
      <c r="O293" s="123">
        <v>3.3000000000000002E-2</v>
      </c>
      <c r="P293" s="123">
        <v>0.19869999999999999</v>
      </c>
      <c r="Q293" s="266">
        <v>0</v>
      </c>
      <c r="R293" s="266">
        <v>0</v>
      </c>
      <c r="S293" s="266">
        <v>0</v>
      </c>
      <c r="T293" s="266">
        <v>0</v>
      </c>
      <c r="U293" s="266">
        <v>0</v>
      </c>
      <c r="V293" s="266">
        <v>0</v>
      </c>
      <c r="W293" s="266">
        <v>0</v>
      </c>
      <c r="X293" s="266">
        <v>0</v>
      </c>
      <c r="Y293" s="266">
        <v>0</v>
      </c>
      <c r="Z293" s="266">
        <v>0</v>
      </c>
      <c r="AA293" s="266">
        <v>0</v>
      </c>
      <c r="AB293" s="266">
        <v>32518.27</v>
      </c>
      <c r="AC293" s="266">
        <v>0</v>
      </c>
      <c r="AD293" s="266">
        <v>510719.48</v>
      </c>
      <c r="AE293" s="237">
        <v>48.86</v>
      </c>
      <c r="AF293" s="266">
        <v>429047.67</v>
      </c>
      <c r="AG293" s="237">
        <f t="shared" si="67"/>
        <v>8781.1639377814154</v>
      </c>
      <c r="AH293" s="237">
        <f t="shared" si="68"/>
        <v>10452.711420384772</v>
      </c>
      <c r="AI293" s="237">
        <f t="shared" si="69"/>
        <v>1671.5474826033569</v>
      </c>
      <c r="AJ293" s="237">
        <v>0</v>
      </c>
      <c r="AK293" s="266">
        <v>0</v>
      </c>
      <c r="AL293" s="237">
        <f t="shared" si="70"/>
        <v>0</v>
      </c>
      <c r="AM293" s="237">
        <f t="shared" si="71"/>
        <v>0</v>
      </c>
      <c r="AN293" s="237">
        <f t="shared" si="72"/>
        <v>0</v>
      </c>
      <c r="AO293" s="266">
        <v>0</v>
      </c>
      <c r="AP293" s="266">
        <v>0</v>
      </c>
      <c r="AQ293" s="266">
        <v>0</v>
      </c>
      <c r="AR293" s="266">
        <v>0</v>
      </c>
      <c r="AS293" s="358">
        <v>0</v>
      </c>
      <c r="AT293" s="371">
        <v>0</v>
      </c>
      <c r="AU293" s="373">
        <v>224856.79</v>
      </c>
    </row>
    <row r="294" spans="1:47">
      <c r="A294" s="238" t="s">
        <v>647</v>
      </c>
      <c r="B294" s="238" t="s">
        <v>1566</v>
      </c>
      <c r="C294" s="266">
        <v>0</v>
      </c>
      <c r="D294" s="266">
        <v>0</v>
      </c>
      <c r="E294" s="266">
        <v>0</v>
      </c>
      <c r="F294" s="266">
        <v>0</v>
      </c>
      <c r="G294" s="266">
        <v>7692578.21</v>
      </c>
      <c r="H294" s="266">
        <v>1696707.91</v>
      </c>
      <c r="I294" s="266">
        <v>394491.66</v>
      </c>
      <c r="J294" s="266">
        <v>0</v>
      </c>
      <c r="K294" s="266">
        <v>1268024.58</v>
      </c>
      <c r="L294" s="266">
        <v>212341.08</v>
      </c>
      <c r="M294" s="266">
        <v>186283.42</v>
      </c>
      <c r="N294" s="266">
        <v>3675991.21</v>
      </c>
      <c r="O294" s="123">
        <v>3.0700000000000002E-2</v>
      </c>
      <c r="P294" s="123">
        <v>0.2064</v>
      </c>
      <c r="Q294" s="266">
        <v>0</v>
      </c>
      <c r="R294" s="266">
        <v>0</v>
      </c>
      <c r="S294" s="266">
        <v>0</v>
      </c>
      <c r="T294" s="266">
        <v>160695.75</v>
      </c>
      <c r="U294" s="266">
        <v>0</v>
      </c>
      <c r="V294" s="266">
        <v>6470.58</v>
      </c>
      <c r="W294" s="266">
        <v>0</v>
      </c>
      <c r="X294" s="266">
        <v>0</v>
      </c>
      <c r="Y294" s="266">
        <v>0</v>
      </c>
      <c r="Z294" s="266">
        <v>849.69</v>
      </c>
      <c r="AA294" s="266">
        <v>67288.3</v>
      </c>
      <c r="AB294" s="266">
        <v>0</v>
      </c>
      <c r="AC294" s="266">
        <v>942278.54</v>
      </c>
      <c r="AD294" s="266">
        <v>2353081.0499999998</v>
      </c>
      <c r="AE294" s="237">
        <v>262.06</v>
      </c>
      <c r="AF294" s="266">
        <v>2044905.12</v>
      </c>
      <c r="AG294" s="237">
        <f t="shared" si="67"/>
        <v>7803.194382965733</v>
      </c>
      <c r="AH294" s="237">
        <f t="shared" si="68"/>
        <v>8979.1690834160108</v>
      </c>
      <c r="AI294" s="237">
        <f t="shared" si="69"/>
        <v>1175.9747004502779</v>
      </c>
      <c r="AJ294" s="237">
        <v>114.49</v>
      </c>
      <c r="AK294" s="266">
        <v>862989.59</v>
      </c>
      <c r="AL294" s="237">
        <f t="shared" si="70"/>
        <v>7537.6853000262035</v>
      </c>
      <c r="AM294" s="237">
        <f t="shared" si="71"/>
        <v>8230.225696567386</v>
      </c>
      <c r="AN294" s="237">
        <f t="shared" si="72"/>
        <v>692.54039654118242</v>
      </c>
      <c r="AO294" s="266">
        <v>971.33</v>
      </c>
      <c r="AP294" s="266">
        <v>0</v>
      </c>
      <c r="AQ294" s="266">
        <v>0</v>
      </c>
      <c r="AR294" s="266">
        <v>0</v>
      </c>
      <c r="AS294" s="358">
        <v>0</v>
      </c>
      <c r="AT294" s="371">
        <v>25119.209999999992</v>
      </c>
      <c r="AU294" s="373">
        <v>392131.47</v>
      </c>
    </row>
    <row r="295" spans="1:47">
      <c r="A295" s="238" t="s">
        <v>714</v>
      </c>
      <c r="B295" s="238" t="s">
        <v>1567</v>
      </c>
      <c r="C295" s="266">
        <v>0</v>
      </c>
      <c r="D295" s="266">
        <v>0</v>
      </c>
      <c r="E295" s="266">
        <v>30233.66</v>
      </c>
      <c r="F295" s="266">
        <v>15917.12</v>
      </c>
      <c r="G295" s="266">
        <v>655198.96</v>
      </c>
      <c r="H295" s="266">
        <v>120576.87</v>
      </c>
      <c r="I295" s="266">
        <v>69755.41</v>
      </c>
      <c r="J295" s="266">
        <v>173883.62</v>
      </c>
      <c r="K295" s="266">
        <v>352917.92</v>
      </c>
      <c r="L295" s="266">
        <v>267998.76</v>
      </c>
      <c r="M295" s="266">
        <v>16692.07</v>
      </c>
      <c r="N295" s="266">
        <v>136816.98000000001</v>
      </c>
      <c r="O295" s="123">
        <v>5.5399999999999998E-2</v>
      </c>
      <c r="P295" s="123">
        <v>0.19950000000000001</v>
      </c>
      <c r="Q295" s="266">
        <v>0</v>
      </c>
      <c r="R295" s="266">
        <v>0</v>
      </c>
      <c r="S295" s="266">
        <v>0</v>
      </c>
      <c r="T295" s="266">
        <v>0</v>
      </c>
      <c r="U295" s="266">
        <v>0</v>
      </c>
      <c r="V295" s="266">
        <v>0</v>
      </c>
      <c r="W295" s="266">
        <v>0</v>
      </c>
      <c r="X295" s="266">
        <v>0</v>
      </c>
      <c r="Y295" s="266">
        <v>0</v>
      </c>
      <c r="Z295" s="266">
        <v>0</v>
      </c>
      <c r="AA295" s="266">
        <v>0</v>
      </c>
      <c r="AB295" s="266">
        <v>0</v>
      </c>
      <c r="AC295" s="266">
        <v>0</v>
      </c>
      <c r="AD295" s="266">
        <v>0</v>
      </c>
      <c r="AE295" s="237">
        <v>0</v>
      </c>
      <c r="AF295" s="266">
        <v>0</v>
      </c>
      <c r="AG295" s="237">
        <f t="shared" si="67"/>
        <v>0</v>
      </c>
      <c r="AH295" s="237">
        <f t="shared" si="68"/>
        <v>0</v>
      </c>
      <c r="AI295" s="237">
        <f t="shared" si="69"/>
        <v>0</v>
      </c>
      <c r="AJ295" s="237">
        <v>0</v>
      </c>
      <c r="AK295" s="266">
        <v>0</v>
      </c>
      <c r="AL295" s="237">
        <f t="shared" si="70"/>
        <v>0</v>
      </c>
      <c r="AM295" s="237">
        <f t="shared" si="71"/>
        <v>0</v>
      </c>
      <c r="AN295" s="237">
        <f t="shared" si="72"/>
        <v>0</v>
      </c>
      <c r="AO295" s="266">
        <v>0</v>
      </c>
      <c r="AP295" s="266">
        <v>0</v>
      </c>
      <c r="AQ295" s="266">
        <v>0</v>
      </c>
      <c r="AR295" s="266">
        <v>0</v>
      </c>
      <c r="AS295" s="358">
        <v>22187.14</v>
      </c>
      <c r="AT295" s="371">
        <v>1803.0400000000009</v>
      </c>
      <c r="AU295" s="373">
        <v>42687.25</v>
      </c>
    </row>
    <row r="296" spans="1:47">
      <c r="A296" s="238" t="s">
        <v>516</v>
      </c>
      <c r="B296" s="238" t="s">
        <v>1568</v>
      </c>
      <c r="C296" s="266">
        <v>0</v>
      </c>
      <c r="D296" s="266">
        <v>0</v>
      </c>
      <c r="E296" s="266">
        <v>0</v>
      </c>
      <c r="F296" s="266">
        <v>0</v>
      </c>
      <c r="G296" s="266">
        <v>5616818.2000000002</v>
      </c>
      <c r="H296" s="266">
        <v>1384478.52</v>
      </c>
      <c r="I296" s="266">
        <v>274536.98</v>
      </c>
      <c r="J296" s="266">
        <v>0</v>
      </c>
      <c r="K296" s="266">
        <v>1335033.2</v>
      </c>
      <c r="L296" s="266">
        <v>584619.51</v>
      </c>
      <c r="M296" s="266">
        <v>167566.1</v>
      </c>
      <c r="N296" s="266">
        <v>2087720.05</v>
      </c>
      <c r="O296" s="123">
        <v>4.8399999999999999E-2</v>
      </c>
      <c r="P296" s="123">
        <v>0.15920000000000001</v>
      </c>
      <c r="Q296" s="266">
        <v>0</v>
      </c>
      <c r="R296" s="266">
        <v>0</v>
      </c>
      <c r="S296" s="266">
        <v>0</v>
      </c>
      <c r="T296" s="266">
        <v>0</v>
      </c>
      <c r="U296" s="266">
        <v>0</v>
      </c>
      <c r="V296" s="266">
        <v>0</v>
      </c>
      <c r="W296" s="266">
        <v>0</v>
      </c>
      <c r="X296" s="266">
        <v>0</v>
      </c>
      <c r="Y296" s="266">
        <v>0</v>
      </c>
      <c r="Z296" s="266">
        <v>6335.32</v>
      </c>
      <c r="AA296" s="266">
        <v>0</v>
      </c>
      <c r="AB296" s="266">
        <v>0</v>
      </c>
      <c r="AC296" s="266">
        <v>0</v>
      </c>
      <c r="AD296" s="266">
        <v>2060638.1</v>
      </c>
      <c r="AE296" s="237">
        <v>228.83</v>
      </c>
      <c r="AF296" s="266">
        <v>1895830.02</v>
      </c>
      <c r="AG296" s="237">
        <f t="shared" si="67"/>
        <v>8284.8840624044042</v>
      </c>
      <c r="AH296" s="237">
        <f t="shared" si="68"/>
        <v>9005.1046628501499</v>
      </c>
      <c r="AI296" s="237">
        <f t="shared" si="69"/>
        <v>720.22060044574573</v>
      </c>
      <c r="AJ296" s="237">
        <v>0</v>
      </c>
      <c r="AK296" s="266">
        <v>0</v>
      </c>
      <c r="AL296" s="237">
        <f t="shared" si="70"/>
        <v>0</v>
      </c>
      <c r="AM296" s="237">
        <f t="shared" si="71"/>
        <v>0</v>
      </c>
      <c r="AN296" s="237">
        <f t="shared" si="72"/>
        <v>0</v>
      </c>
      <c r="AO296" s="266">
        <v>0</v>
      </c>
      <c r="AP296" s="266">
        <v>0</v>
      </c>
      <c r="AQ296" s="266">
        <v>0</v>
      </c>
      <c r="AR296" s="266">
        <v>0</v>
      </c>
      <c r="AS296" s="358">
        <v>303102.58</v>
      </c>
      <c r="AT296" s="371">
        <v>0</v>
      </c>
      <c r="AU296" s="373">
        <v>355644.65999999992</v>
      </c>
    </row>
    <row r="297" spans="1:47">
      <c r="A297" s="238" t="s">
        <v>627</v>
      </c>
      <c r="B297" s="238" t="s">
        <v>1569</v>
      </c>
      <c r="C297" s="266">
        <v>0</v>
      </c>
      <c r="D297" s="266">
        <v>0</v>
      </c>
      <c r="E297" s="266">
        <v>0</v>
      </c>
      <c r="F297" s="266">
        <v>6774.03</v>
      </c>
      <c r="G297" s="266">
        <v>842293.06</v>
      </c>
      <c r="H297" s="266">
        <v>131519.17000000001</v>
      </c>
      <c r="I297" s="266">
        <v>0</v>
      </c>
      <c r="J297" s="266">
        <v>71251.27</v>
      </c>
      <c r="K297" s="266">
        <v>105112.32000000001</v>
      </c>
      <c r="L297" s="266">
        <v>0</v>
      </c>
      <c r="M297" s="266">
        <v>26707.31</v>
      </c>
      <c r="N297" s="266">
        <v>988704.9</v>
      </c>
      <c r="O297" s="123">
        <v>6.25E-2</v>
      </c>
      <c r="P297" s="123">
        <v>0.22070000000000001</v>
      </c>
      <c r="Q297" s="266">
        <v>0</v>
      </c>
      <c r="R297" s="266">
        <v>0</v>
      </c>
      <c r="S297" s="266">
        <v>0</v>
      </c>
      <c r="T297" s="266">
        <v>0</v>
      </c>
      <c r="U297" s="266">
        <v>0</v>
      </c>
      <c r="V297" s="266">
        <v>0</v>
      </c>
      <c r="W297" s="266">
        <v>0</v>
      </c>
      <c r="X297" s="266">
        <v>0</v>
      </c>
      <c r="Y297" s="266">
        <v>0</v>
      </c>
      <c r="Z297" s="266">
        <v>1232.81</v>
      </c>
      <c r="AA297" s="266">
        <v>0</v>
      </c>
      <c r="AB297" s="266">
        <v>0</v>
      </c>
      <c r="AC297" s="266">
        <v>0</v>
      </c>
      <c r="AD297" s="266">
        <v>0</v>
      </c>
      <c r="AE297" s="237">
        <v>0</v>
      </c>
      <c r="AF297" s="266">
        <v>0</v>
      </c>
      <c r="AG297" s="237">
        <f t="shared" si="67"/>
        <v>0</v>
      </c>
      <c r="AH297" s="237">
        <f t="shared" si="68"/>
        <v>0</v>
      </c>
      <c r="AI297" s="237">
        <f t="shared" si="69"/>
        <v>0</v>
      </c>
      <c r="AJ297" s="237">
        <v>0</v>
      </c>
      <c r="AK297" s="266">
        <v>0</v>
      </c>
      <c r="AL297" s="237">
        <f t="shared" si="70"/>
        <v>0</v>
      </c>
      <c r="AM297" s="237">
        <f t="shared" si="71"/>
        <v>0</v>
      </c>
      <c r="AN297" s="237">
        <f t="shared" si="72"/>
        <v>0</v>
      </c>
      <c r="AO297" s="266">
        <v>0</v>
      </c>
      <c r="AP297" s="266">
        <v>0</v>
      </c>
      <c r="AQ297" s="266">
        <v>0</v>
      </c>
      <c r="AR297" s="266">
        <v>0</v>
      </c>
      <c r="AS297" s="358">
        <v>40290.49</v>
      </c>
      <c r="AT297" s="371">
        <v>0</v>
      </c>
      <c r="AU297" s="373">
        <v>26602.999999999996</v>
      </c>
    </row>
    <row r="298" spans="1:47">
      <c r="A298" s="238" t="s">
        <v>215</v>
      </c>
      <c r="B298" s="238" t="s">
        <v>1570</v>
      </c>
      <c r="C298" s="266">
        <v>0</v>
      </c>
      <c r="D298" s="266">
        <v>0</v>
      </c>
      <c r="E298" s="266">
        <v>438949.05</v>
      </c>
      <c r="F298" s="266">
        <v>169967.83</v>
      </c>
      <c r="G298" s="266">
        <v>28731562.32</v>
      </c>
      <c r="H298" s="266">
        <v>6703525.7400000002</v>
      </c>
      <c r="I298" s="266">
        <v>1719267.67</v>
      </c>
      <c r="J298" s="266">
        <v>3685495.04</v>
      </c>
      <c r="K298" s="266">
        <v>6958033.1399999997</v>
      </c>
      <c r="L298" s="266">
        <v>4918217.8899999997</v>
      </c>
      <c r="M298" s="266">
        <v>656876.55000000005</v>
      </c>
      <c r="N298" s="266">
        <v>10631077.529999999</v>
      </c>
      <c r="O298" s="123">
        <v>4.7399999999999998E-2</v>
      </c>
      <c r="P298" s="123">
        <v>0.1724</v>
      </c>
      <c r="Q298" s="266">
        <v>0</v>
      </c>
      <c r="R298" s="266">
        <v>0</v>
      </c>
      <c r="S298" s="266">
        <v>0</v>
      </c>
      <c r="T298" s="266">
        <v>0</v>
      </c>
      <c r="U298" s="266">
        <v>0</v>
      </c>
      <c r="V298" s="266">
        <v>0</v>
      </c>
      <c r="W298" s="266">
        <v>0</v>
      </c>
      <c r="X298" s="266">
        <v>0</v>
      </c>
      <c r="Y298" s="266">
        <v>0</v>
      </c>
      <c r="Z298" s="266">
        <v>13398.47</v>
      </c>
      <c r="AA298" s="266">
        <v>133857.29999999999</v>
      </c>
      <c r="AB298" s="266">
        <v>689827.92</v>
      </c>
      <c r="AC298" s="266">
        <v>1963041.37</v>
      </c>
      <c r="AD298" s="266">
        <v>10872706.039999999</v>
      </c>
      <c r="AE298" s="237">
        <v>1254.3</v>
      </c>
      <c r="AF298" s="266">
        <v>10196032.810000001</v>
      </c>
      <c r="AG298" s="237">
        <f t="shared" si="67"/>
        <v>8128.8629594195972</v>
      </c>
      <c r="AH298" s="237">
        <f t="shared" si="68"/>
        <v>8668.3457227138642</v>
      </c>
      <c r="AI298" s="237">
        <f t="shared" si="69"/>
        <v>539.48276329426699</v>
      </c>
      <c r="AJ298" s="237">
        <v>228.81</v>
      </c>
      <c r="AK298" s="266">
        <v>1797794.18</v>
      </c>
      <c r="AL298" s="237">
        <f t="shared" si="70"/>
        <v>7857.1486386084516</v>
      </c>
      <c r="AM298" s="237">
        <f t="shared" si="71"/>
        <v>8579.3512958349729</v>
      </c>
      <c r="AN298" s="237">
        <f t="shared" si="72"/>
        <v>722.2026572265213</v>
      </c>
      <c r="AO298" s="266">
        <v>0</v>
      </c>
      <c r="AP298" s="266">
        <v>0</v>
      </c>
      <c r="AQ298" s="266">
        <v>0</v>
      </c>
      <c r="AR298" s="266">
        <v>0</v>
      </c>
      <c r="AS298" s="358">
        <v>1507703.08</v>
      </c>
      <c r="AT298" s="371">
        <v>8620.8999999999069</v>
      </c>
      <c r="AU298" s="373">
        <v>1515108.04</v>
      </c>
    </row>
    <row r="299" spans="1:47">
      <c r="A299" s="238" t="s">
        <v>351</v>
      </c>
      <c r="B299" s="238" t="s">
        <v>1571</v>
      </c>
      <c r="C299" s="266">
        <v>0</v>
      </c>
      <c r="D299" s="266">
        <v>0</v>
      </c>
      <c r="E299" s="266">
        <v>0</v>
      </c>
      <c r="F299" s="266">
        <v>0</v>
      </c>
      <c r="G299" s="266">
        <v>1889095.41</v>
      </c>
      <c r="H299" s="266">
        <v>275564.58</v>
      </c>
      <c r="I299" s="266">
        <v>36665.089999999997</v>
      </c>
      <c r="J299" s="266">
        <v>0</v>
      </c>
      <c r="K299" s="266">
        <v>222865.32</v>
      </c>
      <c r="L299" s="266">
        <v>124524.64</v>
      </c>
      <c r="M299" s="266">
        <v>45521.42</v>
      </c>
      <c r="N299" s="266">
        <v>965732.61</v>
      </c>
      <c r="O299" s="123">
        <v>4.4299999999999999E-2</v>
      </c>
      <c r="P299" s="123">
        <v>0.24299999999999999</v>
      </c>
      <c r="Q299" s="266">
        <v>0</v>
      </c>
      <c r="R299" s="266">
        <v>0</v>
      </c>
      <c r="S299" s="266">
        <v>0</v>
      </c>
      <c r="T299" s="266">
        <v>0</v>
      </c>
      <c r="U299" s="266">
        <v>0</v>
      </c>
      <c r="V299" s="266">
        <v>0</v>
      </c>
      <c r="W299" s="266">
        <v>0</v>
      </c>
      <c r="X299" s="266">
        <v>0</v>
      </c>
      <c r="Y299" s="266">
        <v>0</v>
      </c>
      <c r="Z299" s="266">
        <v>1648.87</v>
      </c>
      <c r="AA299" s="266">
        <v>16176.47</v>
      </c>
      <c r="AB299" s="266">
        <v>51664.42</v>
      </c>
      <c r="AC299" s="266">
        <v>247433.84</v>
      </c>
      <c r="AD299" s="266">
        <v>684523.09</v>
      </c>
      <c r="AE299" s="237">
        <v>74.430000000000007</v>
      </c>
      <c r="AF299" s="266">
        <v>629285.98</v>
      </c>
      <c r="AG299" s="237">
        <f t="shared" si="67"/>
        <v>8454.7357248421322</v>
      </c>
      <c r="AH299" s="237">
        <f t="shared" si="68"/>
        <v>9196.870751041246</v>
      </c>
      <c r="AI299" s="237">
        <f t="shared" si="69"/>
        <v>742.13502619911378</v>
      </c>
      <c r="AJ299" s="237">
        <v>27.72</v>
      </c>
      <c r="AK299" s="266">
        <v>226738.8</v>
      </c>
      <c r="AL299" s="237">
        <f t="shared" si="70"/>
        <v>8179.6103896103896</v>
      </c>
      <c r="AM299" s="237">
        <f t="shared" si="71"/>
        <v>8926.184704184705</v>
      </c>
      <c r="AN299" s="237">
        <f t="shared" si="72"/>
        <v>746.57431457431539</v>
      </c>
      <c r="AO299" s="266">
        <v>0</v>
      </c>
      <c r="AP299" s="266">
        <v>0</v>
      </c>
      <c r="AQ299" s="266">
        <v>0</v>
      </c>
      <c r="AR299" s="266">
        <v>0</v>
      </c>
      <c r="AS299" s="358">
        <v>83874.600000000006</v>
      </c>
      <c r="AT299" s="371">
        <v>9024.6100000000079</v>
      </c>
      <c r="AU299" s="373">
        <v>90809.239999999991</v>
      </c>
    </row>
    <row r="300" spans="1:47">
      <c r="A300" s="238" t="s">
        <v>1678</v>
      </c>
      <c r="B300" s="238" t="s">
        <v>1679</v>
      </c>
      <c r="C300" s="266">
        <v>0</v>
      </c>
      <c r="D300" s="266">
        <v>0</v>
      </c>
      <c r="E300" s="266">
        <v>3908.7</v>
      </c>
      <c r="F300" s="266">
        <v>3724.99</v>
      </c>
      <c r="G300" s="266">
        <v>161247.34</v>
      </c>
      <c r="H300" s="266">
        <v>15974.14</v>
      </c>
      <c r="I300" s="266">
        <v>0</v>
      </c>
      <c r="J300" s="266">
        <v>38143.82</v>
      </c>
      <c r="K300" s="266">
        <v>67554.710000000006</v>
      </c>
      <c r="L300" s="266">
        <v>0</v>
      </c>
      <c r="M300" s="266">
        <v>0</v>
      </c>
      <c r="N300" s="266">
        <v>141904.9</v>
      </c>
      <c r="O300" s="123">
        <v>0.08</v>
      </c>
      <c r="P300" s="123">
        <v>7.0000000000000007E-2</v>
      </c>
      <c r="Q300" s="266">
        <v>0</v>
      </c>
      <c r="R300" s="266">
        <v>0</v>
      </c>
      <c r="S300" s="266">
        <v>0</v>
      </c>
      <c r="T300" s="266">
        <v>0</v>
      </c>
      <c r="U300" s="266">
        <v>0</v>
      </c>
      <c r="V300" s="266">
        <v>0</v>
      </c>
      <c r="W300" s="266">
        <v>0</v>
      </c>
      <c r="X300" s="266">
        <v>0</v>
      </c>
      <c r="Y300" s="266">
        <v>0</v>
      </c>
      <c r="Z300" s="266">
        <v>0</v>
      </c>
      <c r="AA300" s="266">
        <v>0</v>
      </c>
      <c r="AB300" s="266">
        <v>0</v>
      </c>
      <c r="AC300" s="266">
        <v>0</v>
      </c>
      <c r="AD300" s="266">
        <v>0</v>
      </c>
      <c r="AE300" s="237">
        <v>0</v>
      </c>
      <c r="AF300" s="266">
        <v>0</v>
      </c>
      <c r="AG300" s="237">
        <f t="shared" si="67"/>
        <v>0</v>
      </c>
      <c r="AH300" s="237">
        <f t="shared" si="68"/>
        <v>0</v>
      </c>
      <c r="AI300" s="237">
        <f t="shared" si="69"/>
        <v>0</v>
      </c>
      <c r="AJ300" s="237">
        <v>0</v>
      </c>
      <c r="AK300" s="266">
        <v>0</v>
      </c>
      <c r="AL300" s="237">
        <f t="shared" si="70"/>
        <v>0</v>
      </c>
      <c r="AM300" s="237">
        <f t="shared" si="71"/>
        <v>0</v>
      </c>
      <c r="AN300" s="237">
        <f t="shared" si="72"/>
        <v>0</v>
      </c>
      <c r="AO300" s="266">
        <v>0</v>
      </c>
      <c r="AP300" s="266">
        <v>0</v>
      </c>
      <c r="AQ300" s="266">
        <v>0</v>
      </c>
      <c r="AR300" s="266">
        <v>0</v>
      </c>
      <c r="AS300" s="358">
        <v>0</v>
      </c>
      <c r="AT300" s="371">
        <v>4163.24</v>
      </c>
      <c r="AU300" s="373">
        <v>9902.23</v>
      </c>
    </row>
    <row r="301" spans="1:47">
      <c r="A301" s="268" t="s">
        <v>659</v>
      </c>
      <c r="B301" s="238" t="s">
        <v>1572</v>
      </c>
      <c r="C301" s="266">
        <v>0</v>
      </c>
      <c r="D301" s="266">
        <v>0</v>
      </c>
      <c r="E301" s="266">
        <v>9840.58</v>
      </c>
      <c r="F301" s="266">
        <v>3532.25</v>
      </c>
      <c r="G301" s="266">
        <v>0</v>
      </c>
      <c r="H301" s="266">
        <v>0</v>
      </c>
      <c r="I301" s="266">
        <v>0</v>
      </c>
      <c r="J301" s="266">
        <v>146465.87</v>
      </c>
      <c r="K301" s="266">
        <v>206966.93</v>
      </c>
      <c r="L301" s="266">
        <v>32231.68</v>
      </c>
      <c r="M301" s="266">
        <v>14311.02</v>
      </c>
      <c r="N301" s="266">
        <v>348843.94</v>
      </c>
      <c r="O301" s="123">
        <v>2.7000000000000001E-3</v>
      </c>
      <c r="P301" s="123">
        <v>0.21959999999999999</v>
      </c>
      <c r="Q301" s="266">
        <v>0</v>
      </c>
      <c r="R301" s="266">
        <v>0</v>
      </c>
      <c r="S301" s="266">
        <v>0</v>
      </c>
      <c r="T301" s="266">
        <v>0</v>
      </c>
      <c r="U301" s="266">
        <v>0</v>
      </c>
      <c r="V301" s="266">
        <v>0</v>
      </c>
      <c r="W301" s="266">
        <v>0</v>
      </c>
      <c r="X301" s="266">
        <v>0</v>
      </c>
      <c r="Y301" s="266">
        <v>0</v>
      </c>
      <c r="Z301" s="266">
        <v>0</v>
      </c>
      <c r="AA301" s="266">
        <v>0</v>
      </c>
      <c r="AB301" s="266">
        <v>19434.72</v>
      </c>
      <c r="AC301" s="266">
        <v>0</v>
      </c>
      <c r="AD301" s="266">
        <v>256107.89</v>
      </c>
      <c r="AE301" s="237">
        <v>30.42</v>
      </c>
      <c r="AF301" s="266">
        <v>242078.45</v>
      </c>
      <c r="AG301" s="237">
        <f t="shared" si="67"/>
        <v>7957.8714661406966</v>
      </c>
      <c r="AH301" s="237">
        <f t="shared" si="68"/>
        <v>8419.0627876397102</v>
      </c>
      <c r="AI301" s="237">
        <f t="shared" si="69"/>
        <v>461.19132149901361</v>
      </c>
      <c r="AJ301" s="237">
        <v>0</v>
      </c>
      <c r="AK301" s="266">
        <v>0</v>
      </c>
      <c r="AL301" s="237">
        <f t="shared" si="70"/>
        <v>0</v>
      </c>
      <c r="AM301" s="237">
        <f t="shared" si="71"/>
        <v>0</v>
      </c>
      <c r="AN301" s="237">
        <f t="shared" si="72"/>
        <v>0</v>
      </c>
      <c r="AO301" s="266">
        <v>108.94</v>
      </c>
      <c r="AP301" s="266">
        <v>5513.33</v>
      </c>
      <c r="AQ301" s="266">
        <v>0</v>
      </c>
      <c r="AR301" s="266">
        <v>0</v>
      </c>
      <c r="AS301" s="358">
        <v>19946.669999999998</v>
      </c>
      <c r="AT301" s="371">
        <v>1782.5200000000004</v>
      </c>
      <c r="AU301" s="373">
        <v>29559.77</v>
      </c>
    </row>
    <row r="302" spans="1:47">
      <c r="A302" s="238" t="s">
        <v>279</v>
      </c>
      <c r="B302" s="238" t="s">
        <v>1573</v>
      </c>
      <c r="C302" s="266">
        <v>165076.24</v>
      </c>
      <c r="D302" s="266">
        <v>0</v>
      </c>
      <c r="E302" s="266">
        <v>0</v>
      </c>
      <c r="F302" s="266">
        <v>59968.02</v>
      </c>
      <c r="G302" s="266">
        <v>2909101.25</v>
      </c>
      <c r="H302" s="266">
        <v>485501.79</v>
      </c>
      <c r="I302" s="266">
        <v>205228.5</v>
      </c>
      <c r="J302" s="266">
        <v>669494.85</v>
      </c>
      <c r="K302" s="266">
        <v>1346906.51</v>
      </c>
      <c r="L302" s="266">
        <v>1972620.62</v>
      </c>
      <c r="M302" s="266">
        <v>66005.179999999993</v>
      </c>
      <c r="N302" s="266">
        <v>1243409.57</v>
      </c>
      <c r="O302" s="123">
        <v>5.96E-2</v>
      </c>
      <c r="P302" s="123">
        <v>0.18410000000000001</v>
      </c>
      <c r="Q302" s="266">
        <v>0</v>
      </c>
      <c r="R302" s="266">
        <v>0</v>
      </c>
      <c r="S302" s="266">
        <v>0</v>
      </c>
      <c r="T302" s="266">
        <v>0</v>
      </c>
      <c r="U302" s="266">
        <v>0</v>
      </c>
      <c r="V302" s="266">
        <v>0</v>
      </c>
      <c r="W302" s="266">
        <v>0</v>
      </c>
      <c r="X302" s="266">
        <v>0</v>
      </c>
      <c r="Y302" s="266">
        <v>0</v>
      </c>
      <c r="Z302" s="266">
        <v>2844.36</v>
      </c>
      <c r="AA302" s="266">
        <v>48530.1</v>
      </c>
      <c r="AB302" s="266">
        <v>110272.94</v>
      </c>
      <c r="AC302" s="266">
        <v>491463.03</v>
      </c>
      <c r="AD302" s="266">
        <v>981469.65</v>
      </c>
      <c r="AE302" s="237">
        <v>118.26</v>
      </c>
      <c r="AF302" s="266">
        <v>922953.65</v>
      </c>
      <c r="AG302" s="237">
        <f t="shared" si="67"/>
        <v>7804.4448672416711</v>
      </c>
      <c r="AH302" s="237">
        <f t="shared" si="68"/>
        <v>8299.2529173008625</v>
      </c>
      <c r="AI302" s="237">
        <f t="shared" si="69"/>
        <v>494.80805005919137</v>
      </c>
      <c r="AJ302" s="237">
        <v>59.7</v>
      </c>
      <c r="AK302" s="266">
        <v>449895.97</v>
      </c>
      <c r="AL302" s="237">
        <f t="shared" si="70"/>
        <v>7535.9458961474029</v>
      </c>
      <c r="AM302" s="237">
        <f t="shared" si="71"/>
        <v>8232.2115577889454</v>
      </c>
      <c r="AN302" s="237">
        <f t="shared" si="72"/>
        <v>696.26566164154247</v>
      </c>
      <c r="AO302" s="266">
        <v>721.03</v>
      </c>
      <c r="AP302" s="266">
        <v>601054.80000000005</v>
      </c>
      <c r="AQ302" s="266">
        <v>0</v>
      </c>
      <c r="AR302" s="266">
        <v>0</v>
      </c>
      <c r="AS302" s="358">
        <v>123580.7</v>
      </c>
      <c r="AT302" s="371">
        <v>0</v>
      </c>
      <c r="AU302" s="373">
        <v>178161.79</v>
      </c>
    </row>
    <row r="303" spans="1:47">
      <c r="A303" s="238" t="s">
        <v>670</v>
      </c>
      <c r="B303" s="238" t="s">
        <v>1574</v>
      </c>
      <c r="C303" s="266">
        <v>24880.04</v>
      </c>
      <c r="D303" s="266">
        <v>0</v>
      </c>
      <c r="E303" s="266">
        <v>8423.51</v>
      </c>
      <c r="F303" s="266">
        <v>5343.39</v>
      </c>
      <c r="G303" s="266">
        <v>179419.21</v>
      </c>
      <c r="H303" s="266">
        <v>22171.7</v>
      </c>
      <c r="I303" s="266">
        <v>0</v>
      </c>
      <c r="J303" s="266">
        <v>55608.42</v>
      </c>
      <c r="K303" s="266">
        <v>88038.720000000001</v>
      </c>
      <c r="L303" s="266">
        <v>8605.9</v>
      </c>
      <c r="M303" s="266">
        <v>0</v>
      </c>
      <c r="N303" s="266">
        <v>146047.07999999999</v>
      </c>
      <c r="O303" s="123">
        <v>5.2699999999999997E-2</v>
      </c>
      <c r="P303" s="123">
        <v>0.26379999999999998</v>
      </c>
      <c r="Q303" s="266">
        <v>0</v>
      </c>
      <c r="R303" s="266">
        <v>0</v>
      </c>
      <c r="S303" s="266">
        <v>0</v>
      </c>
      <c r="T303" s="266">
        <v>0</v>
      </c>
      <c r="U303" s="266">
        <v>0</v>
      </c>
      <c r="V303" s="266">
        <v>0</v>
      </c>
      <c r="W303" s="266">
        <v>0</v>
      </c>
      <c r="X303" s="266">
        <v>0</v>
      </c>
      <c r="Y303" s="266">
        <v>0</v>
      </c>
      <c r="Z303" s="266">
        <v>0</v>
      </c>
      <c r="AA303" s="266">
        <v>0</v>
      </c>
      <c r="AB303" s="266">
        <v>0</v>
      </c>
      <c r="AC303" s="266">
        <v>9176.0499999999993</v>
      </c>
      <c r="AD303" s="266">
        <v>98220.92</v>
      </c>
      <c r="AE303" s="237">
        <v>10.37</v>
      </c>
      <c r="AF303" s="266">
        <v>80799.62</v>
      </c>
      <c r="AG303" s="237">
        <f t="shared" si="67"/>
        <v>7791.6702025072327</v>
      </c>
      <c r="AH303" s="237">
        <f t="shared" si="68"/>
        <v>9471.6412729026033</v>
      </c>
      <c r="AI303" s="237">
        <f t="shared" si="69"/>
        <v>1679.9710703953706</v>
      </c>
      <c r="AJ303" s="237">
        <v>1.1200000000000001</v>
      </c>
      <c r="AK303" s="266">
        <v>8528.6299999999992</v>
      </c>
      <c r="AL303" s="237">
        <f t="shared" si="70"/>
        <v>7614.8482142857129</v>
      </c>
      <c r="AM303" s="237">
        <f t="shared" si="71"/>
        <v>8192.9017857142844</v>
      </c>
      <c r="AN303" s="237">
        <f t="shared" si="72"/>
        <v>578.05357142857156</v>
      </c>
      <c r="AO303" s="266">
        <v>0</v>
      </c>
      <c r="AP303" s="266">
        <v>0</v>
      </c>
      <c r="AQ303" s="266">
        <v>0</v>
      </c>
      <c r="AR303" s="266">
        <v>0</v>
      </c>
      <c r="AS303" s="358">
        <v>26133.53</v>
      </c>
      <c r="AT303" s="371">
        <v>3602.1100000000015</v>
      </c>
      <c r="AU303" s="373">
        <v>20853.46</v>
      </c>
    </row>
    <row r="304" spans="1:47">
      <c r="A304" s="238" t="s">
        <v>663</v>
      </c>
      <c r="B304" s="238" t="s">
        <v>1575</v>
      </c>
      <c r="C304" s="266">
        <v>0</v>
      </c>
      <c r="D304" s="266">
        <v>0</v>
      </c>
      <c r="E304" s="266">
        <v>0</v>
      </c>
      <c r="F304" s="266">
        <v>79019.89</v>
      </c>
      <c r="G304" s="266">
        <v>7093229.3700000001</v>
      </c>
      <c r="H304" s="266">
        <v>2088849.7</v>
      </c>
      <c r="I304" s="266">
        <v>471410.99</v>
      </c>
      <c r="J304" s="266">
        <v>863102.44</v>
      </c>
      <c r="K304" s="266">
        <v>1988738.04</v>
      </c>
      <c r="L304" s="266">
        <v>1263230.19</v>
      </c>
      <c r="M304" s="266">
        <v>161270.38</v>
      </c>
      <c r="N304" s="266">
        <v>1683101.67</v>
      </c>
      <c r="O304" s="123">
        <v>4.2099999999999999E-2</v>
      </c>
      <c r="P304" s="123">
        <v>0.16800000000000001</v>
      </c>
      <c r="Q304" s="266">
        <v>0</v>
      </c>
      <c r="R304" s="266">
        <v>0</v>
      </c>
      <c r="S304" s="266">
        <v>0</v>
      </c>
      <c r="T304" s="266">
        <v>0</v>
      </c>
      <c r="U304" s="266">
        <v>0</v>
      </c>
      <c r="V304" s="266">
        <v>0</v>
      </c>
      <c r="W304" s="266">
        <v>0</v>
      </c>
      <c r="X304" s="266">
        <v>0</v>
      </c>
      <c r="Y304" s="266">
        <v>0</v>
      </c>
      <c r="Z304" s="266">
        <v>2015.53</v>
      </c>
      <c r="AA304" s="266">
        <v>40415.410000000003</v>
      </c>
      <c r="AB304" s="266">
        <v>131551.76999999999</v>
      </c>
      <c r="AC304" s="266">
        <v>446909.91</v>
      </c>
      <c r="AD304" s="266">
        <v>2224781.96</v>
      </c>
      <c r="AE304" s="237">
        <v>254.82</v>
      </c>
      <c r="AF304" s="266">
        <v>2028210.45</v>
      </c>
      <c r="AG304" s="237">
        <f t="shared" si="67"/>
        <v>7959.3848599011071</v>
      </c>
      <c r="AH304" s="237">
        <f t="shared" si="68"/>
        <v>8730.7980535279803</v>
      </c>
      <c r="AI304" s="237">
        <f t="shared" si="69"/>
        <v>771.41319362687318</v>
      </c>
      <c r="AJ304" s="237">
        <v>53.17</v>
      </c>
      <c r="AK304" s="266">
        <v>408893.68</v>
      </c>
      <c r="AL304" s="237">
        <f t="shared" si="70"/>
        <v>7690.3080684596571</v>
      </c>
      <c r="AM304" s="237">
        <f t="shared" si="71"/>
        <v>8405.3020500282109</v>
      </c>
      <c r="AN304" s="237">
        <f t="shared" si="72"/>
        <v>714.99398156855386</v>
      </c>
      <c r="AO304" s="266">
        <v>11000</v>
      </c>
      <c r="AP304" s="266">
        <v>0</v>
      </c>
      <c r="AQ304" s="266">
        <v>0</v>
      </c>
      <c r="AR304" s="266">
        <v>0</v>
      </c>
      <c r="AS304" s="358">
        <v>220818.06</v>
      </c>
      <c r="AT304" s="371">
        <v>55988.200000000041</v>
      </c>
      <c r="AU304" s="373">
        <v>368604.75</v>
      </c>
    </row>
    <row r="305" spans="1:47">
      <c r="A305" s="238" t="s">
        <v>737</v>
      </c>
      <c r="B305" s="238" t="s">
        <v>1576</v>
      </c>
      <c r="C305" s="266">
        <v>0</v>
      </c>
      <c r="D305" s="266">
        <v>0</v>
      </c>
      <c r="E305" s="266">
        <v>49411.26</v>
      </c>
      <c r="F305" s="266">
        <v>67796.27</v>
      </c>
      <c r="G305" s="266">
        <v>3675009.15</v>
      </c>
      <c r="H305" s="266">
        <v>694785.08</v>
      </c>
      <c r="I305" s="266">
        <v>217106</v>
      </c>
      <c r="J305" s="266">
        <v>936663.26</v>
      </c>
      <c r="K305" s="266">
        <v>1760774.32</v>
      </c>
      <c r="L305" s="266">
        <v>1655699.2</v>
      </c>
      <c r="M305" s="266">
        <v>89755.62</v>
      </c>
      <c r="N305" s="266">
        <v>1703632.5</v>
      </c>
      <c r="O305" s="123">
        <v>5.2299999999999999E-2</v>
      </c>
      <c r="P305" s="123">
        <v>0.19919999999999999</v>
      </c>
      <c r="Q305" s="266">
        <v>0</v>
      </c>
      <c r="R305" s="266">
        <v>0</v>
      </c>
      <c r="S305" s="266">
        <v>0</v>
      </c>
      <c r="T305" s="266">
        <v>0</v>
      </c>
      <c r="U305" s="266">
        <v>0</v>
      </c>
      <c r="V305" s="266">
        <v>0</v>
      </c>
      <c r="W305" s="266">
        <v>0</v>
      </c>
      <c r="X305" s="266">
        <v>0</v>
      </c>
      <c r="Y305" s="266">
        <v>0</v>
      </c>
      <c r="Z305" s="266">
        <v>0</v>
      </c>
      <c r="AA305" s="266">
        <v>38681.839999999997</v>
      </c>
      <c r="AB305" s="266">
        <v>179846.48</v>
      </c>
      <c r="AC305" s="266">
        <v>350320.06</v>
      </c>
      <c r="AD305" s="266">
        <v>1809465.11</v>
      </c>
      <c r="AE305" s="237">
        <v>216.77</v>
      </c>
      <c r="AF305" s="266">
        <v>1691581.63</v>
      </c>
      <c r="AG305" s="237">
        <f t="shared" si="67"/>
        <v>7803.5781242791891</v>
      </c>
      <c r="AH305" s="237">
        <f t="shared" si="68"/>
        <v>8347.3963648106292</v>
      </c>
      <c r="AI305" s="237">
        <f t="shared" si="69"/>
        <v>543.8182405314401</v>
      </c>
      <c r="AJ305" s="237">
        <v>42.56</v>
      </c>
      <c r="AK305" s="266">
        <v>320715.06</v>
      </c>
      <c r="AL305" s="237">
        <f t="shared" si="70"/>
        <v>7535.5982142857138</v>
      </c>
      <c r="AM305" s="237">
        <f t="shared" si="71"/>
        <v>8231.2044172932328</v>
      </c>
      <c r="AN305" s="237">
        <f t="shared" si="72"/>
        <v>695.60620300751907</v>
      </c>
      <c r="AO305" s="266">
        <v>1402.1</v>
      </c>
      <c r="AP305" s="266">
        <v>0</v>
      </c>
      <c r="AQ305" s="266">
        <v>0</v>
      </c>
      <c r="AR305" s="266">
        <v>0</v>
      </c>
      <c r="AS305" s="358">
        <v>156675.13</v>
      </c>
      <c r="AT305" s="371">
        <v>4038.4599999999773</v>
      </c>
      <c r="AU305" s="373">
        <v>228195.49</v>
      </c>
    </row>
    <row r="306" spans="1:47">
      <c r="A306" s="238" t="s">
        <v>283</v>
      </c>
      <c r="B306" s="238" t="s">
        <v>1577</v>
      </c>
      <c r="C306" s="266">
        <v>0</v>
      </c>
      <c r="D306" s="266">
        <v>0</v>
      </c>
      <c r="E306" s="266">
        <v>40669.440000000002</v>
      </c>
      <c r="F306" s="266">
        <v>25693.15</v>
      </c>
      <c r="G306" s="266">
        <v>1130001.45</v>
      </c>
      <c r="H306" s="266">
        <v>277581.92</v>
      </c>
      <c r="I306" s="266">
        <v>11772.62</v>
      </c>
      <c r="J306" s="266">
        <v>256962.41</v>
      </c>
      <c r="K306" s="266">
        <v>478251.48</v>
      </c>
      <c r="L306" s="266">
        <v>393813.21</v>
      </c>
      <c r="M306" s="266">
        <v>24608.87</v>
      </c>
      <c r="N306" s="266">
        <v>394250.92</v>
      </c>
      <c r="O306" s="123">
        <v>4.6300000000000001E-2</v>
      </c>
      <c r="P306" s="123">
        <v>0.18740000000000001</v>
      </c>
      <c r="Q306" s="266">
        <v>0</v>
      </c>
      <c r="R306" s="266">
        <v>0</v>
      </c>
      <c r="S306" s="266">
        <v>0</v>
      </c>
      <c r="T306" s="266">
        <v>0</v>
      </c>
      <c r="U306" s="266">
        <v>0</v>
      </c>
      <c r="V306" s="266">
        <v>0</v>
      </c>
      <c r="W306" s="266">
        <v>0</v>
      </c>
      <c r="X306" s="266">
        <v>0</v>
      </c>
      <c r="Y306" s="266">
        <v>0</v>
      </c>
      <c r="Z306" s="266">
        <v>0</v>
      </c>
      <c r="AA306" s="266">
        <v>0</v>
      </c>
      <c r="AB306" s="266">
        <v>12564.88</v>
      </c>
      <c r="AC306" s="266">
        <v>34520.9</v>
      </c>
      <c r="AD306" s="266">
        <v>345502.21</v>
      </c>
      <c r="AE306" s="237">
        <v>40.130000000000003</v>
      </c>
      <c r="AF306" s="266">
        <v>313256.67</v>
      </c>
      <c r="AG306" s="237">
        <f t="shared" si="67"/>
        <v>7806.0470969349608</v>
      </c>
      <c r="AH306" s="237">
        <f t="shared" si="68"/>
        <v>8609.5741340642908</v>
      </c>
      <c r="AI306" s="237">
        <f t="shared" si="69"/>
        <v>803.52703712932998</v>
      </c>
      <c r="AJ306" s="237">
        <v>4.1900000000000004</v>
      </c>
      <c r="AK306" s="266">
        <v>31599.47</v>
      </c>
      <c r="AL306" s="237">
        <f t="shared" si="70"/>
        <v>7541.6396181384243</v>
      </c>
      <c r="AM306" s="237">
        <f t="shared" si="71"/>
        <v>8238.8782816229104</v>
      </c>
      <c r="AN306" s="237">
        <f t="shared" si="72"/>
        <v>697.2386634844861</v>
      </c>
      <c r="AO306" s="266">
        <v>297.60000000000002</v>
      </c>
      <c r="AP306" s="266">
        <v>0</v>
      </c>
      <c r="AQ306" s="266">
        <v>0</v>
      </c>
      <c r="AR306" s="266">
        <v>0</v>
      </c>
      <c r="AS306" s="358">
        <v>0</v>
      </c>
      <c r="AT306" s="371">
        <v>0</v>
      </c>
      <c r="AU306" s="373">
        <v>64436.81</v>
      </c>
    </row>
    <row r="307" spans="1:47">
      <c r="A307" s="238" t="s">
        <v>222</v>
      </c>
      <c r="B307" s="238" t="s">
        <v>1578</v>
      </c>
      <c r="C307" s="266">
        <v>0</v>
      </c>
      <c r="D307" s="266">
        <v>0</v>
      </c>
      <c r="E307" s="266">
        <v>16414.3</v>
      </c>
      <c r="F307" s="266">
        <v>0</v>
      </c>
      <c r="G307" s="266">
        <v>4859056.9000000004</v>
      </c>
      <c r="H307" s="266">
        <v>1011287.35</v>
      </c>
      <c r="I307" s="266">
        <v>208314.93</v>
      </c>
      <c r="J307" s="266">
        <v>83615.240000000005</v>
      </c>
      <c r="K307" s="266">
        <v>679963.59</v>
      </c>
      <c r="L307" s="266">
        <v>143527.18</v>
      </c>
      <c r="M307" s="266">
        <v>91344.38</v>
      </c>
      <c r="N307" s="266">
        <v>2171131.2400000002</v>
      </c>
      <c r="O307" s="123">
        <v>3.5799999999999998E-2</v>
      </c>
      <c r="P307" s="123">
        <v>0.16520000000000001</v>
      </c>
      <c r="Q307" s="266">
        <v>0</v>
      </c>
      <c r="R307" s="266">
        <v>0</v>
      </c>
      <c r="S307" s="266">
        <v>0</v>
      </c>
      <c r="T307" s="266">
        <v>0</v>
      </c>
      <c r="U307" s="266">
        <v>0</v>
      </c>
      <c r="V307" s="266">
        <v>0</v>
      </c>
      <c r="W307" s="266">
        <v>0</v>
      </c>
      <c r="X307" s="266">
        <v>0</v>
      </c>
      <c r="Y307" s="266">
        <v>0</v>
      </c>
      <c r="Z307" s="266">
        <v>3563.41</v>
      </c>
      <c r="AA307" s="266">
        <v>0</v>
      </c>
      <c r="AB307" s="266">
        <v>119029.5</v>
      </c>
      <c r="AC307" s="266">
        <v>393295.58</v>
      </c>
      <c r="AD307" s="266">
        <v>1650400.06</v>
      </c>
      <c r="AE307" s="237">
        <v>190.29</v>
      </c>
      <c r="AF307" s="266">
        <v>1546804.85</v>
      </c>
      <c r="AG307" s="237">
        <f t="shared" si="67"/>
        <v>8128.6712386357676</v>
      </c>
      <c r="AH307" s="237">
        <f t="shared" si="68"/>
        <v>8673.0782489883859</v>
      </c>
      <c r="AI307" s="237">
        <f t="shared" si="69"/>
        <v>544.40701035261827</v>
      </c>
      <c r="AJ307" s="237">
        <v>45.85</v>
      </c>
      <c r="AK307" s="266">
        <v>360306.75</v>
      </c>
      <c r="AL307" s="237">
        <f t="shared" si="70"/>
        <v>7858.380588876772</v>
      </c>
      <c r="AM307" s="237">
        <f t="shared" si="71"/>
        <v>8577.8752453653215</v>
      </c>
      <c r="AN307" s="237">
        <f t="shared" si="72"/>
        <v>719.49465648854948</v>
      </c>
      <c r="AO307" s="266">
        <v>0</v>
      </c>
      <c r="AP307" s="266">
        <v>0</v>
      </c>
      <c r="AQ307" s="266">
        <v>0</v>
      </c>
      <c r="AR307" s="266">
        <v>0</v>
      </c>
      <c r="AS307" s="358">
        <v>48525.97</v>
      </c>
      <c r="AT307" s="371">
        <v>21469.97</v>
      </c>
      <c r="AU307" s="373">
        <v>203579.56</v>
      </c>
    </row>
    <row r="308" spans="1:47">
      <c r="A308" s="238" t="s">
        <v>165</v>
      </c>
      <c r="B308" s="238" t="s">
        <v>1579</v>
      </c>
      <c r="C308" s="266">
        <v>0</v>
      </c>
      <c r="D308" s="266">
        <v>0</v>
      </c>
      <c r="E308" s="266">
        <v>0</v>
      </c>
      <c r="F308" s="266">
        <v>0</v>
      </c>
      <c r="G308" s="266">
        <v>31081.15</v>
      </c>
      <c r="H308" s="266">
        <v>3117.39</v>
      </c>
      <c r="I308" s="266">
        <v>0</v>
      </c>
      <c r="J308" s="266">
        <v>14879.78</v>
      </c>
      <c r="K308" s="266">
        <v>23464.27</v>
      </c>
      <c r="L308" s="266">
        <v>0</v>
      </c>
      <c r="M308" s="266">
        <v>1526.13</v>
      </c>
      <c r="N308" s="266">
        <v>139450.01999999999</v>
      </c>
      <c r="O308" s="123">
        <v>6.4199999999999993E-2</v>
      </c>
      <c r="P308" s="123">
        <v>0.30590000000000001</v>
      </c>
      <c r="Q308" s="266">
        <v>0</v>
      </c>
      <c r="R308" s="266">
        <v>0</v>
      </c>
      <c r="S308" s="266">
        <v>0</v>
      </c>
      <c r="T308" s="266">
        <v>0</v>
      </c>
      <c r="U308" s="266">
        <v>0</v>
      </c>
      <c r="V308" s="266">
        <v>0</v>
      </c>
      <c r="W308" s="266">
        <v>0</v>
      </c>
      <c r="X308" s="266">
        <v>0</v>
      </c>
      <c r="Y308" s="266">
        <v>0</v>
      </c>
      <c r="Z308" s="266">
        <v>0</v>
      </c>
      <c r="AA308" s="266">
        <v>0</v>
      </c>
      <c r="AB308" s="266">
        <v>0</v>
      </c>
      <c r="AC308" s="266">
        <v>0</v>
      </c>
      <c r="AD308" s="266">
        <v>18597.560000000001</v>
      </c>
      <c r="AE308" s="237">
        <v>2.2599999999999998</v>
      </c>
      <c r="AF308" s="266">
        <v>17615.759999999998</v>
      </c>
      <c r="AG308" s="237">
        <f t="shared" si="67"/>
        <v>7794.5840707964599</v>
      </c>
      <c r="AH308" s="237">
        <f t="shared" si="68"/>
        <v>8229.0088495575237</v>
      </c>
      <c r="AI308" s="237">
        <f t="shared" si="69"/>
        <v>434.42477876106386</v>
      </c>
      <c r="AJ308" s="237">
        <v>0</v>
      </c>
      <c r="AK308" s="266">
        <v>0</v>
      </c>
      <c r="AL308" s="237">
        <f t="shared" si="70"/>
        <v>0</v>
      </c>
      <c r="AM308" s="237">
        <f t="shared" si="71"/>
        <v>0</v>
      </c>
      <c r="AN308" s="237">
        <f t="shared" si="72"/>
        <v>0</v>
      </c>
      <c r="AO308" s="266">
        <v>7.34</v>
      </c>
      <c r="AP308" s="266">
        <v>0</v>
      </c>
      <c r="AQ308" s="266">
        <v>0</v>
      </c>
      <c r="AR308" s="266">
        <v>0</v>
      </c>
      <c r="AS308" s="358">
        <v>2611.9699999999998</v>
      </c>
      <c r="AT308" s="371">
        <v>1270.1899999999996</v>
      </c>
      <c r="AU308" s="373">
        <v>12138.61</v>
      </c>
    </row>
    <row r="309" spans="1:47">
      <c r="A309" s="238" t="s">
        <v>257</v>
      </c>
      <c r="B309" s="238" t="s">
        <v>1580</v>
      </c>
      <c r="C309" s="266">
        <v>0</v>
      </c>
      <c r="D309" s="266">
        <v>0</v>
      </c>
      <c r="E309" s="266">
        <v>8468.34</v>
      </c>
      <c r="F309" s="266">
        <v>7502.22</v>
      </c>
      <c r="G309" s="266">
        <v>0</v>
      </c>
      <c r="H309" s="266">
        <v>0</v>
      </c>
      <c r="I309" s="266">
        <v>0</v>
      </c>
      <c r="J309" s="266">
        <v>36436.39</v>
      </c>
      <c r="K309" s="266">
        <v>94906.3</v>
      </c>
      <c r="L309" s="266">
        <v>29933.56</v>
      </c>
      <c r="M309" s="266">
        <v>7153.74</v>
      </c>
      <c r="N309" s="266">
        <v>159310.81</v>
      </c>
      <c r="O309" s="123">
        <v>5.7000000000000002E-2</v>
      </c>
      <c r="P309" s="123">
        <v>0.24160000000000001</v>
      </c>
      <c r="Q309" s="266">
        <v>0</v>
      </c>
      <c r="R309" s="266">
        <v>0</v>
      </c>
      <c r="S309" s="266">
        <v>0</v>
      </c>
      <c r="T309" s="266">
        <v>0</v>
      </c>
      <c r="U309" s="266">
        <v>0</v>
      </c>
      <c r="V309" s="266">
        <v>0</v>
      </c>
      <c r="W309" s="266">
        <v>0</v>
      </c>
      <c r="X309" s="266">
        <v>0</v>
      </c>
      <c r="Y309" s="266">
        <v>0</v>
      </c>
      <c r="Z309" s="266">
        <v>297.5</v>
      </c>
      <c r="AA309" s="266">
        <v>0</v>
      </c>
      <c r="AB309" s="266">
        <v>0</v>
      </c>
      <c r="AC309" s="266">
        <v>13263.75</v>
      </c>
      <c r="AD309" s="266">
        <v>104109.63</v>
      </c>
      <c r="AE309" s="237">
        <v>12.11</v>
      </c>
      <c r="AF309" s="266">
        <v>94541.55</v>
      </c>
      <c r="AG309" s="237">
        <f t="shared" si="67"/>
        <v>7806.8992568125523</v>
      </c>
      <c r="AH309" s="237">
        <f t="shared" si="68"/>
        <v>8596.9966969446741</v>
      </c>
      <c r="AI309" s="237">
        <f t="shared" si="69"/>
        <v>790.09744013212185</v>
      </c>
      <c r="AJ309" s="237">
        <v>1.61</v>
      </c>
      <c r="AK309" s="266">
        <v>12101.12</v>
      </c>
      <c r="AL309" s="237">
        <f t="shared" si="70"/>
        <v>7516.2236024844724</v>
      </c>
      <c r="AM309" s="237">
        <f t="shared" si="71"/>
        <v>8238.3540372670795</v>
      </c>
      <c r="AN309" s="237">
        <f t="shared" si="72"/>
        <v>722.13043478260715</v>
      </c>
      <c r="AO309" s="266">
        <v>0</v>
      </c>
      <c r="AP309" s="266">
        <v>0</v>
      </c>
      <c r="AQ309" s="266">
        <v>0</v>
      </c>
      <c r="AR309" s="266">
        <v>0</v>
      </c>
      <c r="AS309" s="358">
        <v>21718.03</v>
      </c>
      <c r="AT309" s="371">
        <v>1.8189894035458565E-12</v>
      </c>
      <c r="AU309" s="373">
        <v>19044.170000000002</v>
      </c>
    </row>
    <row r="310" spans="1:47">
      <c r="A310" s="238" t="s">
        <v>625</v>
      </c>
      <c r="B310" s="238" t="s">
        <v>1581</v>
      </c>
      <c r="C310" s="266">
        <v>0</v>
      </c>
      <c r="D310" s="266">
        <v>0</v>
      </c>
      <c r="E310" s="266">
        <v>0</v>
      </c>
      <c r="F310" s="266">
        <v>0</v>
      </c>
      <c r="G310" s="266">
        <v>534249.19999999995</v>
      </c>
      <c r="H310" s="266">
        <v>81718.89</v>
      </c>
      <c r="I310" s="266">
        <v>28942.46</v>
      </c>
      <c r="J310" s="266">
        <v>103109.26</v>
      </c>
      <c r="K310" s="266">
        <v>204406.25</v>
      </c>
      <c r="L310" s="266">
        <v>0</v>
      </c>
      <c r="M310" s="266">
        <v>12113.67</v>
      </c>
      <c r="N310" s="266">
        <v>279434.32</v>
      </c>
      <c r="O310" s="123">
        <v>3.5900000000000001E-2</v>
      </c>
      <c r="P310" s="123">
        <v>0.35349999999999998</v>
      </c>
      <c r="Q310" s="266">
        <v>0</v>
      </c>
      <c r="R310" s="266">
        <v>0</v>
      </c>
      <c r="S310" s="266">
        <v>0</v>
      </c>
      <c r="T310" s="266">
        <v>0</v>
      </c>
      <c r="U310" s="266">
        <v>0</v>
      </c>
      <c r="V310" s="266">
        <v>0</v>
      </c>
      <c r="W310" s="266">
        <v>0</v>
      </c>
      <c r="X310" s="266">
        <v>0</v>
      </c>
      <c r="Y310" s="266">
        <v>0</v>
      </c>
      <c r="Z310" s="266">
        <v>0</v>
      </c>
      <c r="AA310" s="266">
        <v>0</v>
      </c>
      <c r="AB310" s="266">
        <v>0</v>
      </c>
      <c r="AC310" s="266">
        <v>0</v>
      </c>
      <c r="AD310" s="266">
        <v>52509.95</v>
      </c>
      <c r="AE310" s="237">
        <v>6.38</v>
      </c>
      <c r="AF310" s="266">
        <v>49800.03</v>
      </c>
      <c r="AG310" s="237">
        <f t="shared" si="67"/>
        <v>7805.6473354231975</v>
      </c>
      <c r="AH310" s="237">
        <f t="shared" si="68"/>
        <v>8230.3996865203753</v>
      </c>
      <c r="AI310" s="237">
        <f t="shared" si="69"/>
        <v>424.75235109717778</v>
      </c>
      <c r="AJ310" s="237">
        <v>0</v>
      </c>
      <c r="AK310" s="266">
        <v>0</v>
      </c>
      <c r="AL310" s="237">
        <f t="shared" si="70"/>
        <v>0</v>
      </c>
      <c r="AM310" s="237">
        <f t="shared" si="71"/>
        <v>0</v>
      </c>
      <c r="AN310" s="237">
        <f t="shared" si="72"/>
        <v>0</v>
      </c>
      <c r="AO310" s="266">
        <v>0</v>
      </c>
      <c r="AP310" s="266">
        <v>0</v>
      </c>
      <c r="AQ310" s="266">
        <v>0</v>
      </c>
      <c r="AR310" s="266">
        <v>0</v>
      </c>
      <c r="AS310" s="358">
        <v>44834.400000000001</v>
      </c>
      <c r="AT310" s="371">
        <v>0</v>
      </c>
      <c r="AU310" s="373">
        <v>30330.28</v>
      </c>
    </row>
    <row r="311" spans="1:47">
      <c r="A311" s="238" t="s">
        <v>203</v>
      </c>
      <c r="B311" s="238" t="s">
        <v>1582</v>
      </c>
      <c r="C311" s="266">
        <v>0</v>
      </c>
      <c r="D311" s="266">
        <v>0</v>
      </c>
      <c r="E311" s="266">
        <v>42294.18</v>
      </c>
      <c r="F311" s="266">
        <v>102028.22</v>
      </c>
      <c r="G311" s="266">
        <v>9213963.4299999997</v>
      </c>
      <c r="H311" s="266">
        <v>1770280.22</v>
      </c>
      <c r="I311" s="266">
        <v>513296.33</v>
      </c>
      <c r="J311" s="266">
        <v>1134276.44</v>
      </c>
      <c r="K311" s="266">
        <v>2886181.46</v>
      </c>
      <c r="L311" s="266">
        <v>2852725.85</v>
      </c>
      <c r="M311" s="266">
        <v>222237.9</v>
      </c>
      <c r="N311" s="266">
        <v>2282438.91</v>
      </c>
      <c r="O311" s="123">
        <v>3.78E-2</v>
      </c>
      <c r="P311" s="123">
        <v>0.14929999999999999</v>
      </c>
      <c r="Q311" s="266">
        <v>0</v>
      </c>
      <c r="R311" s="266">
        <v>0</v>
      </c>
      <c r="S311" s="266">
        <v>0</v>
      </c>
      <c r="T311" s="266">
        <v>148775.77000000002</v>
      </c>
      <c r="U311" s="266">
        <v>0</v>
      </c>
      <c r="V311" s="266">
        <v>6096.96</v>
      </c>
      <c r="W311" s="266">
        <v>0</v>
      </c>
      <c r="X311" s="266">
        <v>0</v>
      </c>
      <c r="Y311" s="266">
        <v>0</v>
      </c>
      <c r="Z311" s="266">
        <v>8407.94</v>
      </c>
      <c r="AA311" s="266">
        <v>0.21</v>
      </c>
      <c r="AB311" s="266">
        <v>335993.41</v>
      </c>
      <c r="AC311" s="266">
        <v>422740.47</v>
      </c>
      <c r="AD311" s="266">
        <v>3769022.49</v>
      </c>
      <c r="AE311" s="237">
        <v>415.34</v>
      </c>
      <c r="AF311" s="266">
        <v>3376080.3</v>
      </c>
      <c r="AG311" s="237">
        <f t="shared" si="67"/>
        <v>8128.4737805171671</v>
      </c>
      <c r="AH311" s="237">
        <f t="shared" si="68"/>
        <v>9074.5473347137304</v>
      </c>
      <c r="AI311" s="237">
        <f t="shared" si="69"/>
        <v>946.07355419656324</v>
      </c>
      <c r="AJ311" s="237">
        <v>49.28</v>
      </c>
      <c r="AK311" s="266">
        <v>387132.38</v>
      </c>
      <c r="AL311" s="237">
        <f t="shared" si="70"/>
        <v>7855.7706980519479</v>
      </c>
      <c r="AM311" s="237">
        <f t="shared" si="71"/>
        <v>8578.337459415583</v>
      </c>
      <c r="AN311" s="237">
        <f t="shared" si="72"/>
        <v>722.56676136363512</v>
      </c>
      <c r="AO311" s="266">
        <v>5477.89</v>
      </c>
      <c r="AP311" s="266">
        <v>0</v>
      </c>
      <c r="AQ311" s="266">
        <v>0</v>
      </c>
      <c r="AR311" s="266">
        <v>0</v>
      </c>
      <c r="AS311" s="358">
        <v>49691.99</v>
      </c>
      <c r="AT311" s="371">
        <v>4122.4800000000687</v>
      </c>
      <c r="AU311" s="373">
        <v>507726.16999999993</v>
      </c>
    </row>
    <row r="312" spans="1:47">
      <c r="A312" s="238" t="s">
        <v>616</v>
      </c>
      <c r="B312" s="238" t="s">
        <v>1583</v>
      </c>
      <c r="C312" s="266">
        <v>0</v>
      </c>
      <c r="D312" s="266">
        <v>0</v>
      </c>
      <c r="E312" s="266">
        <v>0</v>
      </c>
      <c r="F312" s="266">
        <v>0</v>
      </c>
      <c r="G312" s="266">
        <v>4202629.82</v>
      </c>
      <c r="H312" s="266">
        <v>718590.76</v>
      </c>
      <c r="I312" s="266">
        <v>398441.37</v>
      </c>
      <c r="J312" s="266">
        <v>517835.52000000002</v>
      </c>
      <c r="K312" s="266">
        <v>1147841.71</v>
      </c>
      <c r="L312" s="266">
        <v>189516.76</v>
      </c>
      <c r="M312" s="266">
        <v>99389.32</v>
      </c>
      <c r="N312" s="266">
        <v>1632214.61</v>
      </c>
      <c r="O312" s="123">
        <v>5.2499999999999998E-2</v>
      </c>
      <c r="P312" s="123">
        <v>0.21279999999999999</v>
      </c>
      <c r="Q312" s="266">
        <v>0</v>
      </c>
      <c r="R312" s="266">
        <v>0</v>
      </c>
      <c r="S312" s="266">
        <v>0</v>
      </c>
      <c r="T312" s="266">
        <v>0</v>
      </c>
      <c r="U312" s="266">
        <v>0</v>
      </c>
      <c r="V312" s="266">
        <v>0</v>
      </c>
      <c r="W312" s="266">
        <v>0</v>
      </c>
      <c r="X312" s="266">
        <v>0</v>
      </c>
      <c r="Y312" s="266">
        <v>0</v>
      </c>
      <c r="Z312" s="266">
        <v>4102.43</v>
      </c>
      <c r="AA312" s="266">
        <v>54064.17</v>
      </c>
      <c r="AB312" s="266">
        <v>0</v>
      </c>
      <c r="AC312" s="266">
        <v>856935.58</v>
      </c>
      <c r="AD312" s="266">
        <v>1575481.94</v>
      </c>
      <c r="AE312" s="237">
        <v>189.63</v>
      </c>
      <c r="AF312" s="266">
        <v>1479847.91</v>
      </c>
      <c r="AG312" s="237">
        <f t="shared" si="67"/>
        <v>7803.870220956599</v>
      </c>
      <c r="AH312" s="237">
        <f t="shared" si="68"/>
        <v>8308.1893160364925</v>
      </c>
      <c r="AI312" s="237">
        <f t="shared" si="69"/>
        <v>504.31909507989349</v>
      </c>
      <c r="AJ312" s="237">
        <v>104.11</v>
      </c>
      <c r="AK312" s="266">
        <v>784720.2</v>
      </c>
      <c r="AL312" s="237">
        <f t="shared" si="70"/>
        <v>7537.4142733647104</v>
      </c>
      <c r="AM312" s="237">
        <f t="shared" si="71"/>
        <v>8231.059264239746</v>
      </c>
      <c r="AN312" s="237">
        <f t="shared" si="72"/>
        <v>693.64499087503555</v>
      </c>
      <c r="AO312" s="266">
        <v>0</v>
      </c>
      <c r="AP312" s="266">
        <v>0</v>
      </c>
      <c r="AQ312" s="266">
        <v>0</v>
      </c>
      <c r="AR312" s="266">
        <v>0</v>
      </c>
      <c r="AS312" s="358">
        <v>174201.34</v>
      </c>
      <c r="AT312" s="371">
        <v>30147.309999999998</v>
      </c>
      <c r="AU312" s="373">
        <v>203220.31</v>
      </c>
    </row>
    <row r="313" spans="1:47">
      <c r="A313" s="238" t="s">
        <v>739</v>
      </c>
      <c r="B313" s="238" t="s">
        <v>1584</v>
      </c>
      <c r="C313" s="266">
        <v>0</v>
      </c>
      <c r="D313" s="266">
        <v>0</v>
      </c>
      <c r="E313" s="266">
        <v>0</v>
      </c>
      <c r="F313" s="266">
        <v>0</v>
      </c>
      <c r="G313" s="266">
        <v>6805003.2400000002</v>
      </c>
      <c r="H313" s="266">
        <v>1404282.46</v>
      </c>
      <c r="I313" s="266">
        <v>440600.01</v>
      </c>
      <c r="J313" s="266">
        <v>352629.48</v>
      </c>
      <c r="K313" s="266">
        <v>1504773.29</v>
      </c>
      <c r="L313" s="266">
        <v>613485.19999999995</v>
      </c>
      <c r="M313" s="266">
        <v>154482.43</v>
      </c>
      <c r="N313" s="266">
        <v>2267940.27</v>
      </c>
      <c r="O313" s="123">
        <v>8.0799999999999997E-2</v>
      </c>
      <c r="P313" s="123">
        <v>0.18679999999999999</v>
      </c>
      <c r="Q313" s="266">
        <v>0</v>
      </c>
      <c r="R313" s="266">
        <v>0</v>
      </c>
      <c r="S313" s="266">
        <v>0</v>
      </c>
      <c r="T313" s="266">
        <v>0</v>
      </c>
      <c r="U313" s="266">
        <v>0</v>
      </c>
      <c r="V313" s="266">
        <v>0</v>
      </c>
      <c r="W313" s="266">
        <v>0</v>
      </c>
      <c r="X313" s="266">
        <v>0</v>
      </c>
      <c r="Y313" s="266">
        <v>0</v>
      </c>
      <c r="Z313" s="266">
        <v>5923.65</v>
      </c>
      <c r="AA313" s="266">
        <v>0</v>
      </c>
      <c r="AB313" s="266">
        <v>0</v>
      </c>
      <c r="AC313" s="266">
        <v>2213542.2599999998</v>
      </c>
      <c r="AD313" s="266">
        <v>2760072.03</v>
      </c>
      <c r="AE313" s="237">
        <v>311.94</v>
      </c>
      <c r="AF313" s="266">
        <v>2535664.7000000002</v>
      </c>
      <c r="AG313" s="237">
        <f t="shared" si="67"/>
        <v>8128.6936590369951</v>
      </c>
      <c r="AH313" s="237">
        <f t="shared" si="68"/>
        <v>8848.0862665897275</v>
      </c>
      <c r="AI313" s="237">
        <f t="shared" si="69"/>
        <v>719.39260755273244</v>
      </c>
      <c r="AJ313" s="237">
        <v>258.02</v>
      </c>
      <c r="AK313" s="266">
        <v>2027274.64</v>
      </c>
      <c r="AL313" s="237">
        <f t="shared" si="70"/>
        <v>7857.0445701883573</v>
      </c>
      <c r="AM313" s="237">
        <f t="shared" si="71"/>
        <v>8578.9561274319822</v>
      </c>
      <c r="AN313" s="237">
        <f t="shared" si="72"/>
        <v>721.91155724362488</v>
      </c>
      <c r="AO313" s="266">
        <v>1299.6099999999999</v>
      </c>
      <c r="AP313" s="266">
        <v>0</v>
      </c>
      <c r="AQ313" s="266">
        <v>0</v>
      </c>
      <c r="AR313" s="266">
        <v>0</v>
      </c>
      <c r="AS313" s="358">
        <v>361870.95</v>
      </c>
      <c r="AT313" s="371">
        <v>33571.53</v>
      </c>
      <c r="AU313" s="373">
        <v>348179.93</v>
      </c>
    </row>
    <row r="314" spans="1:47">
      <c r="A314" s="238" t="s">
        <v>441</v>
      </c>
      <c r="B314" s="238" t="s">
        <v>1585</v>
      </c>
      <c r="C314" s="266">
        <v>0</v>
      </c>
      <c r="D314" s="266">
        <v>0</v>
      </c>
      <c r="E314" s="266">
        <v>13385.4</v>
      </c>
      <c r="F314" s="266">
        <v>0</v>
      </c>
      <c r="G314" s="266">
        <v>437590.87</v>
      </c>
      <c r="H314" s="266">
        <v>68456.759999999995</v>
      </c>
      <c r="I314" s="266">
        <v>2081.31</v>
      </c>
      <c r="J314" s="266">
        <v>107878.43</v>
      </c>
      <c r="K314" s="266">
        <v>162151.48000000001</v>
      </c>
      <c r="L314" s="266">
        <v>0</v>
      </c>
      <c r="M314" s="266">
        <v>10205.99</v>
      </c>
      <c r="N314" s="266">
        <v>447045.62</v>
      </c>
      <c r="O314" s="123">
        <v>2.46E-2</v>
      </c>
      <c r="P314" s="123">
        <v>0.1996</v>
      </c>
      <c r="Q314" s="266">
        <v>0</v>
      </c>
      <c r="R314" s="266">
        <v>0</v>
      </c>
      <c r="S314" s="266">
        <v>0</v>
      </c>
      <c r="T314" s="266">
        <v>0</v>
      </c>
      <c r="U314" s="266">
        <v>0</v>
      </c>
      <c r="V314" s="266">
        <v>0</v>
      </c>
      <c r="W314" s="266">
        <v>0</v>
      </c>
      <c r="X314" s="266">
        <v>0</v>
      </c>
      <c r="Y314" s="266">
        <v>0</v>
      </c>
      <c r="Z314" s="266">
        <v>420.45</v>
      </c>
      <c r="AA314" s="266">
        <v>0</v>
      </c>
      <c r="AB314" s="266">
        <v>0</v>
      </c>
      <c r="AC314" s="266">
        <v>64176.26</v>
      </c>
      <c r="AD314" s="266">
        <v>298194.46000000002</v>
      </c>
      <c r="AE314" s="237">
        <v>35.770000000000003</v>
      </c>
      <c r="AF314" s="266">
        <v>279230.78000000003</v>
      </c>
      <c r="AG314" s="237">
        <f t="shared" si="67"/>
        <v>7806.2840369024325</v>
      </c>
      <c r="AH314" s="237">
        <f t="shared" si="68"/>
        <v>8336.4400335476657</v>
      </c>
      <c r="AI314" s="237">
        <f t="shared" si="69"/>
        <v>530.15599664523324</v>
      </c>
      <c r="AJ314" s="237">
        <v>7.79</v>
      </c>
      <c r="AK314" s="266">
        <v>58811.6</v>
      </c>
      <c r="AL314" s="237">
        <f t="shared" si="70"/>
        <v>7549.6277278562256</v>
      </c>
      <c r="AM314" s="237">
        <f t="shared" si="71"/>
        <v>8238.28754813864</v>
      </c>
      <c r="AN314" s="237">
        <f t="shared" si="72"/>
        <v>688.65982028241433</v>
      </c>
      <c r="AO314" s="266">
        <v>0</v>
      </c>
      <c r="AP314" s="266">
        <v>0</v>
      </c>
      <c r="AQ314" s="266">
        <v>0</v>
      </c>
      <c r="AR314" s="266">
        <v>0</v>
      </c>
      <c r="AS314" s="358">
        <v>25710.23</v>
      </c>
      <c r="AT314" s="371">
        <v>1412.7900000000009</v>
      </c>
      <c r="AU314" s="373">
        <v>26671.760000000002</v>
      </c>
    </row>
    <row r="315" spans="1:47">
      <c r="A315" s="238" t="s">
        <v>534</v>
      </c>
      <c r="B315" s="238" t="s">
        <v>1586</v>
      </c>
      <c r="C315" s="266">
        <v>0</v>
      </c>
      <c r="D315" s="266">
        <v>0</v>
      </c>
      <c r="E315" s="266">
        <v>67273.899999999994</v>
      </c>
      <c r="F315" s="266">
        <v>0</v>
      </c>
      <c r="G315" s="266">
        <v>5117531.0999999996</v>
      </c>
      <c r="H315" s="266">
        <v>1050663.6599999999</v>
      </c>
      <c r="I315" s="266">
        <v>112838.35</v>
      </c>
      <c r="J315" s="266">
        <v>0</v>
      </c>
      <c r="K315" s="266">
        <v>741997.48</v>
      </c>
      <c r="L315" s="266">
        <v>223855.15</v>
      </c>
      <c r="M315" s="266">
        <v>114331.05</v>
      </c>
      <c r="N315" s="266">
        <v>2617621.13</v>
      </c>
      <c r="O315" s="123">
        <v>4.7800000000000002E-2</v>
      </c>
      <c r="P315" s="123">
        <v>0.1585</v>
      </c>
      <c r="Q315" s="266">
        <v>0</v>
      </c>
      <c r="R315" s="266">
        <v>0</v>
      </c>
      <c r="S315" s="266">
        <v>0</v>
      </c>
      <c r="T315" s="266">
        <v>0</v>
      </c>
      <c r="U315" s="266">
        <v>0</v>
      </c>
      <c r="V315" s="266">
        <v>0</v>
      </c>
      <c r="W315" s="266">
        <v>204837.21</v>
      </c>
      <c r="X315" s="266">
        <v>8592.58</v>
      </c>
      <c r="Y315" s="266">
        <v>19034.374</v>
      </c>
      <c r="Z315" s="266">
        <v>2630.29</v>
      </c>
      <c r="AA315" s="266">
        <v>19453.259999999998</v>
      </c>
      <c r="AB315" s="266">
        <v>228091.05</v>
      </c>
      <c r="AC315" s="266">
        <v>259976.59</v>
      </c>
      <c r="AD315" s="266">
        <v>2325487.7799999998</v>
      </c>
      <c r="AE315" s="237">
        <v>259.27</v>
      </c>
      <c r="AF315" s="266">
        <v>2107517.9300000002</v>
      </c>
      <c r="AG315" s="237">
        <f t="shared" si="67"/>
        <v>8128.6609711883375</v>
      </c>
      <c r="AH315" s="237">
        <f t="shared" si="68"/>
        <v>8969.3669919389049</v>
      </c>
      <c r="AI315" s="237">
        <f t="shared" si="69"/>
        <v>840.7060207505674</v>
      </c>
      <c r="AJ315" s="237">
        <v>30.32</v>
      </c>
      <c r="AK315" s="266">
        <v>238180.92</v>
      </c>
      <c r="AL315" s="237">
        <f t="shared" si="70"/>
        <v>7855.5712401055416</v>
      </c>
      <c r="AM315" s="237">
        <f t="shared" si="71"/>
        <v>8574.4257915567287</v>
      </c>
      <c r="AN315" s="237">
        <f t="shared" si="72"/>
        <v>718.85455145118704</v>
      </c>
      <c r="AO315" s="266">
        <v>0</v>
      </c>
      <c r="AP315" s="266">
        <v>0</v>
      </c>
      <c r="AQ315" s="266">
        <v>0</v>
      </c>
      <c r="AR315" s="266">
        <v>0</v>
      </c>
      <c r="AS315" s="358">
        <v>151063.59</v>
      </c>
      <c r="AT315" s="371">
        <v>0</v>
      </c>
      <c r="AU315" s="373">
        <v>242561.03999999998</v>
      </c>
    </row>
    <row r="316" spans="1:47">
      <c r="A316" s="238" t="s">
        <v>415</v>
      </c>
      <c r="B316" s="238" t="s">
        <v>1587</v>
      </c>
      <c r="C316" s="266">
        <v>0</v>
      </c>
      <c r="D316" s="266">
        <v>0</v>
      </c>
      <c r="E316" s="266">
        <v>30529.3</v>
      </c>
      <c r="F316" s="266">
        <v>0</v>
      </c>
      <c r="G316" s="266">
        <v>0</v>
      </c>
      <c r="H316" s="266">
        <v>0</v>
      </c>
      <c r="I316" s="266">
        <v>0</v>
      </c>
      <c r="J316" s="266">
        <v>0</v>
      </c>
      <c r="K316" s="266">
        <v>332219.77</v>
      </c>
      <c r="L316" s="266">
        <v>291758.52</v>
      </c>
      <c r="M316" s="266">
        <v>34337.96</v>
      </c>
      <c r="N316" s="266">
        <v>735269.83</v>
      </c>
      <c r="O316" s="123">
        <v>4.87E-2</v>
      </c>
      <c r="P316" s="123">
        <v>0.16450000000000001</v>
      </c>
      <c r="Q316" s="266">
        <v>0</v>
      </c>
      <c r="R316" s="266">
        <v>0</v>
      </c>
      <c r="S316" s="266">
        <v>0</v>
      </c>
      <c r="T316" s="266">
        <v>0</v>
      </c>
      <c r="U316" s="266">
        <v>0</v>
      </c>
      <c r="V316" s="266">
        <v>0</v>
      </c>
      <c r="W316" s="266">
        <v>0</v>
      </c>
      <c r="X316" s="266">
        <v>0</v>
      </c>
      <c r="Y316" s="266">
        <v>0</v>
      </c>
      <c r="Z316" s="266">
        <v>0</v>
      </c>
      <c r="AA316" s="266">
        <v>0</v>
      </c>
      <c r="AB316" s="266">
        <v>0</v>
      </c>
      <c r="AC316" s="266">
        <v>0</v>
      </c>
      <c r="AD316" s="266">
        <v>468118.31</v>
      </c>
      <c r="AE316" s="237">
        <v>56.52</v>
      </c>
      <c r="AF316" s="266">
        <v>441188.14</v>
      </c>
      <c r="AG316" s="237">
        <f t="shared" si="67"/>
        <v>7805.8765038924275</v>
      </c>
      <c r="AH316" s="237">
        <f t="shared" si="68"/>
        <v>8282.3480184005657</v>
      </c>
      <c r="AI316" s="237">
        <f t="shared" si="69"/>
        <v>476.47151450813817</v>
      </c>
      <c r="AJ316" s="237">
        <v>0</v>
      </c>
      <c r="AK316" s="266">
        <v>0</v>
      </c>
      <c r="AL316" s="237">
        <f t="shared" si="70"/>
        <v>0</v>
      </c>
      <c r="AM316" s="237">
        <f t="shared" si="71"/>
        <v>0</v>
      </c>
      <c r="AN316" s="237">
        <f t="shared" si="72"/>
        <v>0</v>
      </c>
      <c r="AO316" s="266">
        <v>0</v>
      </c>
      <c r="AP316" s="266">
        <v>0</v>
      </c>
      <c r="AQ316" s="266">
        <v>0</v>
      </c>
      <c r="AR316" s="266">
        <v>0</v>
      </c>
      <c r="AS316" s="358">
        <v>0</v>
      </c>
      <c r="AT316" s="371">
        <v>0</v>
      </c>
      <c r="AU316" s="373">
        <v>67137.47</v>
      </c>
    </row>
    <row r="317" spans="1:47">
      <c r="A317" s="238" t="s">
        <v>455</v>
      </c>
      <c r="B317" s="238" t="s">
        <v>1588</v>
      </c>
      <c r="C317" s="266">
        <v>0</v>
      </c>
      <c r="D317" s="266">
        <v>0</v>
      </c>
      <c r="E317" s="266">
        <v>0</v>
      </c>
      <c r="F317" s="266">
        <v>0</v>
      </c>
      <c r="G317" s="266">
        <v>280855.94</v>
      </c>
      <c r="H317" s="266">
        <v>62464.78</v>
      </c>
      <c r="I317" s="266">
        <v>0</v>
      </c>
      <c r="J317" s="266">
        <v>0</v>
      </c>
      <c r="K317" s="266">
        <v>65719.039999999994</v>
      </c>
      <c r="L317" s="266">
        <v>0</v>
      </c>
      <c r="M317" s="266">
        <v>6199.91</v>
      </c>
      <c r="N317" s="266">
        <v>0</v>
      </c>
      <c r="O317" s="123">
        <v>3.9100000000000003E-2</v>
      </c>
      <c r="P317" s="123">
        <v>0.28520000000000001</v>
      </c>
      <c r="Q317" s="266">
        <v>0</v>
      </c>
      <c r="R317" s="266">
        <v>0</v>
      </c>
      <c r="S317" s="266">
        <v>0</v>
      </c>
      <c r="T317" s="266">
        <v>0</v>
      </c>
      <c r="U317" s="266">
        <v>0</v>
      </c>
      <c r="V317" s="266">
        <v>0</v>
      </c>
      <c r="W317" s="266">
        <v>0</v>
      </c>
      <c r="X317" s="266">
        <v>0</v>
      </c>
      <c r="Y317" s="266">
        <v>0</v>
      </c>
      <c r="Z317" s="266">
        <v>0</v>
      </c>
      <c r="AA317" s="266">
        <v>5567.01</v>
      </c>
      <c r="AB317" s="266">
        <v>3071.52</v>
      </c>
      <c r="AC317" s="266">
        <v>56663.72</v>
      </c>
      <c r="AD317" s="266">
        <v>81267.570000000007</v>
      </c>
      <c r="AE317" s="237">
        <v>9.85</v>
      </c>
      <c r="AF317" s="266">
        <v>76904.570000000007</v>
      </c>
      <c r="AG317" s="237">
        <f t="shared" si="67"/>
        <v>7807.5705583756353</v>
      </c>
      <c r="AH317" s="237">
        <f t="shared" si="68"/>
        <v>8250.5147208121834</v>
      </c>
      <c r="AI317" s="237">
        <f t="shared" si="69"/>
        <v>442.94416243654814</v>
      </c>
      <c r="AJ317" s="237">
        <v>6.89</v>
      </c>
      <c r="AK317" s="266">
        <v>52019.69</v>
      </c>
      <c r="AL317" s="237">
        <f t="shared" si="70"/>
        <v>7550.027576197388</v>
      </c>
      <c r="AM317" s="237">
        <f t="shared" si="71"/>
        <v>8224.0522496371559</v>
      </c>
      <c r="AN317" s="237">
        <f t="shared" si="72"/>
        <v>674.02467343976787</v>
      </c>
      <c r="AO317" s="266">
        <v>0</v>
      </c>
      <c r="AP317" s="266">
        <v>0</v>
      </c>
      <c r="AQ317" s="266">
        <v>0</v>
      </c>
      <c r="AR317" s="266">
        <v>0</v>
      </c>
      <c r="AS317" s="358">
        <v>0</v>
      </c>
      <c r="AT317" s="371">
        <v>0</v>
      </c>
      <c r="AU317" s="373">
        <v>18558.52</v>
      </c>
    </row>
    <row r="318" spans="1:47">
      <c r="A318" s="238" t="s">
        <v>498</v>
      </c>
      <c r="B318" s="238" t="s">
        <v>1589</v>
      </c>
      <c r="C318" s="266">
        <v>0</v>
      </c>
      <c r="D318" s="266">
        <v>0</v>
      </c>
      <c r="E318" s="266">
        <v>0</v>
      </c>
      <c r="F318" s="266">
        <v>0</v>
      </c>
      <c r="G318" s="266">
        <v>437947.34</v>
      </c>
      <c r="H318" s="266">
        <v>98395.81</v>
      </c>
      <c r="I318" s="266">
        <v>1040.4100000000001</v>
      </c>
      <c r="J318" s="266">
        <v>0</v>
      </c>
      <c r="K318" s="266">
        <v>89946.38</v>
      </c>
      <c r="L318" s="266">
        <v>12815.29</v>
      </c>
      <c r="M318" s="266">
        <v>9442.94</v>
      </c>
      <c r="N318" s="266">
        <v>495660.86</v>
      </c>
      <c r="O318" s="123">
        <v>5.79E-2</v>
      </c>
      <c r="P318" s="123">
        <v>0.2344</v>
      </c>
      <c r="Q318" s="266">
        <v>0</v>
      </c>
      <c r="R318" s="266">
        <v>0</v>
      </c>
      <c r="S318" s="266">
        <v>0</v>
      </c>
      <c r="T318" s="266">
        <v>0</v>
      </c>
      <c r="U318" s="266">
        <v>0</v>
      </c>
      <c r="V318" s="266">
        <v>0</v>
      </c>
      <c r="W318" s="266">
        <v>0</v>
      </c>
      <c r="X318" s="266">
        <v>0</v>
      </c>
      <c r="Y318" s="266">
        <v>0</v>
      </c>
      <c r="Z318" s="266">
        <v>0</v>
      </c>
      <c r="AA318" s="266">
        <v>7060.15</v>
      </c>
      <c r="AB318" s="266">
        <v>0</v>
      </c>
      <c r="AC318" s="266">
        <v>60822.43</v>
      </c>
      <c r="AD318" s="266">
        <v>171517.66</v>
      </c>
      <c r="AE318" s="237">
        <v>20.81</v>
      </c>
      <c r="AF318" s="266">
        <v>162333.56</v>
      </c>
      <c r="AG318" s="237">
        <f t="shared" si="67"/>
        <v>7800.7477174435371</v>
      </c>
      <c r="AH318" s="237">
        <f t="shared" si="68"/>
        <v>8242.078808265258</v>
      </c>
      <c r="AI318" s="237">
        <f t="shared" si="69"/>
        <v>441.33109082172086</v>
      </c>
      <c r="AJ318" s="237">
        <v>7.38</v>
      </c>
      <c r="AK318" s="266">
        <v>55570.92</v>
      </c>
      <c r="AL318" s="237">
        <f t="shared" si="70"/>
        <v>7529.9349593495936</v>
      </c>
      <c r="AM318" s="237">
        <f t="shared" si="71"/>
        <v>8241.5216802168015</v>
      </c>
      <c r="AN318" s="237">
        <f t="shared" si="72"/>
        <v>711.58672086720799</v>
      </c>
      <c r="AO318" s="266">
        <v>0</v>
      </c>
      <c r="AP318" s="266">
        <v>0</v>
      </c>
      <c r="AQ318" s="266">
        <v>0</v>
      </c>
      <c r="AR318" s="266">
        <v>0</v>
      </c>
      <c r="AS318" s="358">
        <v>3629.62</v>
      </c>
      <c r="AT318" s="371">
        <v>0</v>
      </c>
      <c r="AU318" s="373">
        <v>24822.100000000002</v>
      </c>
    </row>
    <row r="319" spans="1:47">
      <c r="A319" s="267" t="s">
        <v>1687</v>
      </c>
      <c r="B319" s="238" t="s">
        <v>1706</v>
      </c>
      <c r="C319" s="266">
        <v>9603.18</v>
      </c>
      <c r="D319" s="266">
        <v>0</v>
      </c>
      <c r="E319" s="266">
        <v>523.73</v>
      </c>
      <c r="F319" s="266">
        <v>0</v>
      </c>
      <c r="G319" s="266">
        <v>48825.07</v>
      </c>
      <c r="H319" s="266">
        <v>14010.03</v>
      </c>
      <c r="I319" s="266">
        <v>0</v>
      </c>
      <c r="J319" s="266">
        <v>0</v>
      </c>
      <c r="K319" s="266">
        <v>22987.35</v>
      </c>
      <c r="L319" s="266">
        <v>0</v>
      </c>
      <c r="M319" s="266">
        <v>0</v>
      </c>
      <c r="N319" s="266">
        <v>12508.24</v>
      </c>
      <c r="O319" s="123">
        <v>0.08</v>
      </c>
      <c r="P319" s="123">
        <v>0.1</v>
      </c>
      <c r="Q319" s="266">
        <v>0</v>
      </c>
      <c r="R319" s="266">
        <v>0</v>
      </c>
      <c r="S319" s="266">
        <v>0</v>
      </c>
      <c r="T319" s="266">
        <v>0</v>
      </c>
      <c r="U319" s="266">
        <v>0</v>
      </c>
      <c r="V319" s="266">
        <v>0</v>
      </c>
      <c r="W319" s="266">
        <v>0</v>
      </c>
      <c r="X319" s="266">
        <v>0</v>
      </c>
      <c r="Y319" s="266">
        <v>0</v>
      </c>
      <c r="Z319" s="266">
        <v>0</v>
      </c>
      <c r="AA319" s="266">
        <v>0</v>
      </c>
      <c r="AB319" s="266">
        <v>0</v>
      </c>
      <c r="AC319" s="266">
        <v>0</v>
      </c>
      <c r="AD319" s="266">
        <v>0</v>
      </c>
      <c r="AE319" s="237">
        <v>0</v>
      </c>
      <c r="AF319" s="266">
        <v>0</v>
      </c>
      <c r="AG319" s="237">
        <f t="shared" si="67"/>
        <v>0</v>
      </c>
      <c r="AH319" s="237">
        <f t="shared" si="68"/>
        <v>0</v>
      </c>
      <c r="AI319" s="237">
        <f t="shared" si="69"/>
        <v>0</v>
      </c>
      <c r="AJ319" s="237">
        <v>0</v>
      </c>
      <c r="AK319" s="266">
        <v>0</v>
      </c>
      <c r="AL319" s="237">
        <f t="shared" si="70"/>
        <v>0</v>
      </c>
      <c r="AM319" s="237">
        <f t="shared" si="71"/>
        <v>0</v>
      </c>
      <c r="AN319" s="237">
        <f t="shared" si="72"/>
        <v>0</v>
      </c>
      <c r="AO319" s="266">
        <v>0</v>
      </c>
      <c r="AP319" s="266">
        <v>0</v>
      </c>
      <c r="AQ319" s="266">
        <v>0</v>
      </c>
      <c r="AR319" s="266">
        <v>0</v>
      </c>
      <c r="AS319" s="358">
        <v>0</v>
      </c>
      <c r="AT319" s="371">
        <v>0</v>
      </c>
      <c r="AU319" s="373">
        <v>4758.59</v>
      </c>
    </row>
    <row r="320" spans="1:47">
      <c r="A320" s="238" t="s">
        <v>295</v>
      </c>
      <c r="B320" s="238" t="s">
        <v>1590</v>
      </c>
      <c r="C320" s="266">
        <v>0</v>
      </c>
      <c r="D320" s="266">
        <v>0</v>
      </c>
      <c r="E320" s="266">
        <v>4613.34</v>
      </c>
      <c r="F320" s="266">
        <v>3756.32</v>
      </c>
      <c r="G320" s="266">
        <v>138726.82</v>
      </c>
      <c r="H320" s="266">
        <v>12204.59</v>
      </c>
      <c r="I320" s="266">
        <v>0</v>
      </c>
      <c r="J320" s="266">
        <v>42340.86</v>
      </c>
      <c r="K320" s="266">
        <v>61389.33</v>
      </c>
      <c r="L320" s="266">
        <v>0</v>
      </c>
      <c r="M320" s="266">
        <v>4046.57</v>
      </c>
      <c r="N320" s="266">
        <v>257766.03</v>
      </c>
      <c r="O320" s="123">
        <v>1.8800000000000001E-2</v>
      </c>
      <c r="P320" s="123">
        <v>0.28749999999999998</v>
      </c>
      <c r="Q320" s="266">
        <v>0</v>
      </c>
      <c r="R320" s="266">
        <v>0</v>
      </c>
      <c r="S320" s="266">
        <v>0</v>
      </c>
      <c r="T320" s="266">
        <v>0</v>
      </c>
      <c r="U320" s="266">
        <v>0</v>
      </c>
      <c r="V320" s="266">
        <v>0</v>
      </c>
      <c r="W320" s="266">
        <v>0</v>
      </c>
      <c r="X320" s="266">
        <v>0</v>
      </c>
      <c r="Y320" s="266">
        <v>0</v>
      </c>
      <c r="Z320" s="266">
        <v>180.04</v>
      </c>
      <c r="AA320" s="266">
        <v>2048.37</v>
      </c>
      <c r="AB320" s="266">
        <v>0</v>
      </c>
      <c r="AC320" s="266">
        <v>26272.11</v>
      </c>
      <c r="AD320" s="266">
        <v>130340.56</v>
      </c>
      <c r="AE320" s="237">
        <v>13.88</v>
      </c>
      <c r="AF320" s="266">
        <v>110417.32</v>
      </c>
      <c r="AG320" s="237">
        <f t="shared" si="67"/>
        <v>7955.1383285302591</v>
      </c>
      <c r="AH320" s="237">
        <f t="shared" si="68"/>
        <v>9390.5302593659944</v>
      </c>
      <c r="AI320" s="237">
        <f t="shared" si="69"/>
        <v>1435.3919308357354</v>
      </c>
      <c r="AJ320" s="237">
        <v>3.12</v>
      </c>
      <c r="AK320" s="266">
        <v>24034.34</v>
      </c>
      <c r="AL320" s="237">
        <f t="shared" si="70"/>
        <v>7703.3141025641025</v>
      </c>
      <c r="AM320" s="237">
        <f t="shared" si="71"/>
        <v>8420.5480769230762</v>
      </c>
      <c r="AN320" s="237">
        <f t="shared" si="72"/>
        <v>717.23397435897368</v>
      </c>
      <c r="AO320" s="266">
        <v>38.159999999999997</v>
      </c>
      <c r="AP320" s="266">
        <v>0</v>
      </c>
      <c r="AQ320" s="266">
        <v>0</v>
      </c>
      <c r="AR320" s="266">
        <v>0</v>
      </c>
      <c r="AS320" s="358">
        <v>9862.31</v>
      </c>
      <c r="AT320" s="371">
        <v>7324.8</v>
      </c>
      <c r="AU320" s="373">
        <v>15732.810000000001</v>
      </c>
    </row>
    <row r="321" spans="1:50">
      <c r="A321" s="238" t="s">
        <v>429</v>
      </c>
      <c r="B321" s="238" t="s">
        <v>1591</v>
      </c>
      <c r="C321" s="266">
        <v>0</v>
      </c>
      <c r="D321" s="266">
        <v>0</v>
      </c>
      <c r="E321" s="266">
        <v>0</v>
      </c>
      <c r="F321" s="266">
        <v>18114.55</v>
      </c>
      <c r="G321" s="266">
        <v>931970.11</v>
      </c>
      <c r="H321" s="266">
        <v>242086.76</v>
      </c>
      <c r="I321" s="266">
        <v>99362.65</v>
      </c>
      <c r="J321" s="266">
        <v>204598.2</v>
      </c>
      <c r="K321" s="266">
        <v>408604.25</v>
      </c>
      <c r="L321" s="266">
        <v>113343.25</v>
      </c>
      <c r="M321" s="266">
        <v>19245.86</v>
      </c>
      <c r="N321" s="266">
        <v>460181.87</v>
      </c>
      <c r="O321" s="123">
        <v>1.8800000000000001E-2</v>
      </c>
      <c r="P321" s="123">
        <v>0.17649999999999999</v>
      </c>
      <c r="Q321" s="266">
        <v>0</v>
      </c>
      <c r="R321" s="266">
        <v>0</v>
      </c>
      <c r="S321" s="266">
        <v>0</v>
      </c>
      <c r="T321" s="266">
        <v>0</v>
      </c>
      <c r="U321" s="266">
        <v>0</v>
      </c>
      <c r="V321" s="266">
        <v>0</v>
      </c>
      <c r="W321" s="266">
        <v>0</v>
      </c>
      <c r="X321" s="266">
        <v>0</v>
      </c>
      <c r="Y321" s="266">
        <v>0</v>
      </c>
      <c r="Z321" s="266">
        <v>812.36</v>
      </c>
      <c r="AA321" s="266">
        <v>6236.2</v>
      </c>
      <c r="AB321" s="266">
        <v>20258.82</v>
      </c>
      <c r="AC321" s="266">
        <v>65515.28</v>
      </c>
      <c r="AD321" s="266">
        <v>416135.72</v>
      </c>
      <c r="AE321" s="237">
        <v>49.06</v>
      </c>
      <c r="AF321" s="266">
        <v>390501.76</v>
      </c>
      <c r="AG321" s="237">
        <f t="shared" si="67"/>
        <v>7959.6771300448427</v>
      </c>
      <c r="AH321" s="237">
        <f t="shared" si="68"/>
        <v>8482.1793721973081</v>
      </c>
      <c r="AI321" s="237">
        <f t="shared" si="69"/>
        <v>522.50224215246544</v>
      </c>
      <c r="AJ321" s="237">
        <v>7.78</v>
      </c>
      <c r="AK321" s="266">
        <v>59796.81</v>
      </c>
      <c r="AL321" s="237">
        <f t="shared" si="70"/>
        <v>7685.9652956298196</v>
      </c>
      <c r="AM321" s="237">
        <f t="shared" si="71"/>
        <v>8420.9871465295619</v>
      </c>
      <c r="AN321" s="237">
        <f t="shared" si="72"/>
        <v>735.02185089974228</v>
      </c>
      <c r="AO321" s="266">
        <v>0</v>
      </c>
      <c r="AP321" s="266">
        <v>0</v>
      </c>
      <c r="AQ321" s="266">
        <v>0</v>
      </c>
      <c r="AR321" s="266">
        <v>0</v>
      </c>
      <c r="AS321" s="358">
        <v>53862.35</v>
      </c>
      <c r="AT321" s="371">
        <v>4035.6600000000071</v>
      </c>
      <c r="AU321" s="373">
        <v>50762.05</v>
      </c>
    </row>
    <row r="322" spans="1:50">
      <c r="A322" s="238" t="s">
        <v>319</v>
      </c>
      <c r="B322" s="238" t="s">
        <v>1592</v>
      </c>
      <c r="C322" s="266">
        <v>0</v>
      </c>
      <c r="D322" s="266">
        <v>0</v>
      </c>
      <c r="E322" s="266">
        <v>2605.52</v>
      </c>
      <c r="F322" s="266">
        <v>0</v>
      </c>
      <c r="G322" s="266">
        <v>172062.31</v>
      </c>
      <c r="H322" s="266">
        <v>19292.21</v>
      </c>
      <c r="I322" s="266">
        <v>0</v>
      </c>
      <c r="J322" s="266">
        <v>40537.870000000003</v>
      </c>
      <c r="K322" s="266">
        <v>49026.97</v>
      </c>
      <c r="L322" s="266">
        <v>0</v>
      </c>
      <c r="M322" s="266">
        <v>4196.8599999999997</v>
      </c>
      <c r="N322" s="266">
        <v>87052.23</v>
      </c>
      <c r="O322" s="123">
        <v>4.0099999999999997E-2</v>
      </c>
      <c r="P322" s="123">
        <v>0.48449999999999999</v>
      </c>
      <c r="Q322" s="266">
        <v>0</v>
      </c>
      <c r="R322" s="266">
        <v>0</v>
      </c>
      <c r="S322" s="266">
        <v>0</v>
      </c>
      <c r="T322" s="266">
        <v>0</v>
      </c>
      <c r="U322" s="266">
        <v>0</v>
      </c>
      <c r="V322" s="266">
        <v>0</v>
      </c>
      <c r="W322" s="266">
        <v>0</v>
      </c>
      <c r="X322" s="266">
        <v>0</v>
      </c>
      <c r="Y322" s="266">
        <v>0</v>
      </c>
      <c r="Z322" s="266">
        <v>174.55</v>
      </c>
      <c r="AA322" s="266">
        <v>0</v>
      </c>
      <c r="AB322" s="266">
        <v>0</v>
      </c>
      <c r="AC322" s="266">
        <v>25396.43</v>
      </c>
      <c r="AD322" s="266">
        <v>80970.570000000007</v>
      </c>
      <c r="AE322" s="237">
        <v>9.82</v>
      </c>
      <c r="AF322" s="266">
        <v>76689.710000000006</v>
      </c>
      <c r="AG322" s="237">
        <f t="shared" si="67"/>
        <v>7809.542769857434</v>
      </c>
      <c r="AH322" s="237">
        <f t="shared" si="68"/>
        <v>8245.475560081466</v>
      </c>
      <c r="AI322" s="237">
        <f t="shared" si="69"/>
        <v>435.93279022403203</v>
      </c>
      <c r="AJ322" s="237">
        <v>3.08</v>
      </c>
      <c r="AK322" s="266">
        <v>23409.49</v>
      </c>
      <c r="AL322" s="237">
        <f t="shared" si="70"/>
        <v>7600.4837662337668</v>
      </c>
      <c r="AM322" s="237">
        <f t="shared" si="71"/>
        <v>8245.5941558441555</v>
      </c>
      <c r="AN322" s="237">
        <f t="shared" si="72"/>
        <v>645.11038961038867</v>
      </c>
      <c r="AO322" s="266">
        <v>2854.39</v>
      </c>
      <c r="AP322" s="266">
        <v>0</v>
      </c>
      <c r="AQ322" s="266">
        <v>0</v>
      </c>
      <c r="AR322" s="266">
        <v>0</v>
      </c>
      <c r="AS322" s="358">
        <v>8457.7999999999993</v>
      </c>
      <c r="AT322" s="371">
        <v>0</v>
      </c>
      <c r="AU322" s="373">
        <v>15405.039999999999</v>
      </c>
    </row>
    <row r="323" spans="1:50">
      <c r="A323" s="238" t="s">
        <v>399</v>
      </c>
      <c r="B323" s="238" t="s">
        <v>1593</v>
      </c>
      <c r="C323" s="266">
        <v>0</v>
      </c>
      <c r="D323" s="266">
        <v>0</v>
      </c>
      <c r="E323" s="266">
        <v>1566.95</v>
      </c>
      <c r="F323" s="266">
        <v>788</v>
      </c>
      <c r="G323" s="266">
        <v>0</v>
      </c>
      <c r="H323" s="266">
        <v>0</v>
      </c>
      <c r="I323" s="266">
        <v>0</v>
      </c>
      <c r="J323" s="266">
        <v>18885.86</v>
      </c>
      <c r="K323" s="266">
        <v>31667.22</v>
      </c>
      <c r="L323" s="266">
        <v>0</v>
      </c>
      <c r="M323" s="266">
        <v>0</v>
      </c>
      <c r="N323" s="266">
        <v>47386.28</v>
      </c>
      <c r="O323" s="123">
        <v>4.3200000000000002E-2</v>
      </c>
      <c r="P323" s="123">
        <v>0.3201</v>
      </c>
      <c r="Q323" s="266">
        <v>0</v>
      </c>
      <c r="R323" s="266">
        <v>0</v>
      </c>
      <c r="S323" s="266">
        <v>0</v>
      </c>
      <c r="T323" s="266">
        <v>0</v>
      </c>
      <c r="U323" s="266">
        <v>0</v>
      </c>
      <c r="V323" s="266">
        <v>0</v>
      </c>
      <c r="W323" s="266">
        <v>0</v>
      </c>
      <c r="X323" s="266">
        <v>0</v>
      </c>
      <c r="Y323" s="266">
        <v>0</v>
      </c>
      <c r="Z323" s="266">
        <v>79.040000000000006</v>
      </c>
      <c r="AA323" s="266">
        <v>0</v>
      </c>
      <c r="AB323" s="266">
        <v>0</v>
      </c>
      <c r="AC323" s="266">
        <v>0</v>
      </c>
      <c r="AD323" s="266">
        <v>33149.480000000003</v>
      </c>
      <c r="AE323" s="237">
        <v>4.0199999999999996</v>
      </c>
      <c r="AF323" s="266">
        <v>31483.13</v>
      </c>
      <c r="AG323" s="237">
        <f t="shared" si="67"/>
        <v>7831.6243781094536</v>
      </c>
      <c r="AH323" s="237">
        <f t="shared" si="68"/>
        <v>8246.1393034825887</v>
      </c>
      <c r="AI323" s="237">
        <f t="shared" si="69"/>
        <v>414.51492537313516</v>
      </c>
      <c r="AJ323" s="237">
        <v>0</v>
      </c>
      <c r="AK323" s="266">
        <v>0</v>
      </c>
      <c r="AL323" s="237">
        <f t="shared" si="70"/>
        <v>0</v>
      </c>
      <c r="AM323" s="237">
        <f t="shared" si="71"/>
        <v>0</v>
      </c>
      <c r="AN323" s="237">
        <f t="shared" si="72"/>
        <v>0</v>
      </c>
      <c r="AO323" s="266">
        <v>0</v>
      </c>
      <c r="AP323" s="266">
        <v>0</v>
      </c>
      <c r="AQ323" s="266">
        <v>0</v>
      </c>
      <c r="AR323" s="266">
        <v>0</v>
      </c>
      <c r="AS323" s="358">
        <v>11273.51</v>
      </c>
      <c r="AT323" s="371">
        <v>0</v>
      </c>
      <c r="AU323" s="373">
        <v>12053.12</v>
      </c>
    </row>
    <row r="324" spans="1:50">
      <c r="A324" s="238" t="s">
        <v>243</v>
      </c>
      <c r="B324" s="238" t="s">
        <v>1594</v>
      </c>
      <c r="C324" s="266">
        <v>0</v>
      </c>
      <c r="D324" s="266">
        <v>0</v>
      </c>
      <c r="E324" s="266">
        <v>0</v>
      </c>
      <c r="F324" s="266">
        <v>0</v>
      </c>
      <c r="G324" s="266">
        <v>3380268.07</v>
      </c>
      <c r="H324" s="266">
        <v>597033.24</v>
      </c>
      <c r="I324" s="266">
        <v>134688.23000000001</v>
      </c>
      <c r="J324" s="266">
        <v>23273.51</v>
      </c>
      <c r="K324" s="266">
        <v>709174.27</v>
      </c>
      <c r="L324" s="266">
        <v>330672.13</v>
      </c>
      <c r="M324" s="266">
        <v>68103.62</v>
      </c>
      <c r="N324" s="266">
        <v>5698032.5099999998</v>
      </c>
      <c r="O324" s="123">
        <v>2.8500000000000001E-2</v>
      </c>
      <c r="P324" s="123">
        <v>0.17460000000000001</v>
      </c>
      <c r="Q324" s="266">
        <v>0</v>
      </c>
      <c r="R324" s="266">
        <v>0</v>
      </c>
      <c r="S324" s="266">
        <v>0</v>
      </c>
      <c r="T324" s="266">
        <v>0</v>
      </c>
      <c r="U324" s="266">
        <v>0</v>
      </c>
      <c r="V324" s="266">
        <v>0</v>
      </c>
      <c r="W324" s="266">
        <v>0</v>
      </c>
      <c r="X324" s="266">
        <v>0</v>
      </c>
      <c r="Y324" s="266">
        <v>0</v>
      </c>
      <c r="Z324" s="266">
        <v>2778.5</v>
      </c>
      <c r="AA324" s="266">
        <v>0</v>
      </c>
      <c r="AB324" s="266">
        <v>0</v>
      </c>
      <c r="AC324" s="266">
        <v>56769.440000000002</v>
      </c>
      <c r="AD324" s="266">
        <v>585858.46</v>
      </c>
      <c r="AE324" s="237">
        <v>70.05</v>
      </c>
      <c r="AF324" s="266">
        <v>546614.86</v>
      </c>
      <c r="AG324" s="237">
        <f t="shared" si="67"/>
        <v>7803.2099928622411</v>
      </c>
      <c r="AH324" s="237">
        <f t="shared" si="68"/>
        <v>8363.4326909350457</v>
      </c>
      <c r="AI324" s="237">
        <f t="shared" si="69"/>
        <v>560.22269807280463</v>
      </c>
      <c r="AJ324" s="237">
        <v>6.9</v>
      </c>
      <c r="AK324" s="266">
        <v>52032.62</v>
      </c>
      <c r="AL324" s="237">
        <f t="shared" si="70"/>
        <v>7540.9594202898552</v>
      </c>
      <c r="AM324" s="237">
        <f t="shared" si="71"/>
        <v>8227.4550724637684</v>
      </c>
      <c r="AN324" s="237">
        <f t="shared" si="72"/>
        <v>686.49565217391319</v>
      </c>
      <c r="AO324" s="266">
        <v>0</v>
      </c>
      <c r="AP324" s="266">
        <v>0</v>
      </c>
      <c r="AQ324" s="266">
        <v>0</v>
      </c>
      <c r="AR324" s="266">
        <v>0</v>
      </c>
      <c r="AS324" s="358">
        <v>239070.65</v>
      </c>
      <c r="AT324" s="371">
        <v>0</v>
      </c>
      <c r="AU324" s="373">
        <v>148852.97000000003</v>
      </c>
    </row>
    <row r="325" spans="1:50">
      <c r="A325" s="238" t="s">
        <v>1688</v>
      </c>
      <c r="B325" s="238" t="s">
        <v>2067</v>
      </c>
      <c r="C325" s="266">
        <v>0</v>
      </c>
      <c r="D325" s="266">
        <v>0</v>
      </c>
      <c r="E325" s="266">
        <v>0</v>
      </c>
      <c r="F325" s="266">
        <v>0</v>
      </c>
      <c r="G325" s="266">
        <v>0</v>
      </c>
      <c r="H325" s="266">
        <v>0</v>
      </c>
      <c r="I325" s="266">
        <v>0</v>
      </c>
      <c r="J325" s="266">
        <v>0</v>
      </c>
      <c r="K325" s="266">
        <v>0</v>
      </c>
      <c r="L325" s="266">
        <v>0</v>
      </c>
      <c r="M325" s="266">
        <v>0</v>
      </c>
      <c r="N325" s="266">
        <v>0</v>
      </c>
      <c r="O325" s="123">
        <v>0.08</v>
      </c>
      <c r="P325" s="123">
        <v>7.0000000000000007E-2</v>
      </c>
      <c r="Q325" s="266">
        <v>0</v>
      </c>
      <c r="R325" s="266">
        <v>0</v>
      </c>
      <c r="S325" s="266">
        <v>0</v>
      </c>
      <c r="T325" s="266">
        <v>0</v>
      </c>
      <c r="U325" s="266">
        <v>0</v>
      </c>
      <c r="V325" s="266">
        <v>0</v>
      </c>
      <c r="W325" s="266">
        <v>0</v>
      </c>
      <c r="X325" s="266">
        <v>0</v>
      </c>
      <c r="Y325" s="266">
        <v>0</v>
      </c>
      <c r="Z325" s="266">
        <v>0</v>
      </c>
      <c r="AA325" s="266">
        <v>0</v>
      </c>
      <c r="AB325" s="266">
        <v>0</v>
      </c>
      <c r="AC325" s="266">
        <v>0</v>
      </c>
      <c r="AD325" s="266">
        <v>0</v>
      </c>
      <c r="AE325" s="237">
        <v>0</v>
      </c>
      <c r="AF325" s="266">
        <v>0</v>
      </c>
      <c r="AG325" s="237">
        <f t="shared" si="67"/>
        <v>0</v>
      </c>
      <c r="AH325" s="237">
        <f t="shared" si="68"/>
        <v>0</v>
      </c>
      <c r="AI325" s="237">
        <f t="shared" si="69"/>
        <v>0</v>
      </c>
      <c r="AJ325" s="237">
        <v>0</v>
      </c>
      <c r="AK325" s="266">
        <v>0</v>
      </c>
      <c r="AL325" s="237">
        <f t="shared" si="70"/>
        <v>0</v>
      </c>
      <c r="AM325" s="237">
        <f t="shared" si="71"/>
        <v>0</v>
      </c>
      <c r="AN325" s="237">
        <f t="shared" si="72"/>
        <v>0</v>
      </c>
      <c r="AO325" s="266">
        <v>0</v>
      </c>
      <c r="AP325" s="266">
        <v>0</v>
      </c>
      <c r="AQ325" s="266">
        <v>0</v>
      </c>
      <c r="AR325" s="266">
        <v>0</v>
      </c>
      <c r="AS325" s="358">
        <v>0</v>
      </c>
      <c r="AT325" s="371">
        <v>0</v>
      </c>
      <c r="AU325" s="373">
        <v>11818.29</v>
      </c>
    </row>
    <row r="326" spans="1:50" s="119" customFormat="1">
      <c r="A326" s="238" t="s">
        <v>718</v>
      </c>
      <c r="B326" s="238" t="s">
        <v>1595</v>
      </c>
      <c r="C326" s="266">
        <v>0</v>
      </c>
      <c r="D326" s="266">
        <v>0</v>
      </c>
      <c r="E326" s="266">
        <v>178231.49</v>
      </c>
      <c r="F326" s="266">
        <v>410848.53</v>
      </c>
      <c r="G326" s="266">
        <v>18371868.41</v>
      </c>
      <c r="H326" s="266">
        <v>4551234.8600000003</v>
      </c>
      <c r="I326" s="266">
        <v>2056578.67</v>
      </c>
      <c r="J326" s="266">
        <v>4288715.8899999997</v>
      </c>
      <c r="K326" s="266">
        <v>7518868.7800000003</v>
      </c>
      <c r="L326" s="266">
        <v>7473657.8200000003</v>
      </c>
      <c r="M326" s="266">
        <v>440670.49</v>
      </c>
      <c r="N326" s="266">
        <v>3733990.27</v>
      </c>
      <c r="O326" s="123">
        <v>1.6299999999999999E-2</v>
      </c>
      <c r="P326" s="123">
        <v>0.17169999999999999</v>
      </c>
      <c r="Q326" s="266">
        <v>0</v>
      </c>
      <c r="R326" s="266">
        <v>0</v>
      </c>
      <c r="S326" s="266">
        <v>0</v>
      </c>
      <c r="T326" s="266">
        <v>460621.28</v>
      </c>
      <c r="U326" s="266">
        <v>0</v>
      </c>
      <c r="V326" s="266">
        <v>18487.96</v>
      </c>
      <c r="W326" s="266">
        <v>0</v>
      </c>
      <c r="X326" s="266">
        <v>0</v>
      </c>
      <c r="Y326" s="266">
        <v>0</v>
      </c>
      <c r="Z326" s="266">
        <v>0</v>
      </c>
      <c r="AA326" s="266">
        <v>107344.93</v>
      </c>
      <c r="AB326" s="266">
        <v>636065.76</v>
      </c>
      <c r="AC326" s="266">
        <v>2241044.86</v>
      </c>
      <c r="AD326" s="266">
        <v>7929246.9400000004</v>
      </c>
      <c r="AE326" s="237">
        <v>943.13</v>
      </c>
      <c r="AF326" s="266">
        <v>7359589.2999999998</v>
      </c>
      <c r="AG326" s="237">
        <f t="shared" si="67"/>
        <v>7803.3667681019579</v>
      </c>
      <c r="AH326" s="237">
        <f t="shared" si="68"/>
        <v>8407.374317432379</v>
      </c>
      <c r="AI326" s="237">
        <f t="shared" si="69"/>
        <v>604.00754933042117</v>
      </c>
      <c r="AJ326" s="237">
        <v>272.29000000000002</v>
      </c>
      <c r="AK326" s="266">
        <v>2052241.01</v>
      </c>
      <c r="AL326" s="237">
        <f t="shared" si="70"/>
        <v>7536.96797532043</v>
      </c>
      <c r="AM326" s="237">
        <f t="shared" si="71"/>
        <v>8230.3604979984557</v>
      </c>
      <c r="AN326" s="237">
        <f t="shared" si="72"/>
        <v>693.39252267802567</v>
      </c>
      <c r="AO326" s="266">
        <v>0</v>
      </c>
      <c r="AP326" s="266">
        <v>0</v>
      </c>
      <c r="AQ326" s="266">
        <v>0</v>
      </c>
      <c r="AR326" s="266">
        <v>0</v>
      </c>
      <c r="AS326" s="358">
        <v>241837.92</v>
      </c>
      <c r="AT326" s="371">
        <v>550522.31999999995</v>
      </c>
      <c r="AU326" s="373">
        <v>1055031.27</v>
      </c>
    </row>
    <row r="327" spans="1:50" s="119" customFormat="1">
      <c r="A327" s="238" t="s">
        <v>643</v>
      </c>
      <c r="B327" s="238" t="s">
        <v>1596</v>
      </c>
      <c r="C327" s="266">
        <v>0</v>
      </c>
      <c r="D327" s="266">
        <v>0</v>
      </c>
      <c r="E327" s="266">
        <v>99945.23</v>
      </c>
      <c r="F327" s="266">
        <v>16060.8</v>
      </c>
      <c r="G327" s="266">
        <v>7728437.9000000004</v>
      </c>
      <c r="H327" s="266">
        <v>1421573.14</v>
      </c>
      <c r="I327" s="266">
        <v>370874.59</v>
      </c>
      <c r="J327" s="266">
        <v>169114.46</v>
      </c>
      <c r="K327" s="266">
        <v>1458314.11</v>
      </c>
      <c r="L327" s="266">
        <v>253219.07</v>
      </c>
      <c r="M327" s="266">
        <v>156619.25</v>
      </c>
      <c r="N327" s="266">
        <v>4119981.02</v>
      </c>
      <c r="O327" s="123">
        <v>5.0500000000000003E-2</v>
      </c>
      <c r="P327" s="123">
        <v>0.1706</v>
      </c>
      <c r="Q327" s="266">
        <v>0</v>
      </c>
      <c r="R327" s="266">
        <v>0</v>
      </c>
      <c r="S327" s="266">
        <v>0</v>
      </c>
      <c r="T327" s="266">
        <v>0</v>
      </c>
      <c r="U327" s="266">
        <v>0</v>
      </c>
      <c r="V327" s="266">
        <v>0</v>
      </c>
      <c r="W327" s="266">
        <v>0</v>
      </c>
      <c r="X327" s="266">
        <v>0</v>
      </c>
      <c r="Y327" s="266">
        <v>0</v>
      </c>
      <c r="Z327" s="266">
        <v>1377.72</v>
      </c>
      <c r="AA327" s="266">
        <v>23830.76</v>
      </c>
      <c r="AB327" s="266">
        <v>242113.32</v>
      </c>
      <c r="AC327" s="266">
        <v>325929.21999999997</v>
      </c>
      <c r="AD327" s="266">
        <v>3380030.1</v>
      </c>
      <c r="AE327" s="237">
        <v>399.84</v>
      </c>
      <c r="AF327" s="266">
        <v>3120142.9</v>
      </c>
      <c r="AG327" s="237">
        <f t="shared" ref="AG327:AG328" si="73">IFERROR(AF327/AE327,0)</f>
        <v>7803.4786414565833</v>
      </c>
      <c r="AH327" s="237">
        <f t="shared" si="68"/>
        <v>8453.4566326530621</v>
      </c>
      <c r="AI327" s="237">
        <f t="shared" ref="AI327:AI328" si="74">AH327-AG327</f>
        <v>649.9779911964788</v>
      </c>
      <c r="AJ327" s="237">
        <v>39.6</v>
      </c>
      <c r="AK327" s="266">
        <v>298470.03000000003</v>
      </c>
      <c r="AL327" s="237">
        <f t="shared" ref="AL327:AL328" si="75">IFERROR(AK327/AJ327,0)</f>
        <v>7537.1219696969702</v>
      </c>
      <c r="AM327" s="237">
        <f t="shared" si="71"/>
        <v>8230.5358585858576</v>
      </c>
      <c r="AN327" s="237">
        <f t="shared" ref="AN327:AN328" si="76">AM327-AL327</f>
        <v>693.41388888888741</v>
      </c>
      <c r="AO327" s="266">
        <v>439.2</v>
      </c>
      <c r="AP327" s="266">
        <v>0</v>
      </c>
      <c r="AQ327" s="266">
        <v>0</v>
      </c>
      <c r="AR327" s="266">
        <v>0</v>
      </c>
      <c r="AS327" s="358">
        <v>304949.43</v>
      </c>
      <c r="AT327" s="371">
        <v>20102.809999999998</v>
      </c>
      <c r="AU327" s="373">
        <v>346207.02999999997</v>
      </c>
    </row>
    <row r="328" spans="1:50" s="119" customFormat="1">
      <c r="A328" s="238" t="s">
        <v>735</v>
      </c>
      <c r="B328" s="238" t="s">
        <v>1597</v>
      </c>
      <c r="C328" s="266">
        <v>0</v>
      </c>
      <c r="D328" s="266">
        <v>0</v>
      </c>
      <c r="E328" s="266">
        <v>0</v>
      </c>
      <c r="F328" s="266">
        <v>0</v>
      </c>
      <c r="G328" s="266">
        <v>1327163.28</v>
      </c>
      <c r="H328" s="266">
        <v>229277.59</v>
      </c>
      <c r="I328" s="266">
        <v>106666.53</v>
      </c>
      <c r="J328" s="266">
        <v>359976.3</v>
      </c>
      <c r="K328" s="266">
        <v>455264.13</v>
      </c>
      <c r="L328" s="266">
        <v>226746.61</v>
      </c>
      <c r="M328" s="266">
        <v>34910.25</v>
      </c>
      <c r="N328" s="266">
        <v>456248.41</v>
      </c>
      <c r="O328" s="123">
        <v>9.3799999999999994E-2</v>
      </c>
      <c r="P328" s="123">
        <v>0.24709999999999999</v>
      </c>
      <c r="Q328" s="266">
        <v>0</v>
      </c>
      <c r="R328" s="266">
        <v>0</v>
      </c>
      <c r="S328" s="266">
        <v>0</v>
      </c>
      <c r="T328" s="266">
        <v>0</v>
      </c>
      <c r="U328" s="266">
        <v>0</v>
      </c>
      <c r="V328" s="266">
        <v>0</v>
      </c>
      <c r="W328" s="266">
        <v>0</v>
      </c>
      <c r="X328" s="266">
        <v>0</v>
      </c>
      <c r="Y328" s="266">
        <v>0</v>
      </c>
      <c r="Z328" s="266">
        <v>1465.54</v>
      </c>
      <c r="AA328" s="266">
        <v>0</v>
      </c>
      <c r="AB328" s="266">
        <v>29985.63</v>
      </c>
      <c r="AC328" s="266">
        <v>0</v>
      </c>
      <c r="AD328" s="266">
        <v>351272.16</v>
      </c>
      <c r="AE328" s="237">
        <v>39.06</v>
      </c>
      <c r="AF328" s="266">
        <v>304773.95</v>
      </c>
      <c r="AG328" s="237">
        <f t="shared" si="73"/>
        <v>7802.7124935995898</v>
      </c>
      <c r="AH328" s="237">
        <f t="shared" si="68"/>
        <v>8993.1428571428551</v>
      </c>
      <c r="AI328" s="237">
        <f t="shared" si="74"/>
        <v>1190.4303635432652</v>
      </c>
      <c r="AJ328" s="237">
        <v>0</v>
      </c>
      <c r="AK328" s="266">
        <v>0</v>
      </c>
      <c r="AL328" s="237">
        <f t="shared" si="75"/>
        <v>0</v>
      </c>
      <c r="AM328" s="237">
        <f t="shared" si="71"/>
        <v>0</v>
      </c>
      <c r="AN328" s="237">
        <f t="shared" si="76"/>
        <v>0</v>
      </c>
      <c r="AO328" s="266">
        <v>107.18</v>
      </c>
      <c r="AP328" s="266">
        <v>0</v>
      </c>
      <c r="AQ328" s="266">
        <v>0</v>
      </c>
      <c r="AR328" s="266">
        <v>0</v>
      </c>
      <c r="AS328" s="358">
        <v>65989.05</v>
      </c>
      <c r="AT328" s="371">
        <v>2725.0999999999985</v>
      </c>
      <c r="AU328" s="373">
        <v>80904.72</v>
      </c>
    </row>
    <row r="329" spans="1:50">
      <c r="A329"/>
      <c r="B329"/>
      <c r="C329"/>
      <c r="E329"/>
      <c r="F329"/>
      <c r="G329"/>
      <c r="I329"/>
      <c r="J329"/>
      <c r="K329"/>
      <c r="L329"/>
      <c r="M329"/>
      <c r="N329"/>
      <c r="O329" s="238"/>
      <c r="P329" s="238"/>
      <c r="Q329"/>
      <c r="T329"/>
      <c r="V329"/>
      <c r="W329" s="264">
        <v>0</v>
      </c>
      <c r="X329"/>
      <c r="Y329"/>
      <c r="Z329"/>
      <c r="AA329" s="264">
        <v>0</v>
      </c>
      <c r="AB329"/>
      <c r="AC329"/>
      <c r="AD329"/>
      <c r="AE329"/>
      <c r="AI329"/>
      <c r="AJ329"/>
      <c r="AO329"/>
      <c r="AP329"/>
      <c r="AQ329"/>
      <c r="AR329"/>
      <c r="AU329"/>
      <c r="AV329"/>
      <c r="AX329"/>
    </row>
    <row r="330" spans="1:50">
      <c r="A330"/>
      <c r="B330"/>
      <c r="C330"/>
      <c r="E330"/>
      <c r="F330"/>
      <c r="G330"/>
      <c r="I330"/>
      <c r="J330"/>
      <c r="K330"/>
      <c r="L330"/>
      <c r="M330"/>
      <c r="N330"/>
      <c r="O330"/>
      <c r="P330"/>
      <c r="Q330"/>
      <c r="T330"/>
      <c r="V330"/>
      <c r="W330"/>
      <c r="X330"/>
      <c r="Y330"/>
      <c r="Z330"/>
      <c r="AA330"/>
      <c r="AB330"/>
      <c r="AC330"/>
      <c r="AD330"/>
      <c r="AE330"/>
      <c r="AI330"/>
      <c r="AJ330"/>
      <c r="AO330"/>
      <c r="AP330"/>
      <c r="AQ330"/>
      <c r="AR330"/>
      <c r="AU330"/>
      <c r="AV330"/>
      <c r="AX330"/>
    </row>
    <row r="331" spans="1:50" s="119" customFormat="1">
      <c r="A331" s="89"/>
      <c r="B331" s="89"/>
      <c r="C331" s="89"/>
      <c r="D331" s="89"/>
      <c r="E331" s="89"/>
      <c r="G331" s="89"/>
      <c r="H331" s="89"/>
      <c r="I331" s="89"/>
      <c r="J331" s="89"/>
      <c r="K331" s="89"/>
      <c r="L331" s="89"/>
      <c r="M331" s="89"/>
      <c r="N331" s="89"/>
      <c r="O331" s="89"/>
      <c r="P331" s="89"/>
      <c r="Q331" s="89"/>
      <c r="R331" s="89"/>
      <c r="S331" s="89"/>
      <c r="T331" s="89"/>
      <c r="U331" s="89"/>
      <c r="V331" s="89"/>
      <c r="W331" s="89"/>
      <c r="X331" s="89"/>
      <c r="Y331" s="89"/>
      <c r="Z331" s="89"/>
      <c r="AA331" s="90"/>
      <c r="AB331" s="89"/>
      <c r="AC331" s="89"/>
      <c r="AD331" s="89"/>
      <c r="AE331" s="89"/>
      <c r="AF331" s="89"/>
      <c r="AG331" s="89"/>
      <c r="AH331" s="89"/>
      <c r="AI331" s="89"/>
      <c r="AJ331" s="89"/>
      <c r="AK331" s="89"/>
      <c r="AL331" s="89"/>
      <c r="AM331" s="89"/>
      <c r="AN331" s="89"/>
      <c r="AO331" s="89"/>
      <c r="AP331" s="89"/>
      <c r="AQ331" s="89"/>
      <c r="AR331" s="89"/>
      <c r="AU331" s="89"/>
      <c r="AV331" s="89"/>
      <c r="AX331" s="89"/>
    </row>
    <row r="332" spans="1:50">
      <c r="A332"/>
      <c r="I332" s="80"/>
      <c r="O332" s="80"/>
      <c r="P332" s="80"/>
      <c r="X332" s="80"/>
      <c r="AA332" s="80"/>
      <c r="AP332" s="80"/>
    </row>
    <row r="333" spans="1:50">
      <c r="A333"/>
      <c r="I333" s="80"/>
      <c r="X333" s="80"/>
      <c r="AA333" s="80"/>
      <c r="AP333" s="80"/>
    </row>
    <row r="334" spans="1:50">
      <c r="A334"/>
      <c r="I334" s="80"/>
      <c r="X334" s="80"/>
      <c r="AA334" s="80"/>
      <c r="AP334" s="80"/>
    </row>
    <row r="335" spans="1:50">
      <c r="A335"/>
      <c r="I335" s="80"/>
      <c r="X335" s="80"/>
      <c r="AA335" s="80"/>
      <c r="AP335" s="80"/>
    </row>
    <row r="336" spans="1:50">
      <c r="A336"/>
      <c r="I336" s="80"/>
      <c r="X336" s="80"/>
      <c r="AA336" s="80"/>
      <c r="AP336" s="80"/>
    </row>
  </sheetData>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7"/>
  <sheetViews>
    <sheetView zoomScaleNormal="100" workbookViewId="0">
      <selection activeCell="D4" sqref="D4"/>
    </sheetView>
  </sheetViews>
  <sheetFormatPr defaultRowHeight="15"/>
  <cols>
    <col min="1" max="1" width="46" customWidth="1"/>
    <col min="2" max="2" width="16" bestFit="1" customWidth="1"/>
    <col min="3" max="3" width="16" style="2" bestFit="1" customWidth="1"/>
    <col min="4" max="4" width="14.28515625" bestFit="1" customWidth="1"/>
    <col min="5" max="5" width="4.28515625" customWidth="1"/>
    <col min="6" max="6" width="16" bestFit="1" customWidth="1"/>
    <col min="7" max="11" width="13" customWidth="1"/>
  </cols>
  <sheetData>
    <row r="1" spans="1:6">
      <c r="A1" s="415" t="s">
        <v>51</v>
      </c>
      <c r="B1" s="415"/>
      <c r="C1" s="415"/>
      <c r="F1" s="37" t="str">
        <f>'Fund Balance Summary'!$B$1</f>
        <v>14005</v>
      </c>
    </row>
    <row r="2" spans="1:6">
      <c r="A2" s="415" t="s">
        <v>52</v>
      </c>
      <c r="B2" s="415"/>
      <c r="C2" s="415"/>
    </row>
    <row r="3" spans="1:6">
      <c r="A3" s="6" t="s">
        <v>40</v>
      </c>
    </row>
    <row r="5" spans="1:6">
      <c r="A5" t="s">
        <v>55</v>
      </c>
      <c r="B5" s="28">
        <f>VLOOKUP($F$1,Indirects!$B$7:$F$338,3,FALSE)</f>
        <v>0.1492</v>
      </c>
    </row>
    <row r="6" spans="1:6">
      <c r="A6" t="s">
        <v>67</v>
      </c>
      <c r="B6" s="28">
        <f>VLOOKUP($F$1,Indirects!$B$7:$F$338,4,FALSE)</f>
        <v>2.52E-2</v>
      </c>
    </row>
    <row r="7" spans="1:6">
      <c r="A7" t="s">
        <v>68</v>
      </c>
      <c r="B7" s="28">
        <f>VLOOKUP($F$1,Indirects!$B$7:$F$320,5,FALSE)</f>
        <v>0.13650000000000001</v>
      </c>
    </row>
    <row r="8" spans="1:6">
      <c r="B8" s="13"/>
    </row>
    <row r="9" spans="1:6" s="119" customFormat="1">
      <c r="B9" s="13"/>
      <c r="C9" s="2"/>
    </row>
    <row r="10" spans="1:6" s="119" customFormat="1" ht="17.25">
      <c r="A10" s="192" t="s">
        <v>1731</v>
      </c>
      <c r="B10" s="71"/>
      <c r="C10" s="188"/>
    </row>
    <row r="11" spans="1:6" s="119" customFormat="1">
      <c r="A11" s="119" t="s">
        <v>59</v>
      </c>
      <c r="B11" s="71"/>
      <c r="C11" s="30">
        <f>VLOOKUP($F$1,ALLOC!$A$7:$AX$329,46,FALSE)</f>
        <v>9625.910000000018</v>
      </c>
    </row>
    <row r="12" spans="1:6" s="119" customFormat="1">
      <c r="A12" s="120" t="s">
        <v>2085</v>
      </c>
      <c r="B12" s="71"/>
      <c r="C12" s="30">
        <f>VLOOKUP($F$1,ALLOC!$A$7:$AX$329,47,FALSE)</f>
        <v>221517.12</v>
      </c>
    </row>
    <row r="13" spans="1:6" s="119" customFormat="1" ht="17.25">
      <c r="A13" s="119" t="s">
        <v>57</v>
      </c>
      <c r="B13" s="71"/>
      <c r="C13" s="296">
        <f>+C11+C12</f>
        <v>231143.03000000003</v>
      </c>
    </row>
    <row r="14" spans="1:6" s="119" customFormat="1" ht="17.25">
      <c r="B14" s="71"/>
      <c r="C14" s="188"/>
    </row>
    <row r="15" spans="1:6" s="119" customFormat="1">
      <c r="A15" s="119" t="s">
        <v>2096</v>
      </c>
      <c r="C15" s="1">
        <v>0</v>
      </c>
    </row>
    <row r="16" spans="1:6" s="119" customFormat="1" ht="17.25">
      <c r="A16" s="119" t="s">
        <v>65</v>
      </c>
      <c r="B16" s="71"/>
      <c r="C16" s="16">
        <f>IF(C15&gt;C13,0,MIN(C13*1,C13-C15))</f>
        <v>231143.03000000003</v>
      </c>
    </row>
    <row r="17" spans="1:3" s="119" customFormat="1">
      <c r="B17" s="13"/>
      <c r="C17" s="2"/>
    </row>
    <row r="18" spans="1:3">
      <c r="A18" s="11" t="s">
        <v>53</v>
      </c>
    </row>
    <row r="19" spans="1:3">
      <c r="A19" t="s">
        <v>59</v>
      </c>
      <c r="B19" s="2"/>
      <c r="C19" s="30">
        <f>VLOOKUP($F$1,ALLOC!$A$7:$AX$329,3,FALSE)</f>
        <v>0</v>
      </c>
    </row>
    <row r="20" spans="1:3">
      <c r="A20" t="s">
        <v>56</v>
      </c>
      <c r="B20" s="2"/>
      <c r="C20" s="30">
        <f>VLOOKUP($F$1,ALLOC!$A$7:$AX$329,7,FALSE)</f>
        <v>4312335.3899999997</v>
      </c>
    </row>
    <row r="21" spans="1:3">
      <c r="A21" t="s">
        <v>57</v>
      </c>
      <c r="B21" s="2"/>
      <c r="C21" s="3">
        <f>+C19+C20</f>
        <v>4312335.3899999997</v>
      </c>
    </row>
    <row r="22" spans="1:3">
      <c r="A22" t="s">
        <v>58</v>
      </c>
      <c r="B22" s="2"/>
    </row>
    <row r="23" spans="1:3">
      <c r="A23" t="s">
        <v>54</v>
      </c>
      <c r="B23" s="1">
        <v>0</v>
      </c>
    </row>
    <row r="24" spans="1:3">
      <c r="A24" t="s">
        <v>60</v>
      </c>
      <c r="B24" s="30">
        <f>VLOOKUP($F$1,ALLOC!$A$7:$AX$329,8,FALSE)</f>
        <v>1031995.4</v>
      </c>
    </row>
    <row r="25" spans="1:3">
      <c r="A25" t="s">
        <v>61</v>
      </c>
      <c r="B25" s="2">
        <f>(B23-B24)*(B5)</f>
        <v>-153973.71368000002</v>
      </c>
    </row>
    <row r="26" spans="1:3">
      <c r="A26" t="s">
        <v>62</v>
      </c>
      <c r="B26" s="2">
        <f>B23-B24+B25</f>
        <v>-1185969.11368</v>
      </c>
    </row>
    <row r="27" spans="1:3">
      <c r="A27" t="s">
        <v>63</v>
      </c>
      <c r="B27" s="1">
        <v>0</v>
      </c>
    </row>
    <row r="28" spans="1:3">
      <c r="A28" t="s">
        <v>64</v>
      </c>
      <c r="B28" s="2"/>
      <c r="C28" s="2">
        <f>B26-B27</f>
        <v>-1185969.11368</v>
      </c>
    </row>
    <row r="29" spans="1:3" ht="17.25">
      <c r="A29" t="s">
        <v>65</v>
      </c>
      <c r="B29" s="2"/>
      <c r="C29" s="16">
        <f>IF(C28&gt;C21,0,MIN(C20*0.1,C21-C28))</f>
        <v>431233.53899999999</v>
      </c>
    </row>
    <row r="30" spans="1:3" ht="17.25">
      <c r="A30" t="s">
        <v>782</v>
      </c>
      <c r="B30" s="2"/>
      <c r="C30" s="29">
        <f>MIN(C20,(C28-C19))+C29-C20</f>
        <v>-5067070.9646799993</v>
      </c>
    </row>
    <row r="31" spans="1:3">
      <c r="B31" s="2"/>
    </row>
    <row r="32" spans="1:3">
      <c r="A32" s="11" t="s">
        <v>1208</v>
      </c>
      <c r="B32" s="2"/>
    </row>
    <row r="33" spans="1:4">
      <c r="A33" t="s">
        <v>59</v>
      </c>
      <c r="B33" s="2"/>
      <c r="C33" s="30">
        <f>VLOOKUP($F$1,ALLOC!$A$7:$AX$329,4,FALSE)</f>
        <v>0</v>
      </c>
      <c r="D33" s="78"/>
    </row>
    <row r="34" spans="1:4">
      <c r="A34" t="s">
        <v>1209</v>
      </c>
      <c r="B34" s="2"/>
      <c r="C34" s="30">
        <f>VLOOKUP($F$1,ALLOC!$A$7:$AX$329,9,FALSE)</f>
        <v>202401.87</v>
      </c>
      <c r="D34" s="78"/>
    </row>
    <row r="35" spans="1:4">
      <c r="A35" t="s">
        <v>57</v>
      </c>
      <c r="B35" s="2"/>
      <c r="C35" s="3">
        <f>SUM(C33:C34)</f>
        <v>202401.87</v>
      </c>
      <c r="D35" s="78"/>
    </row>
    <row r="36" spans="1:4">
      <c r="A36" t="s">
        <v>58</v>
      </c>
      <c r="B36" s="71"/>
      <c r="D36" s="78"/>
    </row>
    <row r="37" spans="1:4">
      <c r="A37" t="s">
        <v>54</v>
      </c>
      <c r="B37" s="1">
        <v>0</v>
      </c>
      <c r="D37" s="78"/>
    </row>
    <row r="38" spans="1:4">
      <c r="A38" t="s">
        <v>61</v>
      </c>
      <c r="B38" s="2">
        <f>B37*B5</f>
        <v>0</v>
      </c>
      <c r="D38" s="78"/>
    </row>
    <row r="39" spans="1:4">
      <c r="A39" t="s">
        <v>1161</v>
      </c>
      <c r="B39" s="2"/>
      <c r="C39" s="2">
        <f>+B38+B37</f>
        <v>0</v>
      </c>
      <c r="D39" s="78"/>
    </row>
    <row r="40" spans="1:4" ht="17.25">
      <c r="A40" t="s">
        <v>65</v>
      </c>
      <c r="B40" s="2"/>
      <c r="C40" s="16">
        <f>IF(C39&gt;C35,0,MIN(C34*0.1,C35-C39))</f>
        <v>20240.187000000002</v>
      </c>
      <c r="D40" s="78"/>
    </row>
    <row r="41" spans="1:4" ht="17.25">
      <c r="A41" t="s">
        <v>782</v>
      </c>
      <c r="B41" s="2"/>
      <c r="C41" s="29">
        <f>MIN(C34,(C39-C33))+C40-C34</f>
        <v>-182161.68299999999</v>
      </c>
    </row>
    <row r="42" spans="1:4">
      <c r="B42" s="2"/>
    </row>
    <row r="43" spans="1:4">
      <c r="A43" s="11" t="s">
        <v>71</v>
      </c>
      <c r="B43" s="2"/>
    </row>
    <row r="44" spans="1:4">
      <c r="A44" t="s">
        <v>59</v>
      </c>
      <c r="B44" s="2"/>
      <c r="C44" s="30">
        <f>VLOOKUP($F$1,ALLOC!$A$7:$AX$329,24,FALSE)</f>
        <v>0</v>
      </c>
    </row>
    <row r="45" spans="1:4">
      <c r="A45" t="s">
        <v>56</v>
      </c>
      <c r="B45" s="2"/>
      <c r="C45" s="30">
        <f>VLOOKUP($F$1,ALLOC!$A$7:$AX$329,23,FALSE)</f>
        <v>0</v>
      </c>
    </row>
    <row r="46" spans="1:4">
      <c r="A46" t="s">
        <v>57</v>
      </c>
      <c r="B46" s="2"/>
      <c r="C46" s="3">
        <f>+C44+C45</f>
        <v>0</v>
      </c>
    </row>
    <row r="47" spans="1:4">
      <c r="A47" t="s">
        <v>58</v>
      </c>
      <c r="B47" s="2"/>
    </row>
    <row r="48" spans="1:4">
      <c r="A48" t="s">
        <v>54</v>
      </c>
      <c r="B48" s="1">
        <v>0</v>
      </c>
    </row>
    <row r="49" spans="1:11">
      <c r="A49" t="s">
        <v>61</v>
      </c>
      <c r="B49" s="30">
        <f>VLOOKUP($F$1,ALLOC!$A$7:$AX$329,25,FALSE)</f>
        <v>0</v>
      </c>
      <c r="C49" s="2">
        <f>B48+B49</f>
        <v>0</v>
      </c>
    </row>
    <row r="50" spans="1:11" ht="17.25">
      <c r="A50" t="s">
        <v>65</v>
      </c>
      <c r="B50" s="2"/>
      <c r="C50" s="16">
        <f>IF(C49&gt;C46,0,MIN(C45*0.1,C46-C49))</f>
        <v>0</v>
      </c>
    </row>
    <row r="51" spans="1:11" ht="17.25">
      <c r="A51" t="s">
        <v>782</v>
      </c>
      <c r="B51" s="2"/>
      <c r="C51" s="29">
        <f>MIN(C45,C49-C44)+C50-C45</f>
        <v>0</v>
      </c>
    </row>
    <row r="52" spans="1:11" s="120" customFormat="1" ht="17.25">
      <c r="B52" s="71"/>
      <c r="C52" s="188"/>
      <c r="E52"/>
      <c r="F52"/>
    </row>
    <row r="53" spans="1:11" s="120" customFormat="1" ht="17.25">
      <c r="A53" s="192" t="s">
        <v>1653</v>
      </c>
      <c r="B53" s="71"/>
      <c r="C53" s="188"/>
      <c r="E53"/>
      <c r="F53"/>
      <c r="G53" s="421" t="s">
        <v>1654</v>
      </c>
      <c r="H53" s="421"/>
      <c r="I53" s="421"/>
      <c r="J53" s="421"/>
      <c r="K53" s="421"/>
    </row>
    <row r="54" spans="1:11" s="120" customFormat="1" ht="17.25">
      <c r="A54" s="119" t="s">
        <v>59</v>
      </c>
      <c r="B54" s="71"/>
      <c r="C54" s="190">
        <v>0</v>
      </c>
      <c r="E54"/>
      <c r="F54"/>
      <c r="G54" s="421"/>
      <c r="H54" s="421"/>
      <c r="I54" s="421"/>
      <c r="J54" s="421"/>
      <c r="K54" s="421"/>
    </row>
    <row r="55" spans="1:11" s="120" customFormat="1" ht="17.25">
      <c r="A55" s="119" t="s">
        <v>1656</v>
      </c>
      <c r="B55" s="71"/>
      <c r="C55" s="190">
        <v>0</v>
      </c>
      <c r="E55"/>
      <c r="F55"/>
      <c r="G55" s="421"/>
      <c r="H55" s="421"/>
      <c r="I55" s="421"/>
      <c r="J55" s="421"/>
      <c r="K55" s="421"/>
    </row>
    <row r="56" spans="1:11" s="120" customFormat="1">
      <c r="A56" s="119" t="s">
        <v>57</v>
      </c>
      <c r="B56" s="71"/>
      <c r="C56" s="3">
        <f>+C54+C55</f>
        <v>0</v>
      </c>
      <c r="E56"/>
      <c r="F56"/>
      <c r="G56" s="421"/>
      <c r="H56" s="421"/>
      <c r="I56" s="421"/>
      <c r="J56" s="421"/>
      <c r="K56" s="421"/>
    </row>
    <row r="57" spans="1:11" s="120" customFormat="1" ht="17.25">
      <c r="A57" s="119" t="s">
        <v>1655</v>
      </c>
      <c r="B57" s="71"/>
      <c r="C57" s="188"/>
      <c r="E57"/>
      <c r="F57"/>
      <c r="G57" s="421"/>
      <c r="H57" s="421"/>
      <c r="I57" s="421"/>
      <c r="J57" s="421"/>
      <c r="K57" s="421"/>
    </row>
    <row r="58" spans="1:11" s="120" customFormat="1">
      <c r="A58" s="119" t="s">
        <v>54</v>
      </c>
      <c r="B58"/>
      <c r="C58" s="1">
        <v>0</v>
      </c>
      <c r="E58"/>
      <c r="F58"/>
      <c r="G58" s="421"/>
      <c r="H58" s="421"/>
      <c r="I58" s="421"/>
      <c r="J58" s="421"/>
      <c r="K58" s="421"/>
    </row>
    <row r="59" spans="1:11" s="120" customFormat="1" ht="17.25">
      <c r="A59" s="119" t="s">
        <v>65</v>
      </c>
      <c r="B59" s="71"/>
      <c r="C59" s="16">
        <f>IF(C58&gt;C56,0,MIN(C56*1,C56-C58))</f>
        <v>0</v>
      </c>
      <c r="E59"/>
      <c r="F59"/>
      <c r="G59" s="421"/>
      <c r="H59" s="421"/>
      <c r="I59" s="421"/>
      <c r="J59" s="421"/>
      <c r="K59" s="421"/>
    </row>
    <row r="60" spans="1:11">
      <c r="B60" s="2"/>
    </row>
    <row r="61" spans="1:11">
      <c r="A61" s="124" t="s">
        <v>69</v>
      </c>
      <c r="B61" s="2"/>
    </row>
    <row r="62" spans="1:11">
      <c r="A62" s="120" t="s">
        <v>59</v>
      </c>
      <c r="B62" s="2"/>
      <c r="C62" s="30">
        <f>VLOOKUP($F$1,ALLOC!$A$7:$AX$329,28,FALSE)</f>
        <v>192439.61</v>
      </c>
    </row>
    <row r="63" spans="1:11">
      <c r="A63" s="120" t="s">
        <v>54</v>
      </c>
      <c r="B63" s="2"/>
      <c r="C63" s="1">
        <v>0</v>
      </c>
    </row>
    <row r="64" spans="1:11">
      <c r="A64" s="120" t="s">
        <v>70</v>
      </c>
      <c r="B64" s="2"/>
      <c r="C64" s="30">
        <f>VLOOKUP($F$1,ALLOC!$A$7:$AX$329,30,FALSE)</f>
        <v>1978927.18</v>
      </c>
    </row>
    <row r="65" spans="1:10" ht="17.25">
      <c r="A65" s="120" t="s">
        <v>1614</v>
      </c>
      <c r="B65" s="2"/>
      <c r="C65" s="16">
        <f>MAX(MIN(C64+C62-C63,C64*0.1),0)</f>
        <v>197892.71799999999</v>
      </c>
    </row>
    <row r="66" spans="1:10" s="119" customFormat="1" ht="17.25">
      <c r="A66" s="119" t="s">
        <v>1615</v>
      </c>
      <c r="B66" s="2"/>
      <c r="C66" s="125">
        <f>MIN(+C63+C65-C64-C62,0)</f>
        <v>-1973474.0719999997</v>
      </c>
      <c r="E66"/>
      <c r="F66"/>
    </row>
    <row r="67" spans="1:10" s="119" customFormat="1" ht="17.25">
      <c r="A67" s="359" t="s">
        <v>1616</v>
      </c>
      <c r="B67" s="2"/>
      <c r="C67" s="270">
        <f>ROUND(VLOOKUP($F$1,ALLOC!$A$7:$AX$329,31,FALSE)*VLOOKUP($F$1,ALLOC!$A$7:$AX$329,35,FALSE),2)</f>
        <v>121794.46</v>
      </c>
      <c r="E67"/>
      <c r="F67"/>
      <c r="J67" s="54"/>
    </row>
    <row r="68" spans="1:10" ht="15" customHeight="1" thickBot="1">
      <c r="A68" s="120" t="s">
        <v>782</v>
      </c>
      <c r="B68" s="2"/>
      <c r="C68" s="187">
        <f>IF(MAX(C66,-C67)&gt;0,0,MAX(C66,-C67))</f>
        <v>-121794.46</v>
      </c>
    </row>
    <row r="69" spans="1:10" ht="18" hidden="1" thickTop="1">
      <c r="A69" s="120" t="s">
        <v>1178</v>
      </c>
      <c r="B69" s="2"/>
      <c r="C69" s="16">
        <f>IF(C68&lt;0,0,MAX(MIN(C64+C62-C63,C64*0.1),0))</f>
        <v>0</v>
      </c>
    </row>
    <row r="70" spans="1:10" ht="15.75" thickTop="1">
      <c r="A70" s="120"/>
      <c r="B70" s="2"/>
    </row>
    <row r="71" spans="1:10">
      <c r="A71" s="124" t="s">
        <v>783</v>
      </c>
      <c r="B71" s="2"/>
    </row>
    <row r="72" spans="1:10">
      <c r="A72" s="120" t="s">
        <v>59</v>
      </c>
      <c r="B72" s="2"/>
      <c r="C72" s="30">
        <f>VLOOKUP($F$1,ALLOC!$A$7:$AX$329,27,FALSE)</f>
        <v>50879.1</v>
      </c>
    </row>
    <row r="73" spans="1:10">
      <c r="A73" s="120" t="s">
        <v>54</v>
      </c>
      <c r="B73" s="2"/>
      <c r="C73" s="1">
        <v>0</v>
      </c>
    </row>
    <row r="74" spans="1:10">
      <c r="A74" s="120" t="s">
        <v>70</v>
      </c>
      <c r="B74" s="2"/>
      <c r="C74" s="30">
        <f>VLOOKUP($F$1,ALLOC!$A$7:$AX$329,29,FALSE)</f>
        <v>548443.34</v>
      </c>
    </row>
    <row r="75" spans="1:10" ht="17.25">
      <c r="A75" s="120" t="s">
        <v>1614</v>
      </c>
      <c r="B75" s="2"/>
      <c r="C75" s="16">
        <f>MAX(MIN(C74*0.1,C74+C72-C73),0)</f>
        <v>54844.334000000003</v>
      </c>
    </row>
    <row r="76" spans="1:10" s="119" customFormat="1" ht="17.25">
      <c r="A76" s="119" t="s">
        <v>1615</v>
      </c>
      <c r="B76" s="2"/>
      <c r="C76" s="125">
        <f>MIN(+C73+C75-C74-C72,0)</f>
        <v>-544478.10599999991</v>
      </c>
      <c r="D76" s="5"/>
      <c r="E76"/>
      <c r="F76"/>
    </row>
    <row r="77" spans="1:10" s="119" customFormat="1" ht="17.25">
      <c r="A77" s="359" t="s">
        <v>1616</v>
      </c>
      <c r="B77" s="2"/>
      <c r="C77" s="270">
        <f>ROUND(VLOOKUP($F$1,ALLOC!$A$7:$AX$329,36,FALSE)*VLOOKUP($F$1,ALLOC!$A$7:$AX$329,40,FALSE),2)</f>
        <v>46392.9</v>
      </c>
      <c r="D77" s="2"/>
      <c r="E77"/>
      <c r="F77"/>
    </row>
    <row r="78" spans="1:10" ht="15" customHeight="1" thickBot="1">
      <c r="A78" s="120" t="s">
        <v>782</v>
      </c>
      <c r="B78" s="2"/>
      <c r="C78" s="187">
        <f>IF(MAX(C76,-C77)&gt;0,0,MAX(C76,-C77))</f>
        <v>-46392.9</v>
      </c>
      <c r="D78" s="5"/>
    </row>
    <row r="79" spans="1:10" ht="18" hidden="1" thickTop="1">
      <c r="A79" s="120" t="s">
        <v>1178</v>
      </c>
      <c r="B79" s="2"/>
      <c r="C79" s="16">
        <f>IF(C78&lt;0,0,MAX(MIN(C74+C72-C73,C74*0.1),0))</f>
        <v>0</v>
      </c>
    </row>
    <row r="80" spans="1:10" ht="15.75" thickTop="1">
      <c r="B80" s="2"/>
    </row>
    <row r="81" spans="1:6">
      <c r="A81" s="11" t="s">
        <v>66</v>
      </c>
      <c r="B81" s="2"/>
    </row>
    <row r="82" spans="1:6">
      <c r="A82" t="s">
        <v>59</v>
      </c>
      <c r="B82" s="2"/>
      <c r="C82" s="30">
        <f>VLOOKUP($F$1,ALLOC!$A$7:$AX$329,5,FALSE)</f>
        <v>106665.9</v>
      </c>
    </row>
    <row r="83" spans="1:6">
      <c r="A83" t="s">
        <v>56</v>
      </c>
      <c r="B83" s="2"/>
      <c r="C83" s="30">
        <f>VLOOKUP($F$1,ALLOC!$A$7:$AX$329,11,FALSE)</f>
        <v>1387730.53</v>
      </c>
    </row>
    <row r="84" spans="1:6">
      <c r="A84" t="s">
        <v>57</v>
      </c>
      <c r="B84" s="2"/>
      <c r="C84" s="3">
        <f>C82+C83</f>
        <v>1494396.43</v>
      </c>
    </row>
    <row r="85" spans="1:6">
      <c r="A85" t="s">
        <v>58</v>
      </c>
      <c r="B85" s="2"/>
    </row>
    <row r="86" spans="1:6">
      <c r="A86" t="s">
        <v>54</v>
      </c>
      <c r="B86" s="1">
        <v>0</v>
      </c>
    </row>
    <row r="87" spans="1:6">
      <c r="A87" t="s">
        <v>61</v>
      </c>
      <c r="B87" s="2">
        <f>B86*B6</f>
        <v>0</v>
      </c>
      <c r="C87" s="2">
        <f>B86+B87</f>
        <v>0</v>
      </c>
    </row>
    <row r="88" spans="1:6" ht="17.25">
      <c r="A88" t="s">
        <v>65</v>
      </c>
      <c r="B88" s="2"/>
      <c r="C88" s="16">
        <f>IF(C87&gt;C84,0,MIN(C83*0.1,C84-C87))</f>
        <v>138773.05300000001</v>
      </c>
    </row>
    <row r="89" spans="1:6" ht="17.25">
      <c r="A89" t="s">
        <v>782</v>
      </c>
      <c r="B89" s="2"/>
      <c r="C89" s="29">
        <f>IF(C87&gt;C84,0,+C87-C82+C88-C83)</f>
        <v>-1355623.3770000001</v>
      </c>
    </row>
    <row r="90" spans="1:6">
      <c r="B90" s="2"/>
    </row>
    <row r="91" spans="1:6" s="119" customFormat="1">
      <c r="A91" s="11" t="s">
        <v>1681</v>
      </c>
      <c r="B91" s="2"/>
      <c r="C91" s="2"/>
      <c r="E91"/>
      <c r="F91"/>
    </row>
    <row r="92" spans="1:6" s="119" customFormat="1">
      <c r="A92" s="119" t="s">
        <v>59</v>
      </c>
      <c r="B92" s="2"/>
      <c r="C92" s="30">
        <f>VLOOKUP($F$1,ALLOC!$A$7:$AX$329,6,FALSE)</f>
        <v>0</v>
      </c>
      <c r="E92"/>
      <c r="F92"/>
    </row>
    <row r="93" spans="1:6" s="119" customFormat="1">
      <c r="A93" s="119" t="s">
        <v>56</v>
      </c>
      <c r="B93" s="2"/>
      <c r="C93" s="30">
        <f>VLOOKUP($F$1,ALLOC!$A$7:$AX$329,10,FALSE)</f>
        <v>861310.51</v>
      </c>
      <c r="E93"/>
      <c r="F93"/>
    </row>
    <row r="94" spans="1:6" s="119" customFormat="1">
      <c r="A94" s="119" t="s">
        <v>57</v>
      </c>
      <c r="B94" s="2"/>
      <c r="C94" s="3">
        <f>C92+C93</f>
        <v>861310.51</v>
      </c>
      <c r="E94"/>
      <c r="F94"/>
    </row>
    <row r="95" spans="1:6" s="119" customFormat="1">
      <c r="A95" s="119" t="s">
        <v>58</v>
      </c>
      <c r="B95" s="2"/>
      <c r="C95" s="2"/>
      <c r="E95"/>
      <c r="F95"/>
    </row>
    <row r="96" spans="1:6" s="119" customFormat="1">
      <c r="A96" s="119" t="s">
        <v>54</v>
      </c>
      <c r="B96" s="1">
        <v>0</v>
      </c>
      <c r="C96" s="2"/>
      <c r="E96"/>
      <c r="F96"/>
    </row>
    <row r="97" spans="1:6" s="119" customFormat="1">
      <c r="A97" s="119" t="s">
        <v>61</v>
      </c>
      <c r="B97" s="2">
        <f>B96*B6</f>
        <v>0</v>
      </c>
      <c r="C97" s="2">
        <f>B96+B97</f>
        <v>0</v>
      </c>
      <c r="E97"/>
      <c r="F97"/>
    </row>
    <row r="98" spans="1:6" s="119" customFormat="1" ht="17.25">
      <c r="A98" s="119" t="s">
        <v>65</v>
      </c>
      <c r="B98" s="2"/>
      <c r="C98" s="16">
        <f>IF(C97&gt;C94,0,MIN(C93*0.1,C94-C97))</f>
        <v>86131.051000000007</v>
      </c>
      <c r="E98"/>
      <c r="F98"/>
    </row>
    <row r="99" spans="1:6" s="119" customFormat="1" ht="17.25">
      <c r="A99" s="119" t="s">
        <v>782</v>
      </c>
      <c r="B99" s="2"/>
      <c r="C99" s="29">
        <f>IF(C97&gt;C94,0,+C97-C92+C98-C93)</f>
        <v>-775179.45900000003</v>
      </c>
      <c r="E99"/>
      <c r="F99"/>
    </row>
    <row r="100" spans="1:6" s="119" customFormat="1">
      <c r="B100" s="2"/>
      <c r="C100" s="2"/>
      <c r="E100"/>
      <c r="F100"/>
    </row>
    <row r="101" spans="1:6" s="119" customFormat="1">
      <c r="A101" s="11" t="s">
        <v>1682</v>
      </c>
      <c r="B101" s="2"/>
      <c r="C101" s="224">
        <f>+C98+C88</f>
        <v>224904.10400000002</v>
      </c>
      <c r="E101"/>
      <c r="F101"/>
    </row>
    <row r="102" spans="1:6" s="119" customFormat="1">
      <c r="A102" s="11" t="s">
        <v>1707</v>
      </c>
      <c r="B102" s="2"/>
      <c r="C102" s="271">
        <f>+C89+C99</f>
        <v>-2130802.8360000001</v>
      </c>
      <c r="E102"/>
      <c r="F102"/>
    </row>
    <row r="103" spans="1:6" s="119" customFormat="1">
      <c r="B103" s="2"/>
      <c r="C103" s="2"/>
      <c r="E103"/>
      <c r="F103"/>
    </row>
    <row r="104" spans="1:6" s="119" customFormat="1">
      <c r="B104" s="2"/>
      <c r="C104" s="2"/>
      <c r="F104"/>
    </row>
    <row r="105" spans="1:6">
      <c r="A105" s="11" t="s">
        <v>72</v>
      </c>
    </row>
    <row r="106" spans="1:6">
      <c r="A106" t="s">
        <v>59</v>
      </c>
      <c r="B106" s="2"/>
      <c r="C106" s="30">
        <f>VLOOKUP($F$1,ALLOC!$A$7:$AX$329,21,FALSE)</f>
        <v>21861.400000000023</v>
      </c>
    </row>
    <row r="107" spans="1:6">
      <c r="A107" t="s">
        <v>56</v>
      </c>
      <c r="B107" s="2"/>
      <c r="C107" s="30">
        <f>VLOOKUP($F$1,ALLOC!$A$7:$AX$329,20,FALSE)</f>
        <v>414135.41</v>
      </c>
    </row>
    <row r="108" spans="1:6">
      <c r="A108" t="s">
        <v>57</v>
      </c>
      <c r="B108" s="2"/>
      <c r="C108" s="3">
        <f>+C106+C107</f>
        <v>435996.81</v>
      </c>
    </row>
    <row r="109" spans="1:6">
      <c r="A109" t="s">
        <v>58</v>
      </c>
      <c r="B109" s="2"/>
    </row>
    <row r="110" spans="1:6">
      <c r="A110" t="s">
        <v>54</v>
      </c>
      <c r="B110" s="1">
        <v>0</v>
      </c>
    </row>
    <row r="111" spans="1:6">
      <c r="A111" s="359" t="s">
        <v>61</v>
      </c>
      <c r="B111" s="30">
        <f>VLOOKUP($F$1,ALLOC!$A$7:$AX$329,22,FALSE)</f>
        <v>16745.23</v>
      </c>
      <c r="C111" s="2">
        <f>B110+B111</f>
        <v>16745.23</v>
      </c>
    </row>
    <row r="112" spans="1:6" ht="17.25">
      <c r="A112" t="s">
        <v>65</v>
      </c>
      <c r="B112" s="2"/>
      <c r="C112" s="16">
        <f>IF(C111&gt;C108,0,MIN(C107*0.1,C108-C111))</f>
        <v>41413.540999999997</v>
      </c>
    </row>
    <row r="113" spans="1:3" ht="17.25">
      <c r="A113" t="s">
        <v>782</v>
      </c>
      <c r="B113" s="2"/>
      <c r="C113" s="31">
        <f>MIN(C107,C111-C106)+C112-C107</f>
        <v>-377838.03899999999</v>
      </c>
    </row>
    <row r="115" spans="1:3">
      <c r="A115" s="11" t="s">
        <v>784</v>
      </c>
    </row>
    <row r="116" spans="1:3">
      <c r="A116" t="s">
        <v>59</v>
      </c>
      <c r="B116" s="2"/>
      <c r="C116" s="30">
        <f>VLOOKUP($F$1,ALLOC!$A$7:$AX$329,18,FALSE)</f>
        <v>0</v>
      </c>
    </row>
    <row r="117" spans="1:3">
      <c r="A117" t="s">
        <v>56</v>
      </c>
      <c r="B117" s="2"/>
      <c r="C117" s="30">
        <f>VLOOKUP($F$1,ALLOC!$A$7:$AX$329,17,FALSE)</f>
        <v>0</v>
      </c>
    </row>
    <row r="118" spans="1:3">
      <c r="A118" t="s">
        <v>57</v>
      </c>
      <c r="B118" s="2"/>
      <c r="C118" s="3">
        <f>+C116+C117</f>
        <v>0</v>
      </c>
    </row>
    <row r="119" spans="1:3">
      <c r="A119" t="s">
        <v>58</v>
      </c>
      <c r="B119" s="2"/>
    </row>
    <row r="120" spans="1:3">
      <c r="A120" t="s">
        <v>54</v>
      </c>
      <c r="B120" s="1">
        <v>0</v>
      </c>
    </row>
    <row r="121" spans="1:3">
      <c r="A121" s="359" t="s">
        <v>61</v>
      </c>
      <c r="B121" s="30">
        <f>VLOOKUP($F$1,ALLOC!$A$7:$AX$329,19,FALSE)</f>
        <v>0</v>
      </c>
      <c r="C121" s="2">
        <f>B120+B121</f>
        <v>0</v>
      </c>
    </row>
    <row r="122" spans="1:3" ht="17.25">
      <c r="A122" t="s">
        <v>65</v>
      </c>
      <c r="B122" s="2"/>
      <c r="C122" s="16">
        <f>IF(C121&gt;C118,0,MIN(C117*0.1,C118-C121))</f>
        <v>0</v>
      </c>
    </row>
    <row r="123" spans="1:3" ht="17.25">
      <c r="A123" t="s">
        <v>782</v>
      </c>
      <c r="B123" s="2"/>
      <c r="C123" s="31">
        <f>MIN(C117,C121-C116)+C122-C117</f>
        <v>0</v>
      </c>
    </row>
    <row r="125" spans="1:3">
      <c r="A125" s="11" t="s">
        <v>790</v>
      </c>
    </row>
    <row r="126" spans="1:3">
      <c r="A126" t="s">
        <v>786</v>
      </c>
      <c r="C126" s="30">
        <f>VLOOKUP($F$1,ALLOC!$A$7:$AX$329,12,FALSE)</f>
        <v>604470.53</v>
      </c>
    </row>
    <row r="127" spans="1:3">
      <c r="A127" t="s">
        <v>54</v>
      </c>
      <c r="B127" s="1">
        <v>0</v>
      </c>
    </row>
    <row r="128" spans="1:3">
      <c r="A128" t="s">
        <v>61</v>
      </c>
      <c r="B128" s="5">
        <f>B127*B5</f>
        <v>0</v>
      </c>
      <c r="C128" s="2">
        <f>+B127+B128</f>
        <v>0</v>
      </c>
    </row>
    <row r="129" spans="1:6" ht="17.25">
      <c r="A129" t="s">
        <v>782</v>
      </c>
      <c r="C129" s="32">
        <f>MIN(C126,C128)-C126</f>
        <v>-604470.53</v>
      </c>
    </row>
    <row r="131" spans="1:6">
      <c r="A131" s="11" t="s">
        <v>785</v>
      </c>
    </row>
    <row r="132" spans="1:6">
      <c r="A132" t="s">
        <v>786</v>
      </c>
      <c r="C132" s="30">
        <f>VLOOKUP($F$1,ALLOC!$A$7:$AX$329,13,FALSE)</f>
        <v>91567.89</v>
      </c>
    </row>
    <row r="133" spans="1:6">
      <c r="A133" t="s">
        <v>54</v>
      </c>
      <c r="B133" s="1">
        <v>0</v>
      </c>
    </row>
    <row r="134" spans="1:6">
      <c r="A134" t="s">
        <v>61</v>
      </c>
      <c r="B134" s="5">
        <f>B133*B5</f>
        <v>0</v>
      </c>
      <c r="C134" s="2">
        <f>+B133+B134</f>
        <v>0</v>
      </c>
    </row>
    <row r="135" spans="1:6" ht="17.25">
      <c r="A135" t="s">
        <v>782</v>
      </c>
      <c r="C135" s="32">
        <f>MIN(C132,C134)-C132</f>
        <v>-91567.89</v>
      </c>
    </row>
    <row r="138" spans="1:6">
      <c r="A138" s="11" t="s">
        <v>787</v>
      </c>
    </row>
    <row r="139" spans="1:6">
      <c r="A139" t="s">
        <v>2080</v>
      </c>
      <c r="C139" s="272">
        <f>VLOOKUP($F$1,ALLOC!$A$7:$AX$329,14,FALSE)</f>
        <v>1173628.98</v>
      </c>
      <c r="F139" s="120"/>
    </row>
    <row r="140" spans="1:6" s="119" customFormat="1">
      <c r="A140" s="119" t="s">
        <v>2081</v>
      </c>
      <c r="C140" s="272">
        <f>VLOOKUP($F$1,ALLOC!$A$7:$AX$329,45,FALSE)</f>
        <v>111699.55</v>
      </c>
      <c r="F140" s="120"/>
    </row>
    <row r="141" spans="1:6">
      <c r="A141" t="s">
        <v>54</v>
      </c>
      <c r="B141" s="1">
        <v>0</v>
      </c>
      <c r="F141" s="120"/>
    </row>
    <row r="142" spans="1:6">
      <c r="A142" t="s">
        <v>1712</v>
      </c>
      <c r="B142" s="5">
        <f>B141*B5</f>
        <v>0</v>
      </c>
      <c r="C142" s="2">
        <f>+B141+B142</f>
        <v>0</v>
      </c>
      <c r="F142" s="120"/>
    </row>
    <row r="143" spans="1:6">
      <c r="A143" t="s">
        <v>788</v>
      </c>
      <c r="C143" s="1">
        <v>0</v>
      </c>
      <c r="F143" s="120"/>
    </row>
    <row r="144" spans="1:6">
      <c r="A144" t="s">
        <v>1691</v>
      </c>
      <c r="C144" s="2">
        <f>C142+-C143</f>
        <v>0</v>
      </c>
      <c r="F144" s="120"/>
    </row>
    <row r="145" spans="1:6" s="119" customFormat="1">
      <c r="A145" s="359" t="s">
        <v>2082</v>
      </c>
      <c r="C145" s="280">
        <f>MIN(C139,C144-C140)</f>
        <v>-111699.55</v>
      </c>
      <c r="F145" s="120"/>
    </row>
    <row r="146" spans="1:6" s="119" customFormat="1" ht="15.75" thickBot="1">
      <c r="A146" s="119" t="s">
        <v>1713</v>
      </c>
      <c r="C146" s="281">
        <f>(C139-C145)*-1</f>
        <v>-1285328.53</v>
      </c>
      <c r="F146" s="120"/>
    </row>
    <row r="147" spans="1:6" ht="15.75" thickTop="1">
      <c r="A147" t="s">
        <v>1174</v>
      </c>
      <c r="C147" s="73">
        <f>B141*(1+B6)</f>
        <v>0</v>
      </c>
    </row>
    <row r="149" spans="1:6">
      <c r="A149" s="11" t="s">
        <v>1183</v>
      </c>
    </row>
    <row r="150" spans="1:6">
      <c r="A150" t="s">
        <v>1184</v>
      </c>
      <c r="C150" s="30">
        <f>VLOOKUP($F$1,ALLOC!$A$7:$AX$329,26,FALSE)</f>
        <v>180.04</v>
      </c>
    </row>
    <row r="151" spans="1:6">
      <c r="A151" t="s">
        <v>1185</v>
      </c>
      <c r="C151" s="1">
        <v>0</v>
      </c>
    </row>
    <row r="152" spans="1:6" ht="17.25">
      <c r="A152" t="s">
        <v>782</v>
      </c>
      <c r="C152" s="32">
        <f>-C150+C151</f>
        <v>-180.04</v>
      </c>
    </row>
    <row r="154" spans="1:6">
      <c r="A154" s="7" t="s">
        <v>795</v>
      </c>
    </row>
    <row r="155" spans="1:6" s="119" customFormat="1">
      <c r="A155" s="191" t="s">
        <v>1732</v>
      </c>
      <c r="C155" s="189">
        <f>C16</f>
        <v>231143.03000000003</v>
      </c>
    </row>
    <row r="156" spans="1:6">
      <c r="A156" s="12" t="s">
        <v>74</v>
      </c>
      <c r="C156" s="2">
        <f>C29</f>
        <v>431233.53899999999</v>
      </c>
    </row>
    <row r="157" spans="1:6">
      <c r="A157" s="12" t="s">
        <v>1232</v>
      </c>
      <c r="C157" s="2">
        <f>C40</f>
        <v>20240.187000000002</v>
      </c>
    </row>
    <row r="158" spans="1:6">
      <c r="A158" s="12" t="s">
        <v>77</v>
      </c>
      <c r="C158" s="2">
        <f>C50</f>
        <v>0</v>
      </c>
    </row>
    <row r="159" spans="1:6" s="119" customFormat="1">
      <c r="A159" s="191" t="s">
        <v>1652</v>
      </c>
      <c r="C159" s="189">
        <f>C59</f>
        <v>0</v>
      </c>
      <c r="E159"/>
    </row>
    <row r="160" spans="1:6">
      <c r="A160" s="12" t="s">
        <v>76</v>
      </c>
      <c r="C160" s="2">
        <f>C65</f>
        <v>197892.71799999999</v>
      </c>
    </row>
    <row r="161" spans="1:6">
      <c r="A161" s="12" t="s">
        <v>793</v>
      </c>
      <c r="C161" s="2">
        <f>C75</f>
        <v>54844.334000000003</v>
      </c>
    </row>
    <row r="162" spans="1:6">
      <c r="A162" s="12" t="s">
        <v>75</v>
      </c>
      <c r="C162" s="2">
        <f>C88</f>
        <v>138773.05300000001</v>
      </c>
    </row>
    <row r="163" spans="1:6" s="119" customFormat="1">
      <c r="A163" s="191" t="s">
        <v>1683</v>
      </c>
      <c r="C163" s="2">
        <f>C98</f>
        <v>86131.051000000007</v>
      </c>
      <c r="E163"/>
    </row>
    <row r="164" spans="1:6">
      <c r="A164" s="12" t="s">
        <v>78</v>
      </c>
      <c r="C164" s="2">
        <f>C112</f>
        <v>41413.540999999997</v>
      </c>
    </row>
    <row r="165" spans="1:6">
      <c r="A165" s="12" t="s">
        <v>794</v>
      </c>
      <c r="C165" s="2">
        <f>C122</f>
        <v>0</v>
      </c>
    </row>
    <row r="166" spans="1:6">
      <c r="A166" s="7" t="s">
        <v>79</v>
      </c>
      <c r="C166" s="17">
        <f>SUM(C155:C165)</f>
        <v>1201671.453</v>
      </c>
      <c r="F166" s="5"/>
    </row>
    <row r="169" spans="1:6">
      <c r="A169" s="416" t="s">
        <v>781</v>
      </c>
      <c r="B169" s="417"/>
      <c r="C169" s="418"/>
    </row>
    <row r="170" spans="1:6">
      <c r="A170" s="12" t="s">
        <v>796</v>
      </c>
      <c r="C170" s="2">
        <f>C30</f>
        <v>-5067070.9646799993</v>
      </c>
    </row>
    <row r="171" spans="1:6">
      <c r="A171" s="12" t="s">
        <v>1210</v>
      </c>
      <c r="C171" s="2">
        <f>C41</f>
        <v>-182161.68299999999</v>
      </c>
    </row>
    <row r="172" spans="1:6">
      <c r="A172" s="12" t="s">
        <v>797</v>
      </c>
      <c r="C172" s="2">
        <f>C51</f>
        <v>0</v>
      </c>
    </row>
    <row r="173" spans="1:6">
      <c r="A173" s="12" t="s">
        <v>798</v>
      </c>
      <c r="C173" s="2">
        <f>C68</f>
        <v>-121794.46</v>
      </c>
    </row>
    <row r="174" spans="1:6">
      <c r="A174" s="12" t="s">
        <v>799</v>
      </c>
      <c r="C174" s="2">
        <f>C78</f>
        <v>-46392.9</v>
      </c>
    </row>
    <row r="175" spans="1:6">
      <c r="A175" s="12" t="s">
        <v>800</v>
      </c>
      <c r="C175" s="2">
        <f>C102</f>
        <v>-2130802.8360000001</v>
      </c>
    </row>
    <row r="176" spans="1:6">
      <c r="A176" s="12" t="s">
        <v>801</v>
      </c>
      <c r="C176" s="2">
        <f>C113</f>
        <v>-377838.03899999999</v>
      </c>
    </row>
    <row r="177" spans="1:3">
      <c r="A177" s="12" t="s">
        <v>802</v>
      </c>
      <c r="C177" s="2">
        <f>C123</f>
        <v>0</v>
      </c>
    </row>
    <row r="178" spans="1:3">
      <c r="A178" s="12" t="s">
        <v>791</v>
      </c>
      <c r="C178" s="2">
        <f>C129</f>
        <v>-604470.53</v>
      </c>
    </row>
    <row r="179" spans="1:3">
      <c r="A179" s="12" t="s">
        <v>789</v>
      </c>
      <c r="C179" s="2">
        <f>C135</f>
        <v>-91567.89</v>
      </c>
    </row>
    <row r="180" spans="1:3">
      <c r="A180" s="12" t="s">
        <v>792</v>
      </c>
      <c r="C180" s="2">
        <f>C146</f>
        <v>-1285328.53</v>
      </c>
    </row>
    <row r="181" spans="1:3">
      <c r="A181" s="12" t="s">
        <v>1182</v>
      </c>
      <c r="C181" s="2">
        <f>IF(C152&lt;0,C152,0)</f>
        <v>-180.04</v>
      </c>
    </row>
    <row r="182" spans="1:3">
      <c r="A182" s="33" t="s">
        <v>803</v>
      </c>
      <c r="C182" s="17">
        <f>IF(VLOOKUP($F$1,CCDDD!$A$2:$D$318,4,FALSE)="Cash",-SUM('GL 821 Restricted'!C170:C181),0)</f>
        <v>0</v>
      </c>
    </row>
    <row r="184" spans="1:3" ht="17.25">
      <c r="A184" s="12" t="s">
        <v>804</v>
      </c>
      <c r="C184" s="34">
        <f>C166+C182</f>
        <v>1201671.453</v>
      </c>
    </row>
    <row r="186" spans="1:3">
      <c r="A186" s="419" t="s">
        <v>818</v>
      </c>
      <c r="B186" s="420"/>
      <c r="C186" s="48">
        <f>IF(C182=0,ABS(SUM(C170:C181)),0)</f>
        <v>9907607.8726799991</v>
      </c>
    </row>
    <row r="187" spans="1:3">
      <c r="A187" s="6" t="s">
        <v>819</v>
      </c>
    </row>
  </sheetData>
  <mergeCells count="5">
    <mergeCell ref="A1:C1"/>
    <mergeCell ref="A2:C2"/>
    <mergeCell ref="A169:C169"/>
    <mergeCell ref="A186:B186"/>
    <mergeCell ref="G53:K59"/>
  </mergeCells>
  <hyperlinks>
    <hyperlink ref="A3" location="'Fund Balance Summary'!A1" display="(Return to summary sheet)"/>
    <hyperlink ref="A187" location="'Journal Entries'!A1" display="(Click here for sample journal entries relating to recovery.)"/>
  </hyperlink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5"/>
  <sheetViews>
    <sheetView workbookViewId="0">
      <selection sqref="A1:C1"/>
    </sheetView>
  </sheetViews>
  <sheetFormatPr defaultRowHeight="15"/>
  <cols>
    <col min="1" max="1" width="70.85546875" bestFit="1" customWidth="1"/>
    <col min="2" max="3" width="15.7109375" style="2" customWidth="1"/>
    <col min="4" max="5" width="3.85546875" customWidth="1"/>
  </cols>
  <sheetData>
    <row r="1" spans="1:3">
      <c r="A1" s="415" t="s">
        <v>1130</v>
      </c>
      <c r="B1" s="415"/>
      <c r="C1" s="415"/>
    </row>
    <row r="2" spans="1:3">
      <c r="A2" s="415" t="s">
        <v>1136</v>
      </c>
      <c r="B2" s="415"/>
      <c r="C2" s="415"/>
    </row>
    <row r="3" spans="1:3">
      <c r="A3" s="186" t="s">
        <v>151</v>
      </c>
    </row>
    <row r="5" spans="1:3">
      <c r="A5" s="7" t="s">
        <v>1650</v>
      </c>
    </row>
    <row r="6" spans="1:3">
      <c r="A6" t="s">
        <v>112</v>
      </c>
      <c r="C6" s="1">
        <v>0</v>
      </c>
    </row>
    <row r="7" spans="1:3">
      <c r="A7" t="s">
        <v>1114</v>
      </c>
    </row>
    <row r="8" spans="1:3">
      <c r="A8" s="4" t="s">
        <v>1138</v>
      </c>
      <c r="B8" s="1">
        <v>0</v>
      </c>
    </row>
    <row r="9" spans="1:3">
      <c r="A9" s="4" t="s">
        <v>1139</v>
      </c>
      <c r="B9" s="1">
        <v>0</v>
      </c>
    </row>
    <row r="10" spans="1:3">
      <c r="A10" s="4" t="s">
        <v>1140</v>
      </c>
      <c r="B10" s="1">
        <v>0</v>
      </c>
    </row>
    <row r="11" spans="1:3">
      <c r="A11" s="4" t="s">
        <v>1137</v>
      </c>
      <c r="B11" s="1">
        <v>0</v>
      </c>
    </row>
    <row r="12" spans="1:3">
      <c r="A12" s="4" t="s">
        <v>1162</v>
      </c>
      <c r="B12" s="1">
        <v>0</v>
      </c>
    </row>
    <row r="13" spans="1:3">
      <c r="A13" s="4" t="s">
        <v>1163</v>
      </c>
      <c r="B13" s="1">
        <v>0</v>
      </c>
    </row>
    <row r="14" spans="1:3">
      <c r="A14" s="4" t="s">
        <v>1164</v>
      </c>
      <c r="B14" s="1">
        <v>0</v>
      </c>
    </row>
    <row r="15" spans="1:3" ht="17.25">
      <c r="A15" s="4" t="s">
        <v>1141</v>
      </c>
      <c r="B15" s="67">
        <v>0</v>
      </c>
    </row>
    <row r="16" spans="1:3" ht="17.25">
      <c r="A16" t="s">
        <v>1142</v>
      </c>
      <c r="C16" s="68">
        <f>SUM(B8:B15)</f>
        <v>0</v>
      </c>
    </row>
    <row r="17" spans="1:3">
      <c r="A17" s="66" t="s">
        <v>1165</v>
      </c>
    </row>
    <row r="18" spans="1:3">
      <c r="A18" s="4" t="s">
        <v>1143</v>
      </c>
      <c r="B18" s="1">
        <v>0</v>
      </c>
    </row>
    <row r="19" spans="1:3">
      <c r="A19" s="4" t="s">
        <v>1144</v>
      </c>
      <c r="B19" s="1">
        <v>0</v>
      </c>
    </row>
    <row r="20" spans="1:3">
      <c r="A20" s="4" t="s">
        <v>1145</v>
      </c>
      <c r="B20" s="1">
        <v>0</v>
      </c>
    </row>
    <row r="21" spans="1:3">
      <c r="A21" s="4" t="s">
        <v>1146</v>
      </c>
      <c r="B21" s="1">
        <v>0</v>
      </c>
    </row>
    <row r="22" spans="1:3">
      <c r="A22" s="4" t="s">
        <v>1147</v>
      </c>
      <c r="B22" s="1">
        <v>0</v>
      </c>
    </row>
    <row r="23" spans="1:3">
      <c r="A23" s="4" t="s">
        <v>1148</v>
      </c>
      <c r="B23" s="1">
        <v>0</v>
      </c>
    </row>
    <row r="24" spans="1:3">
      <c r="A24" s="4" t="s">
        <v>1149</v>
      </c>
      <c r="B24" s="1">
        <v>0</v>
      </c>
    </row>
    <row r="25" spans="1:3">
      <c r="A25" s="4" t="s">
        <v>1150</v>
      </c>
      <c r="B25" s="1">
        <v>0</v>
      </c>
    </row>
    <row r="26" spans="1:3">
      <c r="A26" s="4" t="s">
        <v>1151</v>
      </c>
      <c r="B26" s="1">
        <v>0</v>
      </c>
    </row>
    <row r="27" spans="1:3">
      <c r="A27" s="4" t="s">
        <v>1152</v>
      </c>
      <c r="B27" s="1">
        <v>0</v>
      </c>
    </row>
    <row r="28" spans="1:3">
      <c r="A28" s="4" t="s">
        <v>1153</v>
      </c>
      <c r="B28" s="1">
        <v>0</v>
      </c>
    </row>
    <row r="29" spans="1:3" s="119" customFormat="1">
      <c r="A29" s="4" t="s">
        <v>1651</v>
      </c>
      <c r="B29" s="1">
        <v>0</v>
      </c>
      <c r="C29" s="2"/>
    </row>
    <row r="30" spans="1:3">
      <c r="A30" s="4" t="s">
        <v>1154</v>
      </c>
      <c r="B30" s="1">
        <v>0</v>
      </c>
    </row>
    <row r="31" spans="1:3">
      <c r="A31" s="4" t="s">
        <v>1155</v>
      </c>
      <c r="B31" s="1">
        <v>0</v>
      </c>
    </row>
    <row r="32" spans="1:3">
      <c r="A32" s="4" t="s">
        <v>1156</v>
      </c>
      <c r="B32" s="1">
        <v>0</v>
      </c>
    </row>
    <row r="33" spans="1:3">
      <c r="A33" s="4" t="s">
        <v>1157</v>
      </c>
      <c r="B33" s="1">
        <v>0</v>
      </c>
    </row>
    <row r="34" spans="1:3">
      <c r="A34" s="4" t="s">
        <v>1158</v>
      </c>
      <c r="B34" s="1">
        <v>0</v>
      </c>
    </row>
    <row r="35" spans="1:3">
      <c r="A35" s="4" t="s">
        <v>1159</v>
      </c>
      <c r="B35" s="1">
        <v>0</v>
      </c>
    </row>
    <row r="36" spans="1:3" ht="17.25">
      <c r="A36" s="4" t="s">
        <v>1160</v>
      </c>
      <c r="B36" s="67">
        <v>0</v>
      </c>
    </row>
    <row r="37" spans="1:3" ht="17.25">
      <c r="A37" s="66" t="s">
        <v>1161</v>
      </c>
      <c r="C37" s="69">
        <f>SUM(B18:B36)</f>
        <v>0</v>
      </c>
    </row>
    <row r="38" spans="1:3">
      <c r="A38" s="66" t="s">
        <v>1166</v>
      </c>
      <c r="C38" s="2">
        <f>+C16-C37</f>
        <v>0</v>
      </c>
    </row>
    <row r="39" spans="1:3" ht="17.25">
      <c r="A39" s="66" t="s">
        <v>118</v>
      </c>
      <c r="C39" s="70">
        <f>+C6+C38</f>
        <v>0</v>
      </c>
    </row>
    <row r="41" spans="1:3">
      <c r="A41" s="7" t="s">
        <v>99</v>
      </c>
    </row>
    <row r="42" spans="1:3">
      <c r="A42" s="66" t="s">
        <v>112</v>
      </c>
      <c r="C42" s="1">
        <v>0</v>
      </c>
    </row>
    <row r="43" spans="1:3">
      <c r="A43" s="66" t="s">
        <v>1167</v>
      </c>
      <c r="C43" s="1">
        <v>0</v>
      </c>
    </row>
    <row r="44" spans="1:3" ht="17.25">
      <c r="A44" s="66" t="s">
        <v>1168</v>
      </c>
      <c r="C44" s="67">
        <v>0</v>
      </c>
    </row>
    <row r="45" spans="1:3" ht="17.25">
      <c r="A45" s="66" t="s">
        <v>118</v>
      </c>
      <c r="C45" s="70">
        <f>+C42+C43-C44</f>
        <v>0</v>
      </c>
    </row>
  </sheetData>
  <mergeCells count="2">
    <mergeCell ref="A1:C1"/>
    <mergeCell ref="A2:C2"/>
  </mergeCells>
  <hyperlinks>
    <hyperlink ref="A3" location="'Fund Balance Summary'!A1" display="(Return to Summary Sheet)"/>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1FF"/>
    <pageSetUpPr fitToPage="1"/>
  </sheetPr>
  <dimension ref="A1:AB54"/>
  <sheetViews>
    <sheetView workbookViewId="0">
      <pane ySplit="4" topLeftCell="A5" activePane="bottomLeft" state="frozen"/>
      <selection pane="bottomLeft" sqref="A1:C1"/>
    </sheetView>
  </sheetViews>
  <sheetFormatPr defaultRowHeight="15"/>
  <cols>
    <col min="1" max="1" width="61.5703125" style="51" customWidth="1"/>
    <col min="2" max="2" width="16" style="51" bestFit="1" customWidth="1"/>
    <col min="3" max="3" width="13.42578125" style="51" bestFit="1" customWidth="1"/>
    <col min="4" max="4" width="14.85546875" style="51" bestFit="1" customWidth="1"/>
    <col min="5" max="20" width="9.140625" style="51"/>
    <col min="21" max="21" width="9.140625" style="51" customWidth="1"/>
    <col min="22" max="16384" width="9.140625" style="51"/>
  </cols>
  <sheetData>
    <row r="1" spans="1:18" ht="15.75" thickBot="1">
      <c r="A1" s="415" t="s">
        <v>835</v>
      </c>
      <c r="B1" s="415"/>
      <c r="C1" s="415"/>
      <c r="F1" s="92" t="str">
        <f>'Fund Balance Summary'!B1</f>
        <v>14005</v>
      </c>
    </row>
    <row r="2" spans="1:18" ht="15" customHeight="1">
      <c r="A2" s="415" t="s">
        <v>52</v>
      </c>
      <c r="B2" s="415"/>
      <c r="C2" s="415"/>
      <c r="H2" s="432" t="s">
        <v>1714</v>
      </c>
      <c r="I2" s="433"/>
      <c r="J2" s="433"/>
      <c r="K2" s="433"/>
      <c r="L2" s="433"/>
      <c r="M2" s="433"/>
      <c r="N2" s="433"/>
      <c r="O2" s="433"/>
      <c r="P2" s="433"/>
      <c r="Q2" s="434"/>
    </row>
    <row r="3" spans="1:18">
      <c r="A3" s="6" t="s">
        <v>40</v>
      </c>
      <c r="H3" s="435" t="s">
        <v>52</v>
      </c>
      <c r="I3" s="436"/>
      <c r="J3" s="436"/>
      <c r="K3" s="436"/>
      <c r="L3" s="436"/>
      <c r="M3" s="436"/>
      <c r="N3" s="436"/>
      <c r="O3" s="436"/>
      <c r="P3" s="436"/>
      <c r="Q3" s="437"/>
    </row>
    <row r="4" spans="1:18">
      <c r="A4" s="52" t="str">
        <f>F1</f>
        <v>14005</v>
      </c>
      <c r="B4" s="51" t="str">
        <f>PROPER(VLOOKUP(F1,CCDDD!$A$2:$B$318,2,FALSE))</f>
        <v>Aberdeen</v>
      </c>
      <c r="H4" s="441" t="s">
        <v>1753</v>
      </c>
      <c r="I4" s="442"/>
      <c r="J4" s="442"/>
      <c r="K4" s="442"/>
      <c r="L4" s="442"/>
      <c r="M4" s="442"/>
      <c r="N4" s="442"/>
      <c r="O4" s="442"/>
      <c r="P4" s="442"/>
      <c r="Q4" s="443"/>
    </row>
    <row r="5" spans="1:18">
      <c r="H5" s="428" t="s">
        <v>1715</v>
      </c>
      <c r="I5" s="429"/>
      <c r="J5" s="429"/>
      <c r="K5" s="429"/>
      <c r="L5" s="429"/>
      <c r="M5" s="429"/>
      <c r="N5" s="429"/>
      <c r="O5" s="429"/>
      <c r="P5" s="429"/>
      <c r="Q5" s="430"/>
    </row>
    <row r="6" spans="1:18">
      <c r="A6" s="53" t="s">
        <v>1114</v>
      </c>
      <c r="H6" s="428"/>
      <c r="I6" s="429"/>
      <c r="J6" s="429"/>
      <c r="K6" s="429"/>
      <c r="L6" s="429"/>
      <c r="M6" s="429"/>
      <c r="N6" s="429"/>
      <c r="O6" s="429"/>
      <c r="P6" s="429"/>
      <c r="Q6" s="430"/>
    </row>
    <row r="7" spans="1:18">
      <c r="A7" s="36" t="s">
        <v>1131</v>
      </c>
      <c r="D7" s="1">
        <v>0</v>
      </c>
      <c r="H7" s="428"/>
      <c r="I7" s="429"/>
      <c r="J7" s="429"/>
      <c r="K7" s="429"/>
      <c r="L7" s="429"/>
      <c r="M7" s="429"/>
      <c r="N7" s="429"/>
      <c r="O7" s="429"/>
      <c r="P7" s="429"/>
      <c r="Q7" s="430"/>
      <c r="R7" s="177"/>
    </row>
    <row r="8" spans="1:18">
      <c r="A8" s="36" t="s">
        <v>1132</v>
      </c>
      <c r="D8" s="64">
        <v>0</v>
      </c>
      <c r="H8" s="428"/>
      <c r="I8" s="429"/>
      <c r="J8" s="429"/>
      <c r="K8" s="429"/>
      <c r="L8" s="429"/>
      <c r="M8" s="429"/>
      <c r="N8" s="429"/>
      <c r="O8" s="429"/>
      <c r="P8" s="429"/>
      <c r="Q8" s="430"/>
      <c r="R8" s="178"/>
    </row>
    <row r="9" spans="1:18">
      <c r="A9" s="36" t="s">
        <v>1133</v>
      </c>
      <c r="D9" s="64">
        <v>0</v>
      </c>
      <c r="H9" s="428"/>
      <c r="I9" s="429"/>
      <c r="J9" s="429"/>
      <c r="K9" s="429"/>
      <c r="L9" s="429"/>
      <c r="M9" s="429"/>
      <c r="N9" s="429"/>
      <c r="O9" s="429"/>
      <c r="P9" s="429"/>
      <c r="Q9" s="430"/>
      <c r="R9" s="179"/>
    </row>
    <row r="10" spans="1:18" ht="15" customHeight="1">
      <c r="A10" s="36" t="s">
        <v>1134</v>
      </c>
      <c r="D10" s="64">
        <v>0</v>
      </c>
      <c r="H10" s="438" t="s">
        <v>1716</v>
      </c>
      <c r="I10" s="439"/>
      <c r="J10" s="439"/>
      <c r="K10" s="439"/>
      <c r="L10" s="439"/>
      <c r="M10" s="439"/>
      <c r="N10" s="439"/>
      <c r="O10" s="439"/>
      <c r="P10" s="439"/>
      <c r="Q10" s="440"/>
      <c r="R10" s="180"/>
    </row>
    <row r="11" spans="1:18" ht="17.25">
      <c r="A11" s="36" t="s">
        <v>1135</v>
      </c>
      <c r="D11" s="65">
        <v>0</v>
      </c>
      <c r="H11" s="438"/>
      <c r="I11" s="439"/>
      <c r="J11" s="439"/>
      <c r="K11" s="439"/>
      <c r="L11" s="439"/>
      <c r="M11" s="439"/>
      <c r="N11" s="439"/>
      <c r="O11" s="439"/>
      <c r="P11" s="439"/>
      <c r="Q11" s="440"/>
      <c r="R11" s="180"/>
    </row>
    <row r="12" spans="1:18">
      <c r="A12" s="53" t="s">
        <v>1115</v>
      </c>
      <c r="D12" s="22">
        <f>SUM(D7:D11)</f>
        <v>0</v>
      </c>
      <c r="H12" s="441" t="s">
        <v>1717</v>
      </c>
      <c r="I12" s="442"/>
      <c r="J12" s="442"/>
      <c r="K12" s="442"/>
      <c r="L12" s="442"/>
      <c r="M12" s="442"/>
      <c r="N12" s="442"/>
      <c r="O12" s="442"/>
      <c r="P12" s="442"/>
      <c r="Q12" s="443"/>
    </row>
    <row r="13" spans="1:18">
      <c r="A13" s="36"/>
      <c r="H13" s="441"/>
      <c r="I13" s="442"/>
      <c r="J13" s="442"/>
      <c r="K13" s="442"/>
      <c r="L13" s="442"/>
      <c r="M13" s="442"/>
      <c r="N13" s="442"/>
      <c r="O13" s="442"/>
      <c r="P13" s="442"/>
      <c r="Q13" s="443"/>
    </row>
    <row r="14" spans="1:18" ht="30">
      <c r="A14" s="53" t="s">
        <v>58</v>
      </c>
      <c r="B14" s="55" t="s">
        <v>54</v>
      </c>
      <c r="C14" s="55" t="s">
        <v>1116</v>
      </c>
      <c r="D14" s="55" t="s">
        <v>1117</v>
      </c>
      <c r="H14" s="428" t="s">
        <v>1718</v>
      </c>
      <c r="I14" s="429"/>
      <c r="J14" s="429"/>
      <c r="K14" s="429"/>
      <c r="L14" s="429"/>
      <c r="M14" s="429"/>
      <c r="N14" s="429"/>
      <c r="O14" s="429"/>
      <c r="P14" s="429"/>
      <c r="Q14" s="430"/>
    </row>
    <row r="15" spans="1:18">
      <c r="A15" s="36" t="s">
        <v>1170</v>
      </c>
      <c r="B15" s="1">
        <v>0</v>
      </c>
      <c r="C15" s="56">
        <f>IF($B$22=0,0,B15/$B$22*$C$22)</f>
        <v>0</v>
      </c>
      <c r="D15" s="56">
        <f>+B15+C15</f>
        <v>0</v>
      </c>
      <c r="E15" s="51" t="s">
        <v>1118</v>
      </c>
      <c r="H15" s="444" t="s">
        <v>1719</v>
      </c>
      <c r="I15" s="445"/>
      <c r="J15" s="445"/>
      <c r="K15" s="445"/>
      <c r="L15" s="445"/>
      <c r="M15" s="445"/>
      <c r="N15" s="445"/>
      <c r="O15" s="445"/>
      <c r="P15" s="445"/>
      <c r="Q15" s="446"/>
    </row>
    <row r="16" spans="1:18">
      <c r="A16" s="36" t="s">
        <v>1171</v>
      </c>
      <c r="B16" s="64">
        <v>0</v>
      </c>
      <c r="C16" s="56">
        <f t="shared" ref="C16:C21" si="0">IF($B$22=0,0,B16/$B$22*$C$22)</f>
        <v>0</v>
      </c>
      <c r="D16" s="56">
        <f t="shared" ref="D16:D21" si="1">+B16+C16</f>
        <v>0</v>
      </c>
      <c r="E16" s="51" t="s">
        <v>1118</v>
      </c>
      <c r="H16" s="444"/>
      <c r="I16" s="445"/>
      <c r="J16" s="445"/>
      <c r="K16" s="445"/>
      <c r="L16" s="445"/>
      <c r="M16" s="445"/>
      <c r="N16" s="445"/>
      <c r="O16" s="445"/>
      <c r="P16" s="445"/>
      <c r="Q16" s="446"/>
    </row>
    <row r="17" spans="1:17">
      <c r="A17" s="36" t="s">
        <v>1172</v>
      </c>
      <c r="B17" s="64">
        <v>0</v>
      </c>
      <c r="C17" s="56">
        <f t="shared" si="0"/>
        <v>0</v>
      </c>
      <c r="D17" s="56">
        <f t="shared" si="1"/>
        <v>0</v>
      </c>
      <c r="E17" s="51" t="s">
        <v>1118</v>
      </c>
      <c r="H17" s="444"/>
      <c r="I17" s="445"/>
      <c r="J17" s="445"/>
      <c r="K17" s="445"/>
      <c r="L17" s="445"/>
      <c r="M17" s="445"/>
      <c r="N17" s="445"/>
      <c r="O17" s="445"/>
      <c r="P17" s="445"/>
      <c r="Q17" s="446"/>
    </row>
    <row r="18" spans="1:17">
      <c r="A18" s="36" t="s">
        <v>1119</v>
      </c>
      <c r="B18" s="64">
        <v>0</v>
      </c>
      <c r="C18" s="56">
        <f t="shared" si="0"/>
        <v>0</v>
      </c>
      <c r="D18" s="56">
        <f t="shared" si="1"/>
        <v>0</v>
      </c>
      <c r="H18" s="428" t="s">
        <v>1720</v>
      </c>
      <c r="I18" s="429"/>
      <c r="J18" s="429"/>
      <c r="K18" s="429"/>
      <c r="L18" s="429"/>
      <c r="M18" s="429"/>
      <c r="N18" s="429"/>
      <c r="O18" s="429"/>
      <c r="P18" s="429"/>
      <c r="Q18" s="430"/>
    </row>
    <row r="19" spans="1:17">
      <c r="A19" s="36" t="s">
        <v>1120</v>
      </c>
      <c r="B19" s="64">
        <v>0</v>
      </c>
      <c r="C19" s="56">
        <f t="shared" si="0"/>
        <v>0</v>
      </c>
      <c r="D19" s="56">
        <f t="shared" si="1"/>
        <v>0</v>
      </c>
      <c r="H19" s="428"/>
      <c r="I19" s="429"/>
      <c r="J19" s="429"/>
      <c r="K19" s="429"/>
      <c r="L19" s="429"/>
      <c r="M19" s="429"/>
      <c r="N19" s="429"/>
      <c r="O19" s="429"/>
      <c r="P19" s="429"/>
      <c r="Q19" s="430"/>
    </row>
    <row r="20" spans="1:17">
      <c r="A20" s="36" t="s">
        <v>1173</v>
      </c>
      <c r="B20" s="64">
        <v>0</v>
      </c>
      <c r="C20" s="56">
        <f t="shared" si="0"/>
        <v>0</v>
      </c>
      <c r="D20" s="56">
        <f t="shared" si="1"/>
        <v>0</v>
      </c>
      <c r="E20" s="51" t="s">
        <v>1118</v>
      </c>
      <c r="H20" s="428" t="s">
        <v>1723</v>
      </c>
      <c r="I20" s="429"/>
      <c r="J20" s="429"/>
      <c r="K20" s="429"/>
      <c r="L20" s="429"/>
      <c r="M20" s="429"/>
      <c r="N20" s="429"/>
      <c r="O20" s="429"/>
      <c r="P20" s="429"/>
      <c r="Q20" s="430"/>
    </row>
    <row r="21" spans="1:17" ht="17.25">
      <c r="A21" s="36" t="s">
        <v>1121</v>
      </c>
      <c r="B21" s="65">
        <v>0</v>
      </c>
      <c r="C21" s="57">
        <f t="shared" si="0"/>
        <v>0</v>
      </c>
      <c r="D21" s="57">
        <f t="shared" si="1"/>
        <v>0</v>
      </c>
      <c r="H21" s="428" t="s">
        <v>1728</v>
      </c>
      <c r="I21" s="429"/>
      <c r="J21" s="429"/>
      <c r="K21" s="429"/>
      <c r="L21" s="429"/>
      <c r="M21" s="429"/>
      <c r="N21" s="429"/>
      <c r="O21" s="429"/>
      <c r="P21" s="429"/>
      <c r="Q21" s="430"/>
    </row>
    <row r="22" spans="1:17">
      <c r="A22" s="36" t="s">
        <v>1122</v>
      </c>
      <c r="B22" s="56">
        <f>SUM(B15:B21)</f>
        <v>0</v>
      </c>
      <c r="C22" s="1">
        <v>0</v>
      </c>
      <c r="D22" s="56">
        <f>SUM(D15:D21)</f>
        <v>0</v>
      </c>
      <c r="H22" s="428" t="s">
        <v>1724</v>
      </c>
      <c r="I22" s="429"/>
      <c r="J22" s="429"/>
      <c r="K22" s="429"/>
      <c r="L22" s="429"/>
      <c r="M22" s="429"/>
      <c r="N22" s="429"/>
      <c r="O22" s="429"/>
      <c r="P22" s="429"/>
      <c r="Q22" s="430"/>
    </row>
    <row r="23" spans="1:17">
      <c r="A23" s="36"/>
      <c r="H23" s="428" t="s">
        <v>1729</v>
      </c>
      <c r="I23" s="429"/>
      <c r="J23" s="429"/>
      <c r="K23" s="429"/>
      <c r="L23" s="429"/>
      <c r="M23" s="429"/>
      <c r="N23" s="429"/>
      <c r="O23" s="429"/>
      <c r="P23" s="429"/>
      <c r="Q23" s="430"/>
    </row>
    <row r="24" spans="1:17">
      <c r="A24" s="36" t="s">
        <v>61</v>
      </c>
      <c r="H24" s="428" t="s">
        <v>1725</v>
      </c>
      <c r="I24" s="429"/>
      <c r="J24" s="429"/>
      <c r="K24" s="429"/>
      <c r="L24" s="429"/>
      <c r="M24" s="429"/>
      <c r="N24" s="429"/>
      <c r="O24" s="429"/>
      <c r="P24" s="429"/>
      <c r="Q24" s="430"/>
    </row>
    <row r="25" spans="1:17">
      <c r="A25" s="36" t="s">
        <v>1123</v>
      </c>
      <c r="D25" s="58">
        <f>VLOOKUP($F$1,Indirects!$B$7:$F$320,5,FALSE)</f>
        <v>0.13650000000000001</v>
      </c>
      <c r="H25" s="428" t="s">
        <v>1726</v>
      </c>
      <c r="I25" s="429"/>
      <c r="J25" s="429"/>
      <c r="K25" s="429"/>
      <c r="L25" s="429"/>
      <c r="M25" s="429"/>
      <c r="N25" s="429"/>
      <c r="O25" s="429"/>
      <c r="P25" s="429"/>
      <c r="Q25" s="430"/>
    </row>
    <row r="26" spans="1:17">
      <c r="A26" s="36" t="s">
        <v>1124</v>
      </c>
      <c r="B26" s="54"/>
      <c r="D26" s="54">
        <f>ROUND((D15+D16+D17+D20)*D25,2)</f>
        <v>0</v>
      </c>
      <c r="H26" s="428" t="s">
        <v>1727</v>
      </c>
      <c r="I26" s="429"/>
      <c r="J26" s="429"/>
      <c r="K26" s="429"/>
      <c r="L26" s="429"/>
      <c r="M26" s="429"/>
      <c r="N26" s="429"/>
      <c r="O26" s="429"/>
      <c r="P26" s="429"/>
      <c r="Q26" s="430"/>
    </row>
    <row r="27" spans="1:17" ht="17.25">
      <c r="A27" s="53" t="s">
        <v>1125</v>
      </c>
      <c r="B27" s="2"/>
      <c r="D27" s="59">
        <f>+D22+D26</f>
        <v>0</v>
      </c>
      <c r="H27" s="428"/>
      <c r="I27" s="429"/>
      <c r="J27" s="429"/>
      <c r="K27" s="429"/>
      <c r="L27" s="429"/>
      <c r="M27" s="429"/>
      <c r="N27" s="429"/>
      <c r="O27" s="429"/>
      <c r="P27" s="429"/>
      <c r="Q27" s="430"/>
    </row>
    <row r="28" spans="1:17">
      <c r="A28" s="36"/>
      <c r="H28" s="428" t="s">
        <v>1721</v>
      </c>
      <c r="I28" s="429"/>
      <c r="J28" s="429"/>
      <c r="K28" s="429"/>
      <c r="L28" s="429"/>
      <c r="M28" s="429"/>
      <c r="N28" s="429"/>
      <c r="O28" s="429"/>
      <c r="P28" s="429"/>
      <c r="Q28" s="430"/>
    </row>
    <row r="29" spans="1:17" ht="17.25">
      <c r="A29" s="60" t="s">
        <v>1126</v>
      </c>
      <c r="B29" s="56"/>
      <c r="D29" s="61">
        <f>+D12-D27</f>
        <v>0</v>
      </c>
      <c r="H29" s="428"/>
      <c r="I29" s="429"/>
      <c r="J29" s="429"/>
      <c r="K29" s="429"/>
      <c r="L29" s="429"/>
      <c r="M29" s="429"/>
      <c r="N29" s="429"/>
      <c r="O29" s="429"/>
      <c r="P29" s="429"/>
      <c r="Q29" s="430"/>
    </row>
    <row r="30" spans="1:17">
      <c r="H30" s="428"/>
      <c r="I30" s="429"/>
      <c r="J30" s="429"/>
      <c r="K30" s="429"/>
      <c r="L30" s="429"/>
      <c r="M30" s="429"/>
      <c r="N30" s="429"/>
      <c r="O30" s="429"/>
      <c r="P30" s="429"/>
      <c r="Q30" s="430"/>
    </row>
    <row r="31" spans="1:17">
      <c r="H31" s="422" t="s">
        <v>1722</v>
      </c>
      <c r="I31" s="423"/>
      <c r="J31" s="423"/>
      <c r="K31" s="423"/>
      <c r="L31" s="423"/>
      <c r="M31" s="423"/>
      <c r="N31" s="423"/>
      <c r="O31" s="423"/>
      <c r="P31" s="423"/>
      <c r="Q31" s="424"/>
    </row>
    <row r="32" spans="1:17">
      <c r="A32" s="122" t="str">
        <f>"2015-16 "&amp;IF(B32&gt;0,"Balance","Deficit")</f>
        <v>2015-16 Deficit</v>
      </c>
      <c r="B32" s="2">
        <f>IF(ISNA(VLOOKUP($F$1,'Food Svc Carryover'!$A$2:$D$292,3,FALSE)),0,VLOOKUP($F$1,'Food Svc Carryover'!$A$2:$D$292,3,FALSE))</f>
        <v>-178143.28</v>
      </c>
      <c r="H32" s="422"/>
      <c r="I32" s="423"/>
      <c r="J32" s="423"/>
      <c r="K32" s="423"/>
      <c r="L32" s="423"/>
      <c r="M32" s="423"/>
      <c r="N32" s="423"/>
      <c r="O32" s="423"/>
      <c r="P32" s="423"/>
      <c r="Q32" s="424"/>
    </row>
    <row r="33" spans="1:28" ht="15.75" thickBot="1">
      <c r="A33" s="122" t="str">
        <f>"2016-17 "&amp;IF(B33&gt;0,"Balance","Deficit")</f>
        <v>2016-17 Deficit</v>
      </c>
      <c r="B33" s="2">
        <f>IF(ISNA(VLOOKUP($F$1,'Food Svc Carryover'!$A$2:$D$292,4,FALSE)),0,VLOOKUP($F$1,'Food Svc Carryover'!$A$2:$D$292,4,FALSE))</f>
        <v>-160428.53</v>
      </c>
      <c r="H33" s="425"/>
      <c r="I33" s="426"/>
      <c r="J33" s="426"/>
      <c r="K33" s="426"/>
      <c r="L33" s="426"/>
      <c r="M33" s="426"/>
      <c r="N33" s="426"/>
      <c r="O33" s="426"/>
      <c r="P33" s="426"/>
      <c r="Q33" s="427"/>
    </row>
    <row r="34" spans="1:28">
      <c r="A34" s="122" t="str">
        <f>"2017-18 "&amp;IF(B34&gt;0,"Balance","Deficit")</f>
        <v>2017-18 Deficit</v>
      </c>
      <c r="B34" s="2">
        <f>IF(ISNA(VLOOKUP($A$4,'Food Svc Carryover'!$A$2:$E$292,5,FALSE)),0,VLOOKUP($A$4,'Food Svc Carryover'!$A$2:$E$292,5,FALSE))</f>
        <v>-568359</v>
      </c>
      <c r="D34" s="99"/>
      <c r="S34" s="122"/>
      <c r="T34" s="122"/>
      <c r="U34" s="122"/>
      <c r="V34" s="122"/>
      <c r="W34" s="122"/>
      <c r="X34" s="122"/>
      <c r="Y34" s="122"/>
      <c r="Z34" s="122"/>
      <c r="AA34" s="122"/>
      <c r="AB34" s="122"/>
    </row>
    <row r="35" spans="1:28">
      <c r="A35" s="122" t="str">
        <f>"2018-19 "&amp;IF(B35&gt;0,"Balance","Deficit")</f>
        <v>2018-19 Deficit</v>
      </c>
      <c r="B35" s="2">
        <f>IF(ISNA(VLOOKUP($A$4,'Food Svc Carryover'!$A$2:$F$292,6,FALSE)),0,VLOOKUP($A$4,'Food Svc Carryover'!$A$2:$F$292,6,FALSE))</f>
        <v>-636876.06999999995</v>
      </c>
      <c r="D35" s="99"/>
      <c r="S35" s="122"/>
      <c r="T35" s="122"/>
      <c r="U35" s="122"/>
      <c r="V35" s="122"/>
      <c r="W35" s="122"/>
      <c r="X35" s="122"/>
      <c r="Y35" s="122"/>
      <c r="Z35" s="122"/>
      <c r="AA35" s="122"/>
      <c r="AB35" s="122"/>
    </row>
    <row r="36" spans="1:28" ht="15.75">
      <c r="A36" s="51" t="str">
        <f>"2019-20 "&amp;IF(B36&gt;0,"Balance","Deficit")</f>
        <v>2019-20 Deficit</v>
      </c>
      <c r="B36" s="2">
        <f>D29</f>
        <v>0</v>
      </c>
      <c r="D36" s="99"/>
      <c r="H36" s="121" t="s">
        <v>1601</v>
      </c>
    </row>
    <row r="37" spans="1:28" ht="17.25">
      <c r="A37" s="51" t="str">
        <f>IF(B32+B33+B34&lt;0,"2019-20 Net Deficit Carryforward","2019-20 Net Balance Carryforward")</f>
        <v>2019-20 Net Deficit Carryforward</v>
      </c>
      <c r="B37" s="61">
        <f>SUM(B32:B36)</f>
        <v>-1543806.88</v>
      </c>
      <c r="C37" s="58">
        <f>IF(B37&gt;0,IF(D27=0,0,B37/D27),0)</f>
        <v>0</v>
      </c>
      <c r="D37" s="99"/>
      <c r="H37" s="122" t="s">
        <v>1602</v>
      </c>
    </row>
    <row r="38" spans="1:28">
      <c r="A38" s="51" t="s">
        <v>1127</v>
      </c>
      <c r="B38" s="56">
        <f>D27/9*3</f>
        <v>0</v>
      </c>
      <c r="C38" s="58"/>
      <c r="D38" s="99"/>
      <c r="H38" s="122" t="s">
        <v>1603</v>
      </c>
    </row>
    <row r="39" spans="1:28">
      <c r="A39" s="62" t="str">
        <f>IF(B37&gt;B38,"Excess Cash Resources","")</f>
        <v/>
      </c>
      <c r="B39" s="63">
        <f>IF(B37&gt;B38,B37-B38,0)</f>
        <v>0</v>
      </c>
      <c r="H39" s="122" t="s">
        <v>1604</v>
      </c>
    </row>
    <row r="40" spans="1:28">
      <c r="A40" s="99" t="str">
        <f>IF(B37&lt;0,"","Net Balance as Percentage of Expenditures")</f>
        <v/>
      </c>
      <c r="C40" s="109">
        <f>IF(B37&gt;0,B37/D27,0)</f>
        <v>0</v>
      </c>
      <c r="F40" s="116"/>
      <c r="H40" s="119"/>
    </row>
    <row r="41" spans="1:28" ht="15.75">
      <c r="A41" s="431" t="s">
        <v>1128</v>
      </c>
      <c r="B41" s="431"/>
      <c r="C41" s="431"/>
      <c r="H41" s="121" t="s">
        <v>1605</v>
      </c>
    </row>
    <row r="42" spans="1:28">
      <c r="A42" s="431" t="s">
        <v>1129</v>
      </c>
      <c r="B42" s="431"/>
      <c r="C42" s="431"/>
      <c r="H42" s="122" t="s">
        <v>1606</v>
      </c>
    </row>
    <row r="43" spans="1:28">
      <c r="H43" s="122" t="s">
        <v>1607</v>
      </c>
    </row>
    <row r="44" spans="1:28">
      <c r="H44" s="122" t="s">
        <v>1608</v>
      </c>
    </row>
    <row r="45" spans="1:28">
      <c r="A45" s="72"/>
      <c r="H45" s="119"/>
    </row>
    <row r="46" spans="1:28">
      <c r="A46" s="51" t="s">
        <v>1271</v>
      </c>
      <c r="H46" s="122" t="s">
        <v>1609</v>
      </c>
    </row>
    <row r="47" spans="1:28" ht="30">
      <c r="A47" s="286" t="s">
        <v>1169</v>
      </c>
      <c r="H47" s="122" t="s">
        <v>1610</v>
      </c>
    </row>
    <row r="48" spans="1:28">
      <c r="H48" s="122" t="s">
        <v>1611</v>
      </c>
    </row>
    <row r="49" spans="8:13">
      <c r="H49" s="119"/>
    </row>
    <row r="50" spans="8:13">
      <c r="H50" s="7" t="s">
        <v>1613</v>
      </c>
    </row>
    <row r="51" spans="8:13">
      <c r="H51" s="7" t="s">
        <v>1631</v>
      </c>
      <c r="I51" s="122"/>
      <c r="J51" s="122"/>
      <c r="K51" s="122"/>
      <c r="L51" s="122"/>
      <c r="M51" s="122"/>
    </row>
    <row r="52" spans="8:13">
      <c r="H52" s="7" t="s">
        <v>1710</v>
      </c>
      <c r="I52" s="122"/>
      <c r="J52" s="122"/>
      <c r="K52" s="122"/>
      <c r="L52" s="122"/>
      <c r="M52" s="122"/>
    </row>
    <row r="53" spans="8:13">
      <c r="H53" s="7" t="s">
        <v>1711</v>
      </c>
      <c r="I53" s="122"/>
      <c r="J53" s="122"/>
      <c r="K53" s="122"/>
      <c r="L53" s="122"/>
      <c r="M53" s="122"/>
    </row>
    <row r="54" spans="8:13">
      <c r="H54" s="7" t="s">
        <v>2097</v>
      </c>
      <c r="I54" s="122"/>
      <c r="J54" s="122"/>
      <c r="K54" s="122"/>
      <c r="L54" s="122"/>
      <c r="M54" s="122"/>
    </row>
  </sheetData>
  <mergeCells count="24">
    <mergeCell ref="A1:C1"/>
    <mergeCell ref="A2:C2"/>
    <mergeCell ref="A41:C41"/>
    <mergeCell ref="A42:C42"/>
    <mergeCell ref="H2:Q2"/>
    <mergeCell ref="H3:Q3"/>
    <mergeCell ref="H5:Q9"/>
    <mergeCell ref="H10:Q11"/>
    <mergeCell ref="H12:Q13"/>
    <mergeCell ref="H14:Q14"/>
    <mergeCell ref="H15:Q17"/>
    <mergeCell ref="H18:Q19"/>
    <mergeCell ref="H20:Q20"/>
    <mergeCell ref="H21:Q21"/>
    <mergeCell ref="H4:Q4"/>
    <mergeCell ref="H28:Q29"/>
    <mergeCell ref="H31:Q33"/>
    <mergeCell ref="H27:Q27"/>
    <mergeCell ref="H30:Q30"/>
    <mergeCell ref="H22:Q22"/>
    <mergeCell ref="H23:Q23"/>
    <mergeCell ref="H24:Q24"/>
    <mergeCell ref="H25:Q25"/>
    <mergeCell ref="H26:Q26"/>
  </mergeCells>
  <conditionalFormatting sqref="C37:C38">
    <cfRule type="cellIs" dxfId="34" priority="3" operator="equal">
      <formula>0</formula>
    </cfRule>
    <cfRule type="cellIs" dxfId="33" priority="4" operator="greaterThan">
      <formula>0.3333</formula>
    </cfRule>
  </conditionalFormatting>
  <conditionalFormatting sqref="B39">
    <cfRule type="cellIs" dxfId="32" priority="2" operator="equal">
      <formula>0</formula>
    </cfRule>
  </conditionalFormatting>
  <conditionalFormatting sqref="C40">
    <cfRule type="cellIs" dxfId="31" priority="1" operator="equal">
      <formula>0</formula>
    </cfRule>
  </conditionalFormatting>
  <dataValidations count="1">
    <dataValidation type="decimal" errorStyle="information" operator="lessThanOrEqual" allowBlank="1" showInputMessage="1" showErrorMessage="1" errorTitle="Enter As Negative" error="Please enter credit transfers as a negative amount." sqref="C22">
      <formula1>0</formula1>
    </dataValidation>
  </dataValidations>
  <hyperlinks>
    <hyperlink ref="A3" location="'Fund Balance Summary'!A1" display="(Return to summary sheet)"/>
  </hyperlinks>
  <pageMargins left="0.25" right="0.25" top="0.75" bottom="0.75" header="0.3" footer="0.3"/>
  <pageSetup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17"/>
  <sheetViews>
    <sheetView workbookViewId="0">
      <pane ySplit="1" topLeftCell="A2" activePane="bottomLeft" state="frozen"/>
      <selection pane="bottomLeft" activeCell="F3" sqref="F3"/>
    </sheetView>
  </sheetViews>
  <sheetFormatPr defaultRowHeight="15"/>
  <cols>
    <col min="1" max="1" width="6.42578125" style="50" bestFit="1" customWidth="1"/>
    <col min="2" max="2" width="18.85546875" style="50" bestFit="1" customWidth="1"/>
    <col min="3" max="3" width="13.28515625" style="50" bestFit="1" customWidth="1"/>
    <col min="4" max="4" width="13.140625" style="50" bestFit="1" customWidth="1"/>
    <col min="5" max="6" width="13.140625" style="50" customWidth="1"/>
    <col min="7" max="7" width="13.28515625" style="50" bestFit="1" customWidth="1"/>
    <col min="8" max="8" width="4" style="50" customWidth="1"/>
    <col min="12" max="12" width="21.85546875" customWidth="1"/>
    <col min="13" max="16" width="13.28515625" bestFit="1" customWidth="1"/>
    <col min="18" max="19" width="9.140625" style="119"/>
    <col min="20" max="20" width="12.42578125" style="119" bestFit="1" customWidth="1"/>
    <col min="21" max="22" width="13.28515625" style="119" bestFit="1" customWidth="1"/>
    <col min="23" max="23" width="9.85546875" bestFit="1" customWidth="1"/>
    <col min="24" max="24" width="11.28515625" customWidth="1"/>
    <col min="31" max="43" width="9.140625" style="50"/>
    <col min="44" max="44" width="32.28515625" style="50" bestFit="1" customWidth="1"/>
    <col min="45" max="45" width="13.28515625" style="50" bestFit="1" customWidth="1"/>
    <col min="46" max="46" width="11.5703125" style="50" bestFit="1" customWidth="1"/>
    <col min="47" max="47" width="12.42578125" style="50" bestFit="1" customWidth="1"/>
    <col min="48" max="53" width="9.140625" style="50"/>
    <col min="54" max="54" width="32.28515625" style="50" bestFit="1" customWidth="1"/>
    <col min="55" max="58" width="9.140625" style="50"/>
    <col min="59" max="59" width="13.140625" style="50" bestFit="1" customWidth="1"/>
    <col min="60" max="16384" width="9.140625" style="50"/>
  </cols>
  <sheetData>
    <row r="1" spans="1:59" s="108" customFormat="1" ht="28.5" customHeight="1">
      <c r="A1" s="107" t="s">
        <v>80</v>
      </c>
      <c r="B1" s="107" t="s">
        <v>836</v>
      </c>
      <c r="C1" s="106" t="s">
        <v>1599</v>
      </c>
      <c r="D1" s="106" t="s">
        <v>1621</v>
      </c>
      <c r="E1" s="106" t="s">
        <v>1657</v>
      </c>
      <c r="F1" s="106" t="s">
        <v>1751</v>
      </c>
      <c r="G1" s="126" t="s">
        <v>838</v>
      </c>
      <c r="J1" s="218"/>
      <c r="K1" s="107" t="s">
        <v>80</v>
      </c>
      <c r="L1" s="107" t="s">
        <v>836</v>
      </c>
      <c r="M1" s="278" t="s">
        <v>1599</v>
      </c>
      <c r="N1" s="278" t="s">
        <v>1621</v>
      </c>
      <c r="O1" s="278" t="s">
        <v>1621</v>
      </c>
      <c r="P1" s="108" t="s">
        <v>1757</v>
      </c>
      <c r="Q1" s="219"/>
      <c r="R1" s="107" t="s">
        <v>80</v>
      </c>
      <c r="S1" s="107" t="s">
        <v>836</v>
      </c>
      <c r="T1" s="106" t="s">
        <v>1598</v>
      </c>
      <c r="U1" s="106" t="s">
        <v>1599</v>
      </c>
      <c r="V1" s="314" t="s">
        <v>1752</v>
      </c>
      <c r="W1" s="106" t="s">
        <v>1621</v>
      </c>
      <c r="X1" s="106" t="s">
        <v>1657</v>
      </c>
      <c r="BE1" s="108" t="s">
        <v>80</v>
      </c>
      <c r="BF1" s="108" t="s">
        <v>836</v>
      </c>
      <c r="BG1" s="108" t="s">
        <v>1751</v>
      </c>
    </row>
    <row r="2" spans="1:59" ht="15.75">
      <c r="A2" s="113" t="s">
        <v>165</v>
      </c>
      <c r="B2" s="197" t="s">
        <v>839</v>
      </c>
      <c r="C2" s="324">
        <v>-36062.68</v>
      </c>
      <c r="D2" s="198">
        <v>-38477.24</v>
      </c>
      <c r="E2" s="198">
        <v>-40484.1</v>
      </c>
      <c r="F2" s="378">
        <v>-43557.53</v>
      </c>
      <c r="G2" s="128">
        <f t="shared" ref="G2:G65" si="0">SUM(C2:F2)</f>
        <v>-158581.54999999999</v>
      </c>
      <c r="I2" s="220"/>
      <c r="J2" s="221"/>
      <c r="K2" s="113" t="s">
        <v>165</v>
      </c>
      <c r="L2" s="197" t="s">
        <v>839</v>
      </c>
      <c r="M2" s="117"/>
      <c r="N2" s="198">
        <v>-38477.24</v>
      </c>
      <c r="O2" s="117">
        <f>+M2+N2</f>
        <v>-38477.24</v>
      </c>
      <c r="P2" s="50" t="s">
        <v>1754</v>
      </c>
      <c r="Q2" s="96"/>
      <c r="R2" s="113" t="s">
        <v>165</v>
      </c>
      <c r="S2" s="197" t="s">
        <v>839</v>
      </c>
      <c r="T2" s="117">
        <v>-54082.14</v>
      </c>
      <c r="U2" s="127">
        <v>-36062.68</v>
      </c>
      <c r="V2" s="315">
        <v>-36062.68</v>
      </c>
      <c r="AE2"/>
      <c r="AF2" s="121" t="s">
        <v>1601</v>
      </c>
      <c r="AG2"/>
      <c r="AH2"/>
      <c r="AI2"/>
      <c r="AJ2"/>
      <c r="BA2" s="113" t="s">
        <v>165</v>
      </c>
      <c r="BB2" s="197" t="s">
        <v>839</v>
      </c>
      <c r="BC2" s="50">
        <f>+BE2-BA2</f>
        <v>0</v>
      </c>
      <c r="BE2" s="50" t="s">
        <v>165</v>
      </c>
      <c r="BF2" s="50" t="s">
        <v>839</v>
      </c>
      <c r="BG2" s="376">
        <v>-43557.53</v>
      </c>
    </row>
    <row r="3" spans="1:59">
      <c r="A3" s="199" t="s">
        <v>169</v>
      </c>
      <c r="B3" s="197" t="s">
        <v>840</v>
      </c>
      <c r="C3" s="325">
        <v>0</v>
      </c>
      <c r="D3" s="198">
        <v>-34579.379999999997</v>
      </c>
      <c r="E3" s="198">
        <v>5664.39</v>
      </c>
      <c r="F3" s="378">
        <v>-76768.56</v>
      </c>
      <c r="G3" s="128">
        <f t="shared" si="0"/>
        <v>-105683.54999999999</v>
      </c>
      <c r="I3" s="220"/>
      <c r="J3" s="221"/>
      <c r="K3" s="199" t="s">
        <v>169</v>
      </c>
      <c r="L3" s="197" t="s">
        <v>840</v>
      </c>
      <c r="M3" s="117"/>
      <c r="N3" s="198">
        <v>-34579.379999999997</v>
      </c>
      <c r="O3" s="117">
        <f>+M3+N3</f>
        <v>-34579.379999999997</v>
      </c>
      <c r="P3" s="50"/>
      <c r="Q3" s="96"/>
      <c r="R3" s="199" t="s">
        <v>169</v>
      </c>
      <c r="S3" s="197" t="s">
        <v>840</v>
      </c>
      <c r="T3" s="117">
        <v>-43095.69</v>
      </c>
      <c r="U3" s="129">
        <v>17643.810000000001</v>
      </c>
      <c r="V3" s="319">
        <v>0</v>
      </c>
      <c r="AE3"/>
      <c r="AF3" s="122" t="s">
        <v>1602</v>
      </c>
      <c r="AG3"/>
      <c r="AH3"/>
      <c r="AI3"/>
      <c r="AJ3"/>
      <c r="BA3" s="199" t="s">
        <v>169</v>
      </c>
      <c r="BB3" s="197" t="s">
        <v>840</v>
      </c>
      <c r="BC3" s="77">
        <f t="shared" ref="BC3:BC66" si="1">+BE3-BA3</f>
        <v>0</v>
      </c>
      <c r="BE3" s="50" t="s">
        <v>169</v>
      </c>
      <c r="BF3" s="50" t="s">
        <v>840</v>
      </c>
      <c r="BG3" s="376">
        <v>-76768.56</v>
      </c>
    </row>
    <row r="4" spans="1:59">
      <c r="A4" s="199" t="s">
        <v>171</v>
      </c>
      <c r="B4" s="197" t="s">
        <v>841</v>
      </c>
      <c r="C4" s="324">
        <v>-79338.7</v>
      </c>
      <c r="D4" s="198">
        <v>-79479.850000000006</v>
      </c>
      <c r="E4" s="198">
        <v>-99745.1</v>
      </c>
      <c r="F4" s="378">
        <v>-134660.25</v>
      </c>
      <c r="G4" s="128">
        <f t="shared" si="0"/>
        <v>-393223.9</v>
      </c>
      <c r="I4" s="220"/>
      <c r="J4" s="221"/>
      <c r="K4" s="199" t="s">
        <v>171</v>
      </c>
      <c r="L4" s="197" t="s">
        <v>841</v>
      </c>
      <c r="M4" s="117"/>
      <c r="N4" s="198">
        <v>-79479.850000000006</v>
      </c>
      <c r="O4" s="117">
        <f t="shared" ref="O4:O66" si="2">+M4+N4</f>
        <v>-79479.850000000006</v>
      </c>
      <c r="P4" s="50"/>
      <c r="Q4" s="96"/>
      <c r="R4" s="199" t="s">
        <v>171</v>
      </c>
      <c r="S4" s="197" t="s">
        <v>841</v>
      </c>
      <c r="T4" s="117">
        <v>-82313.94</v>
      </c>
      <c r="U4" s="129">
        <v>-79338.7</v>
      </c>
      <c r="V4" s="315">
        <v>-79338.7</v>
      </c>
      <c r="AE4"/>
      <c r="AF4" s="122" t="s">
        <v>1603</v>
      </c>
      <c r="AG4"/>
      <c r="AH4"/>
      <c r="AI4"/>
      <c r="AJ4"/>
      <c r="BA4" s="199" t="s">
        <v>171</v>
      </c>
      <c r="BB4" s="197" t="s">
        <v>841</v>
      </c>
      <c r="BC4" s="77">
        <f t="shared" si="1"/>
        <v>0</v>
      </c>
      <c r="BE4" s="50" t="s">
        <v>171</v>
      </c>
      <c r="BF4" s="50" t="s">
        <v>841</v>
      </c>
      <c r="BG4" s="376">
        <v>-134660.25</v>
      </c>
    </row>
    <row r="5" spans="1:59">
      <c r="A5" s="199" t="s">
        <v>173</v>
      </c>
      <c r="B5" s="197" t="s">
        <v>842</v>
      </c>
      <c r="C5" s="324">
        <v>-90080.48</v>
      </c>
      <c r="D5" s="198">
        <v>-82727.63</v>
      </c>
      <c r="E5" s="198">
        <v>-60820.02</v>
      </c>
      <c r="F5" s="378">
        <v>-101914.82</v>
      </c>
      <c r="G5" s="128">
        <f t="shared" si="0"/>
        <v>-335542.94999999995</v>
      </c>
      <c r="I5" s="220"/>
      <c r="J5" s="221"/>
      <c r="K5" s="199" t="s">
        <v>173</v>
      </c>
      <c r="L5" s="197" t="s">
        <v>842</v>
      </c>
      <c r="M5" s="117"/>
      <c r="N5" s="198">
        <v>-82727.63</v>
      </c>
      <c r="O5" s="117">
        <f t="shared" si="2"/>
        <v>-82727.63</v>
      </c>
      <c r="P5" s="50"/>
      <c r="Q5" s="96"/>
      <c r="R5" s="199" t="s">
        <v>173</v>
      </c>
      <c r="S5" s="197" t="s">
        <v>842</v>
      </c>
      <c r="T5" s="117">
        <v>-48204.02</v>
      </c>
      <c r="U5" s="129">
        <v>-90080.48</v>
      </c>
      <c r="V5" s="315">
        <v>-90080.48</v>
      </c>
      <c r="AE5"/>
      <c r="AF5" s="122" t="s">
        <v>1604</v>
      </c>
      <c r="AG5"/>
      <c r="AH5"/>
      <c r="AI5"/>
      <c r="AJ5"/>
      <c r="BA5" s="199" t="s">
        <v>173</v>
      </c>
      <c r="BB5" s="197" t="s">
        <v>842</v>
      </c>
      <c r="BC5" s="77">
        <f t="shared" si="1"/>
        <v>0</v>
      </c>
      <c r="BE5" s="50" t="s">
        <v>173</v>
      </c>
      <c r="BF5" s="50" t="s">
        <v>842</v>
      </c>
      <c r="BG5" s="376">
        <v>-101914.82</v>
      </c>
    </row>
    <row r="6" spans="1:59">
      <c r="A6" s="199" t="s">
        <v>175</v>
      </c>
      <c r="B6" s="197" t="s">
        <v>843</v>
      </c>
      <c r="C6" s="324">
        <v>-145589.54</v>
      </c>
      <c r="D6" s="198">
        <v>-174024.92</v>
      </c>
      <c r="E6" s="198">
        <v>-216128.29</v>
      </c>
      <c r="F6" s="378">
        <v>-313340.96000000002</v>
      </c>
      <c r="G6" s="128">
        <f t="shared" si="0"/>
        <v>-849083.71</v>
      </c>
      <c r="I6" s="220"/>
      <c r="J6" s="221"/>
      <c r="K6" s="199" t="s">
        <v>175</v>
      </c>
      <c r="L6" s="197" t="s">
        <v>843</v>
      </c>
      <c r="M6" s="117"/>
      <c r="N6" s="198">
        <v>-174024.92</v>
      </c>
      <c r="O6" s="117">
        <f t="shared" si="2"/>
        <v>-174024.92</v>
      </c>
      <c r="P6" s="50"/>
      <c r="Q6" s="96"/>
      <c r="R6" s="199" t="s">
        <v>175</v>
      </c>
      <c r="S6" s="197" t="s">
        <v>843</v>
      </c>
      <c r="T6" s="117">
        <v>-117877.45</v>
      </c>
      <c r="U6" s="129">
        <v>-145589.54</v>
      </c>
      <c r="V6" s="315">
        <v>-145589.54</v>
      </c>
      <c r="AE6"/>
      <c r="AF6" s="119"/>
      <c r="AG6"/>
      <c r="AH6"/>
      <c r="AI6"/>
      <c r="AJ6"/>
      <c r="BA6" s="199" t="s">
        <v>175</v>
      </c>
      <c r="BB6" s="197" t="s">
        <v>843</v>
      </c>
      <c r="BC6" s="77">
        <f t="shared" si="1"/>
        <v>0</v>
      </c>
      <c r="BE6" s="50" t="s">
        <v>175</v>
      </c>
      <c r="BF6" s="50" t="s">
        <v>843</v>
      </c>
      <c r="BG6" s="376">
        <v>-313340.96000000002</v>
      </c>
    </row>
    <row r="7" spans="1:59" ht="15.75">
      <c r="A7" s="199" t="s">
        <v>177</v>
      </c>
      <c r="B7" s="197" t="s">
        <v>844</v>
      </c>
      <c r="C7" s="324">
        <v>-71421.600000000006</v>
      </c>
      <c r="D7" s="198">
        <v>-90429.59</v>
      </c>
      <c r="E7" s="198">
        <v>-76627.649999999994</v>
      </c>
      <c r="F7" s="378">
        <v>-61687.5</v>
      </c>
      <c r="G7" s="128">
        <f t="shared" si="0"/>
        <v>-300166.33999999997</v>
      </c>
      <c r="I7" s="220"/>
      <c r="J7" s="221"/>
      <c r="K7" s="199" t="s">
        <v>177</v>
      </c>
      <c r="L7" s="197" t="s">
        <v>844</v>
      </c>
      <c r="M7" s="117"/>
      <c r="N7" s="198">
        <v>-90429.59</v>
      </c>
      <c r="O7" s="117">
        <f t="shared" si="2"/>
        <v>-90429.59</v>
      </c>
      <c r="P7" s="50"/>
      <c r="Q7" s="96"/>
      <c r="R7" s="199" t="s">
        <v>177</v>
      </c>
      <c r="S7" s="197" t="s">
        <v>844</v>
      </c>
      <c r="T7" s="117">
        <v>-54076.480000000003</v>
      </c>
      <c r="U7" s="129">
        <v>-71421.600000000006</v>
      </c>
      <c r="V7" s="315">
        <v>-71421.600000000006</v>
      </c>
      <c r="AE7"/>
      <c r="AF7" s="121" t="s">
        <v>1605</v>
      </c>
      <c r="AG7"/>
      <c r="AH7"/>
      <c r="AI7"/>
      <c r="AJ7"/>
      <c r="BA7" s="199" t="s">
        <v>177</v>
      </c>
      <c r="BB7" s="197" t="s">
        <v>844</v>
      </c>
      <c r="BC7" s="77">
        <f t="shared" si="1"/>
        <v>0</v>
      </c>
      <c r="BE7" s="50" t="s">
        <v>177</v>
      </c>
      <c r="BF7" s="50" t="s">
        <v>844</v>
      </c>
      <c r="BG7" s="376">
        <v>-61687.5</v>
      </c>
    </row>
    <row r="8" spans="1:59">
      <c r="A8" s="199" t="s">
        <v>179</v>
      </c>
      <c r="B8" s="197" t="s">
        <v>845</v>
      </c>
      <c r="C8" s="324">
        <v>-1085526.56</v>
      </c>
      <c r="D8" s="198">
        <v>-1095493.98</v>
      </c>
      <c r="E8" s="198">
        <v>-1406278.45</v>
      </c>
      <c r="F8" s="378">
        <v>-1039119.16</v>
      </c>
      <c r="G8" s="128">
        <f t="shared" si="0"/>
        <v>-4626418.1500000004</v>
      </c>
      <c r="I8" s="220"/>
      <c r="J8" s="221"/>
      <c r="K8" s="199" t="s">
        <v>179</v>
      </c>
      <c r="L8" s="197" t="s">
        <v>845</v>
      </c>
      <c r="M8" s="117"/>
      <c r="N8" s="198">
        <v>-1095493.98</v>
      </c>
      <c r="O8" s="117">
        <f t="shared" si="2"/>
        <v>-1095493.98</v>
      </c>
      <c r="P8" s="50"/>
      <c r="Q8" s="96"/>
      <c r="R8" s="199" t="s">
        <v>179</v>
      </c>
      <c r="S8" s="197" t="s">
        <v>845</v>
      </c>
      <c r="T8" s="117">
        <v>-728320.67</v>
      </c>
      <c r="U8" s="129">
        <v>-1085526.56</v>
      </c>
      <c r="V8" s="315">
        <v>-1085526.56</v>
      </c>
      <c r="AE8"/>
      <c r="AF8" s="122" t="s">
        <v>1606</v>
      </c>
      <c r="AG8"/>
      <c r="AH8"/>
      <c r="AI8"/>
      <c r="AJ8"/>
      <c r="BA8" s="199" t="s">
        <v>179</v>
      </c>
      <c r="BB8" s="197" t="s">
        <v>845</v>
      </c>
      <c r="BC8" s="77">
        <f t="shared" si="1"/>
        <v>0</v>
      </c>
      <c r="BE8" s="50" t="s">
        <v>179</v>
      </c>
      <c r="BF8" s="50" t="s">
        <v>845</v>
      </c>
      <c r="BG8" s="376">
        <v>-1039119.16</v>
      </c>
    </row>
    <row r="9" spans="1:59">
      <c r="A9" s="199" t="s">
        <v>181</v>
      </c>
      <c r="B9" s="197" t="s">
        <v>846</v>
      </c>
      <c r="C9" s="324">
        <v>-52417.25</v>
      </c>
      <c r="D9" s="198">
        <v>-66269.47</v>
      </c>
      <c r="E9" s="198">
        <v>-51760.23</v>
      </c>
      <c r="F9" s="378">
        <v>-37167.64</v>
      </c>
      <c r="G9" s="128">
        <f t="shared" si="0"/>
        <v>-207614.59000000003</v>
      </c>
      <c r="I9" s="220"/>
      <c r="J9" s="221"/>
      <c r="K9" s="199" t="s">
        <v>181</v>
      </c>
      <c r="L9" s="197" t="s">
        <v>846</v>
      </c>
      <c r="M9" s="117"/>
      <c r="N9" s="198">
        <v>-66269.47</v>
      </c>
      <c r="O9" s="117">
        <f t="shared" si="2"/>
        <v>-66269.47</v>
      </c>
      <c r="P9" s="50"/>
      <c r="Q9" s="96"/>
      <c r="R9" s="199" t="s">
        <v>181</v>
      </c>
      <c r="S9" s="197" t="s">
        <v>846</v>
      </c>
      <c r="T9" s="117">
        <v>-52237.86</v>
      </c>
      <c r="U9" s="129">
        <v>-52417.25</v>
      </c>
      <c r="V9" s="315">
        <v>-52417.25</v>
      </c>
      <c r="AE9"/>
      <c r="AF9" s="122" t="s">
        <v>1607</v>
      </c>
      <c r="AG9"/>
      <c r="AH9"/>
      <c r="AI9"/>
      <c r="AJ9"/>
      <c r="BA9" s="199" t="s">
        <v>181</v>
      </c>
      <c r="BB9" s="197" t="s">
        <v>846</v>
      </c>
      <c r="BC9" s="77">
        <f t="shared" si="1"/>
        <v>0</v>
      </c>
      <c r="BE9" s="50" t="s">
        <v>181</v>
      </c>
      <c r="BF9" s="50" t="s">
        <v>846</v>
      </c>
      <c r="BG9" s="376">
        <v>-37167.64</v>
      </c>
    </row>
    <row r="10" spans="1:59">
      <c r="A10" s="199" t="s">
        <v>183</v>
      </c>
      <c r="B10" s="197" t="s">
        <v>847</v>
      </c>
      <c r="C10" s="326">
        <v>20252.410000000003</v>
      </c>
      <c r="D10" s="198">
        <v>-30691.7</v>
      </c>
      <c r="E10" s="198">
        <v>-5136.37</v>
      </c>
      <c r="F10" s="378">
        <v>-71029.490000000005</v>
      </c>
      <c r="G10" s="128">
        <f t="shared" si="0"/>
        <v>-86605.15</v>
      </c>
      <c r="I10" s="220"/>
      <c r="J10" s="221"/>
      <c r="K10" s="199" t="s">
        <v>183</v>
      </c>
      <c r="L10" s="197" t="s">
        <v>847</v>
      </c>
      <c r="M10" s="117">
        <f>+C10</f>
        <v>20252.410000000003</v>
      </c>
      <c r="N10" s="198">
        <v>-30691.7</v>
      </c>
      <c r="O10" s="279">
        <f t="shared" si="2"/>
        <v>-10439.289999999997</v>
      </c>
      <c r="P10" s="50"/>
      <c r="Q10" s="96"/>
      <c r="R10" s="199" t="s">
        <v>183</v>
      </c>
      <c r="S10" s="197" t="s">
        <v>847</v>
      </c>
      <c r="T10" s="117">
        <v>40841.770000000004</v>
      </c>
      <c r="U10" s="129">
        <v>-20589.36</v>
      </c>
      <c r="V10" s="320">
        <v>20252.410000000003</v>
      </c>
      <c r="AE10"/>
      <c r="AF10" s="122" t="s">
        <v>1608</v>
      </c>
      <c r="AG10"/>
      <c r="AH10"/>
      <c r="AI10"/>
      <c r="AJ10"/>
      <c r="BA10" s="199" t="s">
        <v>183</v>
      </c>
      <c r="BB10" s="197" t="s">
        <v>847</v>
      </c>
      <c r="BC10" s="77">
        <f t="shared" si="1"/>
        <v>0</v>
      </c>
      <c r="BE10" s="50" t="s">
        <v>183</v>
      </c>
      <c r="BF10" s="50" t="s">
        <v>847</v>
      </c>
      <c r="BG10" s="376">
        <v>-71029.490000000005</v>
      </c>
    </row>
    <row r="11" spans="1:59">
      <c r="A11" s="199" t="s">
        <v>185</v>
      </c>
      <c r="B11" s="197" t="s">
        <v>848</v>
      </c>
      <c r="C11" s="324">
        <v>-130255.65</v>
      </c>
      <c r="D11" s="198">
        <v>-138117.04999999999</v>
      </c>
      <c r="E11" s="198">
        <v>-189478.02</v>
      </c>
      <c r="F11" s="378">
        <v>-209724.41</v>
      </c>
      <c r="G11" s="128">
        <f t="shared" si="0"/>
        <v>-667575.13</v>
      </c>
      <c r="I11" s="220"/>
      <c r="J11" s="221"/>
      <c r="K11" s="199" t="s">
        <v>185</v>
      </c>
      <c r="L11" s="197" t="s">
        <v>848</v>
      </c>
      <c r="M11" s="117"/>
      <c r="N11" s="198">
        <v>-138117.04999999999</v>
      </c>
      <c r="O11" s="117">
        <f t="shared" si="2"/>
        <v>-138117.04999999999</v>
      </c>
      <c r="P11" s="50"/>
      <c r="Q11" s="96"/>
      <c r="R11" s="199" t="s">
        <v>185</v>
      </c>
      <c r="S11" s="197" t="s">
        <v>848</v>
      </c>
      <c r="T11" s="117">
        <v>-101242.41</v>
      </c>
      <c r="U11" s="129">
        <v>-130255.65</v>
      </c>
      <c r="V11" s="315">
        <v>-130255.65</v>
      </c>
      <c r="AE11"/>
      <c r="AF11" s="119"/>
      <c r="AG11"/>
      <c r="AH11"/>
      <c r="AI11"/>
      <c r="AJ11"/>
      <c r="BA11" s="199" t="s">
        <v>185</v>
      </c>
      <c r="BB11" s="197" t="s">
        <v>848</v>
      </c>
      <c r="BC11" s="77">
        <f t="shared" si="1"/>
        <v>0</v>
      </c>
      <c r="BE11" s="50" t="s">
        <v>185</v>
      </c>
      <c r="BF11" s="50" t="s">
        <v>848</v>
      </c>
      <c r="BG11" s="376">
        <v>-209724.41</v>
      </c>
    </row>
    <row r="12" spans="1:59">
      <c r="A12" s="199" t="s">
        <v>187</v>
      </c>
      <c r="B12" s="197" t="s">
        <v>849</v>
      </c>
      <c r="C12" s="324">
        <v>-174832.48</v>
      </c>
      <c r="D12" s="198">
        <v>-248375.35</v>
      </c>
      <c r="E12" s="198">
        <v>-244045.61</v>
      </c>
      <c r="F12" s="378">
        <v>-203120.47</v>
      </c>
      <c r="G12" s="128">
        <f t="shared" si="0"/>
        <v>-870373.90999999992</v>
      </c>
      <c r="I12" s="220"/>
      <c r="J12" s="221"/>
      <c r="K12" s="199" t="s">
        <v>187</v>
      </c>
      <c r="L12" s="197" t="s">
        <v>849</v>
      </c>
      <c r="M12" s="117"/>
      <c r="N12" s="198">
        <v>-248375.35</v>
      </c>
      <c r="O12" s="117">
        <f t="shared" si="2"/>
        <v>-248375.35</v>
      </c>
      <c r="P12" s="50"/>
      <c r="Q12" s="96"/>
      <c r="R12" s="199" t="s">
        <v>187</v>
      </c>
      <c r="S12" s="197" t="s">
        <v>849</v>
      </c>
      <c r="T12" s="117">
        <v>-94931.39</v>
      </c>
      <c r="U12" s="129">
        <v>-174832.48</v>
      </c>
      <c r="V12" s="315">
        <v>-174832.48</v>
      </c>
      <c r="AE12"/>
      <c r="AF12" s="122" t="s">
        <v>1609</v>
      </c>
      <c r="AG12"/>
      <c r="AH12"/>
      <c r="AI12"/>
      <c r="AJ12"/>
      <c r="BA12" s="199" t="s">
        <v>187</v>
      </c>
      <c r="BB12" s="197" t="s">
        <v>849</v>
      </c>
      <c r="BC12" s="77">
        <f t="shared" si="1"/>
        <v>0</v>
      </c>
      <c r="BE12" s="50" t="s">
        <v>187</v>
      </c>
      <c r="BF12" s="50" t="s">
        <v>849</v>
      </c>
      <c r="BG12" s="376">
        <v>-203120.47</v>
      </c>
    </row>
    <row r="13" spans="1:59">
      <c r="A13" s="199" t="s">
        <v>189</v>
      </c>
      <c r="B13" s="197" t="s">
        <v>850</v>
      </c>
      <c r="C13" s="324">
        <v>-653592.43999999994</v>
      </c>
      <c r="D13" s="198">
        <v>-852377.72</v>
      </c>
      <c r="E13" s="198">
        <v>-794805.69</v>
      </c>
      <c r="F13" s="378">
        <v>-791246.78</v>
      </c>
      <c r="G13" s="128">
        <f t="shared" si="0"/>
        <v>-3092022.63</v>
      </c>
      <c r="I13" s="220"/>
      <c r="J13" s="221"/>
      <c r="K13" s="199" t="s">
        <v>189</v>
      </c>
      <c r="L13" s="197" t="s">
        <v>850</v>
      </c>
      <c r="M13" s="117"/>
      <c r="N13" s="198">
        <v>-852377.72</v>
      </c>
      <c r="O13" s="117">
        <f t="shared" si="2"/>
        <v>-852377.72</v>
      </c>
      <c r="P13" s="50"/>
      <c r="Q13" s="96"/>
      <c r="R13" s="199" t="s">
        <v>189</v>
      </c>
      <c r="S13" s="197" t="s">
        <v>850</v>
      </c>
      <c r="T13" s="117">
        <v>-290702.68</v>
      </c>
      <c r="U13" s="129">
        <v>-653592.43999999994</v>
      </c>
      <c r="V13" s="315">
        <v>-653592.43999999994</v>
      </c>
      <c r="AE13"/>
      <c r="AF13" s="122" t="s">
        <v>1610</v>
      </c>
      <c r="AG13"/>
      <c r="AH13"/>
      <c r="AI13"/>
      <c r="AJ13"/>
      <c r="BA13" s="199" t="s">
        <v>189</v>
      </c>
      <c r="BB13" s="197" t="s">
        <v>850</v>
      </c>
      <c r="BC13" s="77">
        <f t="shared" si="1"/>
        <v>0</v>
      </c>
      <c r="BE13" s="50" t="s">
        <v>189</v>
      </c>
      <c r="BF13" s="50" t="s">
        <v>850</v>
      </c>
      <c r="BG13" s="376">
        <v>-791246.78</v>
      </c>
    </row>
    <row r="14" spans="1:59">
      <c r="A14" s="199" t="s">
        <v>191</v>
      </c>
      <c r="B14" s="197" t="s">
        <v>851</v>
      </c>
      <c r="C14" s="324">
        <v>-155496.48000000001</v>
      </c>
      <c r="D14" s="198">
        <v>-148699.88</v>
      </c>
      <c r="E14" s="198">
        <v>-164333.54999999999</v>
      </c>
      <c r="F14" s="378">
        <v>-189727.06</v>
      </c>
      <c r="G14" s="128">
        <f t="shared" si="0"/>
        <v>-658256.97</v>
      </c>
      <c r="I14" s="220"/>
      <c r="J14" s="221"/>
      <c r="K14" s="199" t="s">
        <v>191</v>
      </c>
      <c r="L14" s="197" t="s">
        <v>851</v>
      </c>
      <c r="M14" s="117"/>
      <c r="N14" s="198">
        <v>-148699.88</v>
      </c>
      <c r="O14" s="117">
        <f t="shared" si="2"/>
        <v>-148699.88</v>
      </c>
      <c r="P14" s="50"/>
      <c r="Q14" s="96"/>
      <c r="R14" s="199" t="s">
        <v>191</v>
      </c>
      <c r="S14" s="197" t="s">
        <v>851</v>
      </c>
      <c r="T14" s="117">
        <v>-139726.82999999999</v>
      </c>
      <c r="U14" s="129">
        <v>-155496.48000000001</v>
      </c>
      <c r="V14" s="315">
        <v>-155496.48000000001</v>
      </c>
      <c r="AE14"/>
      <c r="AF14" s="122" t="s">
        <v>1611</v>
      </c>
      <c r="AG14"/>
      <c r="AH14"/>
      <c r="AI14"/>
      <c r="AJ14"/>
      <c r="BA14" s="199" t="s">
        <v>191</v>
      </c>
      <c r="BB14" s="197" t="s">
        <v>851</v>
      </c>
      <c r="BC14" s="77">
        <f t="shared" si="1"/>
        <v>0</v>
      </c>
      <c r="BE14" s="50" t="s">
        <v>191</v>
      </c>
      <c r="BF14" s="50" t="s">
        <v>851</v>
      </c>
      <c r="BG14" s="376">
        <v>-189727.06</v>
      </c>
    </row>
    <row r="15" spans="1:59">
      <c r="A15" s="199" t="s">
        <v>195</v>
      </c>
      <c r="B15" s="197" t="s">
        <v>852</v>
      </c>
      <c r="C15" s="324">
        <v>-82475.56</v>
      </c>
      <c r="D15" s="198">
        <v>-72855.48</v>
      </c>
      <c r="E15" s="198">
        <v>-79429.72</v>
      </c>
      <c r="F15" s="378">
        <v>-94406.05</v>
      </c>
      <c r="G15" s="128">
        <f t="shared" si="0"/>
        <v>-329166.81</v>
      </c>
      <c r="I15" s="220"/>
      <c r="J15" s="221"/>
      <c r="K15" s="199" t="s">
        <v>195</v>
      </c>
      <c r="L15" s="197" t="s">
        <v>852</v>
      </c>
      <c r="M15" s="117"/>
      <c r="N15" s="198">
        <v>-72855.48</v>
      </c>
      <c r="O15" s="117">
        <f t="shared" si="2"/>
        <v>-72855.48</v>
      </c>
      <c r="P15" s="50"/>
      <c r="Q15" s="96"/>
      <c r="R15" s="199" t="s">
        <v>195</v>
      </c>
      <c r="S15" s="197" t="s">
        <v>852</v>
      </c>
      <c r="T15" s="117">
        <v>-77064.100000000006</v>
      </c>
      <c r="U15" s="129">
        <v>-82475.56</v>
      </c>
      <c r="V15" s="315">
        <v>-82475.56</v>
      </c>
      <c r="AE15"/>
      <c r="AF15"/>
      <c r="AG15"/>
      <c r="AH15"/>
      <c r="AI15"/>
      <c r="AJ15"/>
      <c r="BA15" s="199" t="s">
        <v>195</v>
      </c>
      <c r="BB15" s="197" t="s">
        <v>852</v>
      </c>
      <c r="BC15" s="77">
        <f t="shared" si="1"/>
        <v>0</v>
      </c>
      <c r="BE15" s="50" t="s">
        <v>195</v>
      </c>
      <c r="BF15" s="50" t="s">
        <v>852</v>
      </c>
      <c r="BG15" s="376">
        <v>-94406.05</v>
      </c>
    </row>
    <row r="16" spans="1:59">
      <c r="A16" s="199" t="s">
        <v>197</v>
      </c>
      <c r="B16" s="197" t="s">
        <v>853</v>
      </c>
      <c r="C16" s="324">
        <v>-261869.91</v>
      </c>
      <c r="D16" s="198">
        <v>-266191.05</v>
      </c>
      <c r="E16" s="198">
        <v>-208346.13</v>
      </c>
      <c r="F16" s="378">
        <v>-274808.34999999998</v>
      </c>
      <c r="G16" s="128">
        <f t="shared" si="0"/>
        <v>-1011215.44</v>
      </c>
      <c r="I16" s="220"/>
      <c r="J16" s="221"/>
      <c r="K16" s="199" t="s">
        <v>197</v>
      </c>
      <c r="L16" s="197" t="s">
        <v>853</v>
      </c>
      <c r="M16" s="117"/>
      <c r="N16" s="198">
        <v>-266191.05</v>
      </c>
      <c r="O16" s="117">
        <f t="shared" si="2"/>
        <v>-266191.05</v>
      </c>
      <c r="P16" s="50"/>
      <c r="Q16" s="96"/>
      <c r="R16" s="199" t="s">
        <v>197</v>
      </c>
      <c r="S16" s="197" t="s">
        <v>853</v>
      </c>
      <c r="T16" s="117">
        <v>-217278.9</v>
      </c>
      <c r="U16" s="129">
        <v>-261869.91</v>
      </c>
      <c r="V16" s="315">
        <v>-261869.91</v>
      </c>
      <c r="AE16"/>
      <c r="AF16" t="s">
        <v>1612</v>
      </c>
      <c r="AG16"/>
      <c r="AH16"/>
      <c r="AI16"/>
      <c r="AJ16"/>
      <c r="BA16" s="199" t="s">
        <v>197</v>
      </c>
      <c r="BB16" s="197" t="s">
        <v>853</v>
      </c>
      <c r="BC16" s="77">
        <f t="shared" si="1"/>
        <v>0</v>
      </c>
      <c r="BE16" s="50" t="s">
        <v>197</v>
      </c>
      <c r="BF16" s="50" t="s">
        <v>853</v>
      </c>
      <c r="BG16" s="376">
        <v>-274808.34999999998</v>
      </c>
    </row>
    <row r="17" spans="1:59">
      <c r="A17" s="199" t="s">
        <v>199</v>
      </c>
      <c r="B17" s="197" t="s">
        <v>854</v>
      </c>
      <c r="C17" s="324">
        <v>-94611.91</v>
      </c>
      <c r="D17" s="198">
        <v>-54032.33</v>
      </c>
      <c r="E17" s="198">
        <v>-111904.78</v>
      </c>
      <c r="F17" s="378">
        <v>-152316.95000000001</v>
      </c>
      <c r="G17" s="128">
        <f t="shared" si="0"/>
        <v>-412865.97</v>
      </c>
      <c r="I17" s="220"/>
      <c r="J17" s="221"/>
      <c r="K17" s="199" t="s">
        <v>199</v>
      </c>
      <c r="L17" s="197" t="s">
        <v>854</v>
      </c>
      <c r="M17" s="117"/>
      <c r="N17" s="198">
        <v>-54032.33</v>
      </c>
      <c r="O17" s="117">
        <f t="shared" si="2"/>
        <v>-54032.33</v>
      </c>
      <c r="P17" s="50"/>
      <c r="Q17" s="96"/>
      <c r="R17" s="199" t="s">
        <v>199</v>
      </c>
      <c r="S17" s="197" t="s">
        <v>854</v>
      </c>
      <c r="T17" s="117">
        <v>-96878.35</v>
      </c>
      <c r="U17" s="129">
        <v>-94611.91</v>
      </c>
      <c r="V17" s="315">
        <v>-94611.91</v>
      </c>
      <c r="AE17"/>
      <c r="AF17"/>
      <c r="AG17"/>
      <c r="AH17"/>
      <c r="AI17"/>
      <c r="AJ17"/>
      <c r="BA17" s="199" t="s">
        <v>199</v>
      </c>
      <c r="BB17" s="197" t="s">
        <v>854</v>
      </c>
      <c r="BC17" s="77">
        <f t="shared" si="1"/>
        <v>0</v>
      </c>
      <c r="BE17" s="50" t="s">
        <v>199</v>
      </c>
      <c r="BF17" s="50" t="s">
        <v>854</v>
      </c>
      <c r="BG17" s="376">
        <v>-152316.95000000001</v>
      </c>
    </row>
    <row r="18" spans="1:59">
      <c r="A18" s="199" t="s">
        <v>201</v>
      </c>
      <c r="B18" s="197" t="s">
        <v>855</v>
      </c>
      <c r="C18" s="324">
        <v>-183439.03</v>
      </c>
      <c r="D18" s="198">
        <v>-210277.41</v>
      </c>
      <c r="E18" s="198">
        <v>-175596.25</v>
      </c>
      <c r="F18" s="378">
        <v>-254238.46</v>
      </c>
      <c r="G18" s="128">
        <f t="shared" si="0"/>
        <v>-823551.14999999991</v>
      </c>
      <c r="I18" s="220"/>
      <c r="J18" s="221"/>
      <c r="K18" s="199" t="s">
        <v>201</v>
      </c>
      <c r="L18" s="197" t="s">
        <v>855</v>
      </c>
      <c r="M18" s="117"/>
      <c r="N18" s="198">
        <v>-210277.41</v>
      </c>
      <c r="O18" s="117">
        <f t="shared" si="2"/>
        <v>-210277.41</v>
      </c>
      <c r="P18" s="50"/>
      <c r="Q18" s="96"/>
      <c r="R18" s="199" t="s">
        <v>201</v>
      </c>
      <c r="S18" s="197" t="s">
        <v>855</v>
      </c>
      <c r="T18" s="117">
        <v>-141725.65</v>
      </c>
      <c r="U18" s="129">
        <v>-183439.03</v>
      </c>
      <c r="V18" s="315">
        <v>-183439.03</v>
      </c>
      <c r="AE18"/>
      <c r="AF18"/>
      <c r="AG18"/>
      <c r="AH18"/>
      <c r="AI18"/>
      <c r="AJ18"/>
      <c r="BA18" s="199" t="s">
        <v>201</v>
      </c>
      <c r="BB18" s="197" t="s">
        <v>855</v>
      </c>
      <c r="BC18" s="77">
        <f t="shared" si="1"/>
        <v>0</v>
      </c>
      <c r="BE18" s="50" t="s">
        <v>201</v>
      </c>
      <c r="BF18" s="50" t="s">
        <v>855</v>
      </c>
      <c r="BG18" s="376">
        <v>-254238.46</v>
      </c>
    </row>
    <row r="19" spans="1:59">
      <c r="A19" s="199" t="s">
        <v>203</v>
      </c>
      <c r="B19" s="197" t="s">
        <v>856</v>
      </c>
      <c r="C19" s="324">
        <v>-181563.74</v>
      </c>
      <c r="D19" s="198">
        <v>-92984.66</v>
      </c>
      <c r="E19" s="198">
        <v>-183425.09</v>
      </c>
      <c r="F19" s="378">
        <v>-296014.12</v>
      </c>
      <c r="G19" s="128">
        <f t="shared" si="0"/>
        <v>-753987.61</v>
      </c>
      <c r="I19" s="220"/>
      <c r="J19" s="221"/>
      <c r="K19" s="199" t="s">
        <v>203</v>
      </c>
      <c r="L19" s="197" t="s">
        <v>856</v>
      </c>
      <c r="M19" s="117"/>
      <c r="N19" s="198">
        <v>-92984.66</v>
      </c>
      <c r="O19" s="117">
        <f t="shared" si="2"/>
        <v>-92984.66</v>
      </c>
      <c r="P19" s="50"/>
      <c r="Q19" s="96"/>
      <c r="R19" s="199" t="s">
        <v>203</v>
      </c>
      <c r="S19" s="197" t="s">
        <v>856</v>
      </c>
      <c r="T19" s="117">
        <v>-53312.52</v>
      </c>
      <c r="U19" s="129">
        <v>-181563.74</v>
      </c>
      <c r="V19" s="315">
        <v>-181563.74</v>
      </c>
      <c r="AE19"/>
      <c r="AF19"/>
      <c r="AG19"/>
      <c r="AH19"/>
      <c r="AI19"/>
      <c r="AJ19"/>
      <c r="BA19" s="199" t="s">
        <v>203</v>
      </c>
      <c r="BB19" s="197" t="s">
        <v>856</v>
      </c>
      <c r="BC19" s="77">
        <f t="shared" si="1"/>
        <v>0</v>
      </c>
      <c r="BE19" s="50" t="s">
        <v>203</v>
      </c>
      <c r="BF19" s="50" t="s">
        <v>856</v>
      </c>
      <c r="BG19" s="376">
        <v>-296014.12</v>
      </c>
    </row>
    <row r="20" spans="1:59">
      <c r="A20" s="199" t="s">
        <v>205</v>
      </c>
      <c r="B20" s="197" t="s">
        <v>857</v>
      </c>
      <c r="C20" s="324">
        <v>-163599.13</v>
      </c>
      <c r="D20" s="198">
        <v>-135854.56</v>
      </c>
      <c r="E20" s="198">
        <v>-122131.05</v>
      </c>
      <c r="F20" s="378">
        <v>-175481.83</v>
      </c>
      <c r="G20" s="128">
        <f t="shared" si="0"/>
        <v>-597066.56999999995</v>
      </c>
      <c r="I20" s="220"/>
      <c r="J20" s="221"/>
      <c r="K20" s="199" t="s">
        <v>205</v>
      </c>
      <c r="L20" s="197" t="s">
        <v>857</v>
      </c>
      <c r="M20" s="117"/>
      <c r="N20" s="198">
        <v>-135854.56</v>
      </c>
      <c r="O20" s="117">
        <f t="shared" si="2"/>
        <v>-135854.56</v>
      </c>
      <c r="P20" s="50"/>
      <c r="Q20" s="96"/>
      <c r="R20" s="199" t="s">
        <v>205</v>
      </c>
      <c r="S20" s="197" t="s">
        <v>857</v>
      </c>
      <c r="T20" s="117">
        <v>-73164.62</v>
      </c>
      <c r="U20" s="129">
        <v>-163599.13</v>
      </c>
      <c r="V20" s="315">
        <v>-163599.13</v>
      </c>
      <c r="AE20"/>
      <c r="AF20"/>
      <c r="AG20"/>
      <c r="AH20"/>
      <c r="AI20"/>
      <c r="AJ20"/>
      <c r="BA20" s="199" t="s">
        <v>205</v>
      </c>
      <c r="BB20" s="197" t="s">
        <v>857</v>
      </c>
      <c r="BC20" s="77">
        <f t="shared" si="1"/>
        <v>0</v>
      </c>
      <c r="BE20" s="50" t="s">
        <v>205</v>
      </c>
      <c r="BF20" s="50" t="s">
        <v>857</v>
      </c>
      <c r="BG20" s="376">
        <v>-175481.83</v>
      </c>
    </row>
    <row r="21" spans="1:59">
      <c r="A21" s="199" t="s">
        <v>207</v>
      </c>
      <c r="B21" s="197" t="s">
        <v>858</v>
      </c>
      <c r="C21" s="324">
        <v>-56738.36</v>
      </c>
      <c r="D21" s="198">
        <v>-47473.07</v>
      </c>
      <c r="E21" s="198">
        <v>-40250.800000000003</v>
      </c>
      <c r="F21" s="378">
        <v>-59222.16</v>
      </c>
      <c r="G21" s="128">
        <f t="shared" si="0"/>
        <v>-203684.38999999998</v>
      </c>
      <c r="I21" s="220"/>
      <c r="J21" s="221"/>
      <c r="K21" s="199" t="s">
        <v>207</v>
      </c>
      <c r="L21" s="197" t="s">
        <v>858</v>
      </c>
      <c r="M21" s="117"/>
      <c r="N21" s="198">
        <v>-47473.07</v>
      </c>
      <c r="O21" s="117">
        <f t="shared" si="2"/>
        <v>-47473.07</v>
      </c>
      <c r="P21" s="50"/>
      <c r="Q21" s="96"/>
      <c r="R21" s="199" t="s">
        <v>207</v>
      </c>
      <c r="S21" s="197" t="s">
        <v>858</v>
      </c>
      <c r="T21" s="117">
        <v>-58246.06</v>
      </c>
      <c r="U21" s="129">
        <v>-56738.36</v>
      </c>
      <c r="V21" s="315">
        <v>-56738.36</v>
      </c>
      <c r="AE21"/>
      <c r="AF21"/>
      <c r="AG21"/>
      <c r="AH21"/>
      <c r="AI21"/>
      <c r="AJ21"/>
      <c r="BA21" s="199" t="s">
        <v>207</v>
      </c>
      <c r="BB21" s="197" t="s">
        <v>858</v>
      </c>
      <c r="BC21" s="77">
        <f t="shared" si="1"/>
        <v>0</v>
      </c>
      <c r="BE21" s="50" t="s">
        <v>207</v>
      </c>
      <c r="BF21" s="50" t="s">
        <v>858</v>
      </c>
      <c r="BG21" s="376">
        <v>-59222.16</v>
      </c>
    </row>
    <row r="22" spans="1:59">
      <c r="A22" s="199" t="s">
        <v>209</v>
      </c>
      <c r="B22" s="197" t="s">
        <v>859</v>
      </c>
      <c r="C22" s="324">
        <v>-303170.17</v>
      </c>
      <c r="D22" s="198">
        <v>-242357.05</v>
      </c>
      <c r="E22" s="198">
        <v>-173040.17</v>
      </c>
      <c r="F22" s="378">
        <v>-151909.89000000001</v>
      </c>
      <c r="G22" s="128">
        <f t="shared" si="0"/>
        <v>-870477.28</v>
      </c>
      <c r="I22" s="220"/>
      <c r="J22" s="221"/>
      <c r="K22" s="199" t="s">
        <v>209</v>
      </c>
      <c r="L22" s="197" t="s">
        <v>859</v>
      </c>
      <c r="M22" s="117"/>
      <c r="N22" s="198">
        <v>-242357.05</v>
      </c>
      <c r="O22" s="117">
        <f t="shared" si="2"/>
        <v>-242357.05</v>
      </c>
      <c r="P22" s="50"/>
      <c r="Q22" s="96"/>
      <c r="R22" s="199" t="s">
        <v>209</v>
      </c>
      <c r="S22" s="197" t="s">
        <v>859</v>
      </c>
      <c r="T22" s="117">
        <v>-163559.16</v>
      </c>
      <c r="U22" s="129">
        <v>-303170.17</v>
      </c>
      <c r="V22" s="315">
        <v>-303170.17</v>
      </c>
      <c r="AE22"/>
      <c r="AF22"/>
      <c r="AG22"/>
      <c r="AH22"/>
      <c r="AI22"/>
      <c r="AJ22"/>
      <c r="BA22" s="199" t="s">
        <v>209</v>
      </c>
      <c r="BB22" s="197" t="s">
        <v>859</v>
      </c>
      <c r="BC22" s="77">
        <f t="shared" si="1"/>
        <v>0</v>
      </c>
      <c r="BE22" s="50" t="s">
        <v>209</v>
      </c>
      <c r="BF22" s="50" t="s">
        <v>859</v>
      </c>
      <c r="BG22" s="376">
        <v>-151909.89000000001</v>
      </c>
    </row>
    <row r="23" spans="1:59">
      <c r="A23" s="199" t="s">
        <v>211</v>
      </c>
      <c r="B23" s="197" t="s">
        <v>860</v>
      </c>
      <c r="C23" s="324">
        <v>-243592.28</v>
      </c>
      <c r="D23" s="198">
        <v>-216692.35</v>
      </c>
      <c r="E23" s="198">
        <v>-311749.07</v>
      </c>
      <c r="F23" s="378">
        <v>-352297.55</v>
      </c>
      <c r="G23" s="128">
        <f t="shared" si="0"/>
        <v>-1124331.25</v>
      </c>
      <c r="I23" s="220"/>
      <c r="J23" s="221"/>
      <c r="K23" s="199" t="s">
        <v>211</v>
      </c>
      <c r="L23" s="197" t="s">
        <v>860</v>
      </c>
      <c r="M23" s="117"/>
      <c r="N23" s="198">
        <v>-216692.35</v>
      </c>
      <c r="O23" s="117">
        <f t="shared" si="2"/>
        <v>-216692.35</v>
      </c>
      <c r="P23" s="50"/>
      <c r="Q23" s="96"/>
      <c r="R23" s="199" t="s">
        <v>211</v>
      </c>
      <c r="S23" s="197" t="s">
        <v>860</v>
      </c>
      <c r="T23" s="117">
        <v>-221871.41</v>
      </c>
      <c r="U23" s="129">
        <v>-243592.28</v>
      </c>
      <c r="V23" s="315">
        <v>-243592.28</v>
      </c>
      <c r="AE23"/>
      <c r="AF23"/>
      <c r="AG23"/>
      <c r="AH23"/>
      <c r="AI23"/>
      <c r="AJ23"/>
      <c r="BA23" s="199" t="s">
        <v>211</v>
      </c>
      <c r="BB23" s="197" t="s">
        <v>860</v>
      </c>
      <c r="BC23" s="77">
        <f t="shared" si="1"/>
        <v>0</v>
      </c>
      <c r="BE23" s="50" t="s">
        <v>211</v>
      </c>
      <c r="BF23" s="50" t="s">
        <v>860</v>
      </c>
      <c r="BG23" s="376">
        <v>-352297.55</v>
      </c>
    </row>
    <row r="24" spans="1:59">
      <c r="A24" s="199" t="s">
        <v>213</v>
      </c>
      <c r="B24" s="197" t="s">
        <v>861</v>
      </c>
      <c r="C24" s="324">
        <v>-124509.57</v>
      </c>
      <c r="D24" s="198">
        <v>-174441.91</v>
      </c>
      <c r="E24" s="198">
        <v>-203697.06</v>
      </c>
      <c r="F24" s="378">
        <v>-243242.63</v>
      </c>
      <c r="G24" s="128">
        <f t="shared" si="0"/>
        <v>-745891.16999999993</v>
      </c>
      <c r="I24" s="220"/>
      <c r="J24" s="221"/>
      <c r="K24" s="199" t="s">
        <v>213</v>
      </c>
      <c r="L24" s="197" t="s">
        <v>861</v>
      </c>
      <c r="M24" s="117"/>
      <c r="N24" s="198">
        <v>-174441.91</v>
      </c>
      <c r="O24" s="117">
        <f t="shared" si="2"/>
        <v>-174441.91</v>
      </c>
      <c r="P24" s="50"/>
      <c r="Q24" s="96"/>
      <c r="R24" s="199" t="s">
        <v>213</v>
      </c>
      <c r="S24" s="197" t="s">
        <v>861</v>
      </c>
      <c r="T24" s="117">
        <v>-217196.92</v>
      </c>
      <c r="U24" s="129">
        <v>-124509.57</v>
      </c>
      <c r="V24" s="315">
        <v>-124509.57</v>
      </c>
      <c r="AE24"/>
      <c r="AF24"/>
      <c r="AG24"/>
      <c r="AH24"/>
      <c r="AI24"/>
      <c r="AJ24"/>
      <c r="BA24" s="199" t="s">
        <v>213</v>
      </c>
      <c r="BB24" s="197" t="s">
        <v>861</v>
      </c>
      <c r="BC24" s="77">
        <f t="shared" si="1"/>
        <v>0</v>
      </c>
      <c r="BE24" s="50" t="s">
        <v>213</v>
      </c>
      <c r="BF24" s="50" t="s">
        <v>861</v>
      </c>
      <c r="BG24" s="376">
        <v>-243242.63</v>
      </c>
    </row>
    <row r="25" spans="1:59">
      <c r="A25" s="200" t="s">
        <v>1639</v>
      </c>
      <c r="B25" s="201" t="s">
        <v>1660</v>
      </c>
      <c r="C25" s="327">
        <v>0</v>
      </c>
      <c r="D25" s="202">
        <v>-4164.71</v>
      </c>
      <c r="E25" s="202">
        <v>-4693.71</v>
      </c>
      <c r="F25" s="378">
        <v>-5296.78</v>
      </c>
      <c r="G25" s="128">
        <f t="shared" si="0"/>
        <v>-14155.2</v>
      </c>
      <c r="I25" s="220"/>
      <c r="J25" s="208"/>
      <c r="K25" s="200" t="s">
        <v>1639</v>
      </c>
      <c r="L25" s="201" t="s">
        <v>1660</v>
      </c>
      <c r="M25" s="117"/>
      <c r="N25" s="202">
        <v>-4164.71</v>
      </c>
      <c r="O25" s="117">
        <f t="shared" si="2"/>
        <v>-4164.71</v>
      </c>
      <c r="P25" s="50"/>
      <c r="Q25" s="208"/>
      <c r="R25" s="200" t="s">
        <v>1639</v>
      </c>
      <c r="S25" s="201" t="s">
        <v>1660</v>
      </c>
      <c r="T25" s="117">
        <v>0</v>
      </c>
      <c r="U25" s="129"/>
      <c r="V25" s="316">
        <v>0</v>
      </c>
      <c r="AE25"/>
      <c r="AF25"/>
      <c r="AG25"/>
      <c r="AH25"/>
      <c r="AI25"/>
      <c r="AJ25"/>
      <c r="BA25" s="200" t="s">
        <v>1639</v>
      </c>
      <c r="BB25" s="201" t="s">
        <v>1660</v>
      </c>
      <c r="BC25" s="77">
        <f t="shared" si="1"/>
        <v>0</v>
      </c>
      <c r="BE25" s="50" t="s">
        <v>1639</v>
      </c>
      <c r="BF25" s="50" t="s">
        <v>1660</v>
      </c>
      <c r="BG25" s="376">
        <v>-5296.78</v>
      </c>
    </row>
    <row r="26" spans="1:59">
      <c r="A26" s="199" t="s">
        <v>215</v>
      </c>
      <c r="B26" s="197" t="s">
        <v>862</v>
      </c>
      <c r="C26" s="324">
        <v>-267329.94</v>
      </c>
      <c r="D26" s="198">
        <v>-538682.05000000005</v>
      </c>
      <c r="E26" s="198">
        <v>-838915.46</v>
      </c>
      <c r="F26" s="378">
        <v>-627858.32999999996</v>
      </c>
      <c r="G26" s="128">
        <f t="shared" si="0"/>
        <v>-2272785.7799999998</v>
      </c>
      <c r="I26" s="220"/>
      <c r="J26" s="221"/>
      <c r="K26" s="199" t="s">
        <v>215</v>
      </c>
      <c r="L26" s="197" t="s">
        <v>862</v>
      </c>
      <c r="M26" s="117"/>
      <c r="N26" s="198">
        <v>-538682.05000000005</v>
      </c>
      <c r="O26" s="117">
        <f t="shared" si="2"/>
        <v>-538682.05000000005</v>
      </c>
      <c r="P26" s="50"/>
      <c r="Q26" s="96"/>
      <c r="R26" s="199" t="s">
        <v>215</v>
      </c>
      <c r="S26" s="197" t="s">
        <v>862</v>
      </c>
      <c r="T26" s="117">
        <v>-154616.64000000001</v>
      </c>
      <c r="U26" s="129">
        <v>-267329.94</v>
      </c>
      <c r="V26" s="315">
        <v>-267329.94</v>
      </c>
      <c r="AE26"/>
      <c r="AF26"/>
      <c r="AG26"/>
      <c r="AH26"/>
      <c r="AI26"/>
      <c r="AJ26"/>
      <c r="BA26" s="199" t="s">
        <v>215</v>
      </c>
      <c r="BB26" s="197" t="s">
        <v>862</v>
      </c>
      <c r="BC26" s="77">
        <f t="shared" si="1"/>
        <v>0</v>
      </c>
      <c r="BE26" s="50" t="s">
        <v>215</v>
      </c>
      <c r="BF26" s="50" t="s">
        <v>862</v>
      </c>
      <c r="BG26" s="376">
        <v>-627858.32999999996</v>
      </c>
    </row>
    <row r="27" spans="1:59">
      <c r="A27" s="199" t="s">
        <v>217</v>
      </c>
      <c r="B27" s="197" t="s">
        <v>863</v>
      </c>
      <c r="C27" s="324">
        <v>-10248.14</v>
      </c>
      <c r="D27" s="198">
        <v>2386</v>
      </c>
      <c r="E27" s="198">
        <v>-6306.9</v>
      </c>
      <c r="F27" s="378">
        <v>-32236.78</v>
      </c>
      <c r="G27" s="128">
        <f t="shared" si="0"/>
        <v>-46405.82</v>
      </c>
      <c r="I27" s="220"/>
      <c r="J27" s="221"/>
      <c r="K27" s="199" t="s">
        <v>217</v>
      </c>
      <c r="L27" s="197" t="s">
        <v>863</v>
      </c>
      <c r="M27" s="117">
        <f>+C27</f>
        <v>-10248.14</v>
      </c>
      <c r="N27" s="198">
        <v>2386</v>
      </c>
      <c r="O27" s="313">
        <f>IF(+M27+N27&lt;0,0,(+M27+N27))</f>
        <v>0</v>
      </c>
      <c r="P27" s="50"/>
      <c r="Q27" s="96"/>
      <c r="R27" s="199" t="s">
        <v>217</v>
      </c>
      <c r="S27" s="197" t="s">
        <v>863</v>
      </c>
      <c r="T27" s="117">
        <v>-18839.57</v>
      </c>
      <c r="U27" s="129">
        <v>-10248.14</v>
      </c>
      <c r="V27" s="315">
        <v>-10248.14</v>
      </c>
      <c r="AE27"/>
      <c r="AF27"/>
      <c r="AG27"/>
      <c r="AH27"/>
      <c r="AI27"/>
      <c r="AJ27"/>
      <c r="BA27" s="199" t="s">
        <v>217</v>
      </c>
      <c r="BB27" s="197" t="s">
        <v>863</v>
      </c>
      <c r="BC27" s="77">
        <f t="shared" si="1"/>
        <v>0</v>
      </c>
      <c r="BE27" s="50" t="s">
        <v>217</v>
      </c>
      <c r="BF27" s="50" t="s">
        <v>863</v>
      </c>
      <c r="BG27" s="376">
        <v>-32236.78</v>
      </c>
    </row>
    <row r="28" spans="1:59">
      <c r="A28" s="199" t="s">
        <v>219</v>
      </c>
      <c r="B28" s="197" t="s">
        <v>864</v>
      </c>
      <c r="C28" s="324">
        <v>-20210.2</v>
      </c>
      <c r="D28" s="198">
        <v>-143973.48000000001</v>
      </c>
      <c r="E28" s="198">
        <v>-158772.01</v>
      </c>
      <c r="F28" s="378">
        <v>-287396.69</v>
      </c>
      <c r="G28" s="128">
        <f t="shared" si="0"/>
        <v>-610352.38000000012</v>
      </c>
      <c r="I28" s="220"/>
      <c r="J28" s="221"/>
      <c r="K28" s="199" t="s">
        <v>219</v>
      </c>
      <c r="L28" s="197" t="s">
        <v>864</v>
      </c>
      <c r="M28" s="117"/>
      <c r="N28" s="198">
        <v>-143973.48000000001</v>
      </c>
      <c r="O28" s="117">
        <f t="shared" si="2"/>
        <v>-143973.48000000001</v>
      </c>
      <c r="P28" s="50"/>
      <c r="Q28" s="96"/>
      <c r="R28" s="199" t="s">
        <v>219</v>
      </c>
      <c r="S28" s="197" t="s">
        <v>864</v>
      </c>
      <c r="T28" s="117">
        <v>-81787.11</v>
      </c>
      <c r="U28" s="129">
        <v>-20210.2</v>
      </c>
      <c r="V28" s="315">
        <v>-20210.2</v>
      </c>
      <c r="AE28"/>
      <c r="AF28"/>
      <c r="AG28"/>
      <c r="AH28"/>
      <c r="AI28"/>
      <c r="AJ28"/>
      <c r="BA28" s="199" t="s">
        <v>219</v>
      </c>
      <c r="BB28" s="197" t="s">
        <v>864</v>
      </c>
      <c r="BC28" s="77">
        <f t="shared" si="1"/>
        <v>0</v>
      </c>
      <c r="BE28" s="50" t="s">
        <v>219</v>
      </c>
      <c r="BF28" s="50" t="s">
        <v>864</v>
      </c>
      <c r="BG28" s="376">
        <v>-287396.69</v>
      </c>
    </row>
    <row r="29" spans="1:59">
      <c r="A29" s="199" t="s">
        <v>220</v>
      </c>
      <c r="B29" s="197" t="s">
        <v>865</v>
      </c>
      <c r="C29" s="324">
        <v>-37334.660000000003</v>
      </c>
      <c r="D29" s="198">
        <v>-33311.08</v>
      </c>
      <c r="E29" s="198">
        <v>-33124.32</v>
      </c>
      <c r="F29" s="378">
        <v>-72092.66</v>
      </c>
      <c r="G29" s="128">
        <f t="shared" si="0"/>
        <v>-175862.72</v>
      </c>
      <c r="I29" s="220"/>
      <c r="J29" s="221"/>
      <c r="K29" s="199" t="s">
        <v>220</v>
      </c>
      <c r="L29" s="197" t="s">
        <v>865</v>
      </c>
      <c r="M29" s="117"/>
      <c r="N29" s="198">
        <v>-33311.08</v>
      </c>
      <c r="O29" s="117">
        <f t="shared" si="2"/>
        <v>-33311.08</v>
      </c>
      <c r="P29" s="50"/>
      <c r="Q29" s="96"/>
      <c r="R29" s="199" t="s">
        <v>220</v>
      </c>
      <c r="S29" s="197" t="s">
        <v>865</v>
      </c>
      <c r="T29" s="117">
        <v>-32342.82</v>
      </c>
      <c r="U29" s="129">
        <v>-37334.660000000003</v>
      </c>
      <c r="V29" s="315">
        <v>-37334.660000000003</v>
      </c>
      <c r="AE29"/>
      <c r="AF29"/>
      <c r="AG29"/>
      <c r="AH29"/>
      <c r="AI29"/>
      <c r="AJ29"/>
      <c r="BA29" s="199" t="s">
        <v>220</v>
      </c>
      <c r="BB29" s="197" t="s">
        <v>865</v>
      </c>
      <c r="BC29" s="77">
        <f t="shared" si="1"/>
        <v>0</v>
      </c>
      <c r="BE29" s="50" t="s">
        <v>220</v>
      </c>
      <c r="BF29" s="50" t="s">
        <v>865</v>
      </c>
      <c r="BG29" s="376">
        <v>-72092.66</v>
      </c>
    </row>
    <row r="30" spans="1:59">
      <c r="A30" s="199" t="s">
        <v>222</v>
      </c>
      <c r="B30" s="197" t="s">
        <v>866</v>
      </c>
      <c r="C30" s="324">
        <v>-112511.35</v>
      </c>
      <c r="D30" s="198">
        <v>-207174.13</v>
      </c>
      <c r="E30" s="198">
        <v>-242811.39</v>
      </c>
      <c r="F30" s="378">
        <v>-343673.29</v>
      </c>
      <c r="G30" s="128">
        <f t="shared" si="0"/>
        <v>-906170.15999999992</v>
      </c>
      <c r="I30" s="220"/>
      <c r="J30" s="221"/>
      <c r="K30" s="199" t="s">
        <v>222</v>
      </c>
      <c r="L30" s="197" t="s">
        <v>866</v>
      </c>
      <c r="M30" s="117"/>
      <c r="N30" s="198">
        <v>-207174.13</v>
      </c>
      <c r="O30" s="117">
        <f t="shared" si="2"/>
        <v>-207174.13</v>
      </c>
      <c r="P30" s="50"/>
      <c r="Q30" s="96"/>
      <c r="R30" s="199" t="s">
        <v>222</v>
      </c>
      <c r="S30" s="197" t="s">
        <v>866</v>
      </c>
      <c r="T30" s="117">
        <v>-156214.35999999999</v>
      </c>
      <c r="U30" s="129">
        <v>-112511.35</v>
      </c>
      <c r="V30" s="315">
        <v>-112511.35</v>
      </c>
      <c r="AE30"/>
      <c r="AF30"/>
      <c r="AG30"/>
      <c r="AH30"/>
      <c r="AI30"/>
      <c r="AJ30"/>
      <c r="BA30" s="199" t="s">
        <v>222</v>
      </c>
      <c r="BB30" s="197" t="s">
        <v>866</v>
      </c>
      <c r="BC30" s="77">
        <f t="shared" si="1"/>
        <v>0</v>
      </c>
      <c r="BE30" s="50" t="s">
        <v>222</v>
      </c>
      <c r="BF30" s="50" t="s">
        <v>866</v>
      </c>
      <c r="BG30" s="376">
        <v>-343673.29</v>
      </c>
    </row>
    <row r="31" spans="1:59">
      <c r="A31" s="199" t="s">
        <v>224</v>
      </c>
      <c r="B31" s="197" t="s">
        <v>867</v>
      </c>
      <c r="C31" s="326">
        <v>1728030.8800000001</v>
      </c>
      <c r="D31" s="198">
        <v>-259433.03</v>
      </c>
      <c r="E31" s="198">
        <v>-88076.31</v>
      </c>
      <c r="F31" s="378">
        <v>-283635.18</v>
      </c>
      <c r="G31" s="128">
        <f t="shared" si="0"/>
        <v>1096886.3600000001</v>
      </c>
      <c r="I31" s="220"/>
      <c r="J31" s="221"/>
      <c r="K31" s="199" t="s">
        <v>224</v>
      </c>
      <c r="L31" s="197" t="s">
        <v>867</v>
      </c>
      <c r="M31" s="117">
        <f>+C31</f>
        <v>1728030.8800000001</v>
      </c>
      <c r="N31" s="198">
        <v>-259433.03</v>
      </c>
      <c r="O31" s="279">
        <f t="shared" si="2"/>
        <v>1468597.85</v>
      </c>
      <c r="P31" s="50"/>
      <c r="Q31" s="96"/>
      <c r="R31" s="199" t="s">
        <v>224</v>
      </c>
      <c r="S31" s="197" t="s">
        <v>867</v>
      </c>
      <c r="T31" s="117">
        <v>1895138.1300000001</v>
      </c>
      <c r="U31" s="129">
        <v>-167107.25</v>
      </c>
      <c r="V31" s="320">
        <v>1728030.8800000001</v>
      </c>
      <c r="AE31"/>
      <c r="AF31"/>
      <c r="AG31"/>
      <c r="AH31"/>
      <c r="AI31"/>
      <c r="AJ31"/>
      <c r="BA31" s="199" t="s">
        <v>224</v>
      </c>
      <c r="BB31" s="197" t="s">
        <v>867</v>
      </c>
      <c r="BC31" s="77">
        <f t="shared" si="1"/>
        <v>0</v>
      </c>
      <c r="BE31" s="50" t="s">
        <v>224</v>
      </c>
      <c r="BF31" s="50" t="s">
        <v>867</v>
      </c>
      <c r="BG31" s="376">
        <v>-283635.18</v>
      </c>
    </row>
    <row r="32" spans="1:59">
      <c r="A32" s="199" t="s">
        <v>225</v>
      </c>
      <c r="B32" s="197" t="s">
        <v>868</v>
      </c>
      <c r="C32" s="324">
        <v>-375406.34</v>
      </c>
      <c r="D32" s="198">
        <v>-517853.42</v>
      </c>
      <c r="E32" s="198">
        <v>-405748.47999999998</v>
      </c>
      <c r="F32" s="378">
        <v>-447982.62</v>
      </c>
      <c r="G32" s="128">
        <f t="shared" si="0"/>
        <v>-1746990.8599999999</v>
      </c>
      <c r="I32" s="220"/>
      <c r="J32" s="221"/>
      <c r="K32" s="199" t="s">
        <v>225</v>
      </c>
      <c r="L32" s="197" t="s">
        <v>868</v>
      </c>
      <c r="M32" s="117"/>
      <c r="N32" s="198">
        <v>-517853.42</v>
      </c>
      <c r="O32" s="117">
        <f t="shared" si="2"/>
        <v>-517853.42</v>
      </c>
      <c r="P32" s="50"/>
      <c r="Q32" s="96"/>
      <c r="R32" s="199" t="s">
        <v>225</v>
      </c>
      <c r="S32" s="197" t="s">
        <v>868</v>
      </c>
      <c r="T32" s="117">
        <v>-306079.64</v>
      </c>
      <c r="U32" s="129">
        <v>-375406.34</v>
      </c>
      <c r="V32" s="315">
        <v>-375406.34</v>
      </c>
      <c r="AE32"/>
      <c r="AF32"/>
      <c r="AG32"/>
      <c r="AH32"/>
      <c r="AI32"/>
      <c r="AJ32"/>
      <c r="BA32" s="199" t="s">
        <v>225</v>
      </c>
      <c r="BB32" s="197" t="s">
        <v>868</v>
      </c>
      <c r="BC32" s="77">
        <f t="shared" si="1"/>
        <v>0</v>
      </c>
      <c r="BE32" s="50" t="s">
        <v>225</v>
      </c>
      <c r="BF32" s="50" t="s">
        <v>868</v>
      </c>
      <c r="BG32" s="376">
        <v>-447982.62</v>
      </c>
    </row>
    <row r="33" spans="1:59">
      <c r="A33" s="199" t="s">
        <v>227</v>
      </c>
      <c r="B33" s="197" t="s">
        <v>869</v>
      </c>
      <c r="C33" s="324">
        <v>-307231.63</v>
      </c>
      <c r="D33" s="198">
        <v>-301352.25</v>
      </c>
      <c r="E33" s="198">
        <v>-263583.74</v>
      </c>
      <c r="F33" s="378">
        <v>-240651.93</v>
      </c>
      <c r="G33" s="128">
        <f t="shared" si="0"/>
        <v>-1112819.55</v>
      </c>
      <c r="I33" s="220"/>
      <c r="J33" s="221"/>
      <c r="K33" s="199" t="s">
        <v>227</v>
      </c>
      <c r="L33" s="197" t="s">
        <v>869</v>
      </c>
      <c r="M33" s="117"/>
      <c r="N33" s="198">
        <v>-301352.25</v>
      </c>
      <c r="O33" s="117">
        <f t="shared" si="2"/>
        <v>-301352.25</v>
      </c>
      <c r="P33" s="50"/>
      <c r="Q33" s="96"/>
      <c r="R33" s="199" t="s">
        <v>227</v>
      </c>
      <c r="S33" s="197" t="s">
        <v>869</v>
      </c>
      <c r="T33" s="117">
        <v>-263583.65999999997</v>
      </c>
      <c r="U33" s="129">
        <v>-307231.63</v>
      </c>
      <c r="V33" s="315">
        <v>-307231.63</v>
      </c>
      <c r="AE33"/>
      <c r="AF33"/>
      <c r="AG33"/>
      <c r="AH33"/>
      <c r="AI33"/>
      <c r="AJ33"/>
      <c r="BA33" s="199" t="s">
        <v>227</v>
      </c>
      <c r="BB33" s="197" t="s">
        <v>869</v>
      </c>
      <c r="BC33" s="77">
        <f t="shared" si="1"/>
        <v>0</v>
      </c>
      <c r="BE33" s="50" t="s">
        <v>227</v>
      </c>
      <c r="BF33" s="50" t="s">
        <v>869</v>
      </c>
      <c r="BG33" s="376">
        <v>-240651.93</v>
      </c>
    </row>
    <row r="34" spans="1:59">
      <c r="A34" s="199" t="s">
        <v>229</v>
      </c>
      <c r="B34" s="197" t="s">
        <v>870</v>
      </c>
      <c r="C34" s="324">
        <v>-31829.66</v>
      </c>
      <c r="D34" s="198">
        <v>-43143.519999999997</v>
      </c>
      <c r="E34" s="198">
        <v>-31959.05</v>
      </c>
      <c r="F34" s="378">
        <v>-51714.83</v>
      </c>
      <c r="G34" s="128">
        <f t="shared" si="0"/>
        <v>-158647.06</v>
      </c>
      <c r="I34" s="220"/>
      <c r="J34" s="221"/>
      <c r="K34" s="199" t="s">
        <v>229</v>
      </c>
      <c r="L34" s="197" t="s">
        <v>870</v>
      </c>
      <c r="M34" s="117"/>
      <c r="N34" s="198">
        <v>-43143.519999999997</v>
      </c>
      <c r="O34" s="117">
        <f t="shared" si="2"/>
        <v>-43143.519999999997</v>
      </c>
      <c r="P34" s="50"/>
      <c r="Q34" s="96"/>
      <c r="R34" s="199" t="s">
        <v>229</v>
      </c>
      <c r="S34" s="197" t="s">
        <v>870</v>
      </c>
      <c r="T34" s="117">
        <v>-21853.33</v>
      </c>
      <c r="U34" s="129">
        <v>-31829.66</v>
      </c>
      <c r="V34" s="315">
        <v>-31829.66</v>
      </c>
      <c r="AE34"/>
      <c r="AF34"/>
      <c r="AG34"/>
      <c r="AH34"/>
      <c r="AI34"/>
      <c r="AJ34"/>
      <c r="BA34" s="199" t="s">
        <v>229</v>
      </c>
      <c r="BB34" s="197" t="s">
        <v>870</v>
      </c>
      <c r="BC34" s="77">
        <f t="shared" si="1"/>
        <v>0</v>
      </c>
      <c r="BE34" s="50" t="s">
        <v>229</v>
      </c>
      <c r="BF34" s="50" t="s">
        <v>870</v>
      </c>
      <c r="BG34" s="376">
        <v>-51714.83</v>
      </c>
    </row>
    <row r="35" spans="1:59">
      <c r="A35" s="199" t="s">
        <v>231</v>
      </c>
      <c r="B35" s="197" t="s">
        <v>871</v>
      </c>
      <c r="C35" s="324">
        <v>-67520.31</v>
      </c>
      <c r="D35" s="198">
        <v>-81568.320000000007</v>
      </c>
      <c r="E35" s="198">
        <v>-75863.210000000006</v>
      </c>
      <c r="F35" s="378">
        <v>-99863.3</v>
      </c>
      <c r="G35" s="128">
        <f t="shared" si="0"/>
        <v>-324815.14</v>
      </c>
      <c r="I35" s="220"/>
      <c r="J35" s="221"/>
      <c r="K35" s="199" t="s">
        <v>231</v>
      </c>
      <c r="L35" s="197" t="s">
        <v>871</v>
      </c>
      <c r="M35" s="117"/>
      <c r="N35" s="198">
        <v>-81568.320000000007</v>
      </c>
      <c r="O35" s="117">
        <f t="shared" si="2"/>
        <v>-81568.320000000007</v>
      </c>
      <c r="P35" s="50"/>
      <c r="Q35" s="96"/>
      <c r="R35" s="199" t="s">
        <v>231</v>
      </c>
      <c r="S35" s="197" t="s">
        <v>871</v>
      </c>
      <c r="T35" s="117">
        <v>-71162.36</v>
      </c>
      <c r="U35" s="129">
        <v>-67520.31</v>
      </c>
      <c r="V35" s="315">
        <v>-67520.31</v>
      </c>
      <c r="AE35"/>
      <c r="AF35"/>
      <c r="AG35"/>
      <c r="AH35"/>
      <c r="AI35"/>
      <c r="AJ35"/>
      <c r="BA35" s="199" t="s">
        <v>231</v>
      </c>
      <c r="BB35" s="197" t="s">
        <v>871</v>
      </c>
      <c r="BC35" s="77">
        <f t="shared" si="1"/>
        <v>0</v>
      </c>
      <c r="BE35" s="50" t="s">
        <v>231</v>
      </c>
      <c r="BF35" s="50" t="s">
        <v>871</v>
      </c>
      <c r="BG35" s="376">
        <v>-99863.3</v>
      </c>
    </row>
    <row r="36" spans="1:59">
      <c r="A36" s="199" t="s">
        <v>235</v>
      </c>
      <c r="B36" s="197" t="s">
        <v>872</v>
      </c>
      <c r="C36" s="324">
        <v>-240248.66</v>
      </c>
      <c r="D36" s="198">
        <v>-513875.52</v>
      </c>
      <c r="E36" s="198">
        <v>-280584.81</v>
      </c>
      <c r="F36" s="378">
        <v>-363877.95</v>
      </c>
      <c r="G36" s="128">
        <f t="shared" si="0"/>
        <v>-1398586.94</v>
      </c>
      <c r="I36" s="220"/>
      <c r="J36" s="221"/>
      <c r="K36" s="199" t="s">
        <v>235</v>
      </c>
      <c r="L36" s="197" t="s">
        <v>872</v>
      </c>
      <c r="M36" s="117"/>
      <c r="N36" s="198">
        <v>-513875.52</v>
      </c>
      <c r="O36" s="117">
        <f t="shared" si="2"/>
        <v>-513875.52</v>
      </c>
      <c r="P36" s="50"/>
      <c r="Q36" s="96"/>
      <c r="R36" s="199" t="s">
        <v>235</v>
      </c>
      <c r="S36" s="197" t="s">
        <v>872</v>
      </c>
      <c r="T36" s="117">
        <v>-62013.87</v>
      </c>
      <c r="U36" s="129">
        <v>-240248.66</v>
      </c>
      <c r="V36" s="315">
        <v>-240248.66</v>
      </c>
      <c r="AE36"/>
      <c r="AF36"/>
      <c r="AG36"/>
      <c r="AH36"/>
      <c r="AI36"/>
      <c r="AJ36"/>
      <c r="BA36" s="199" t="s">
        <v>235</v>
      </c>
      <c r="BB36" s="197" t="s">
        <v>872</v>
      </c>
      <c r="BC36" s="77">
        <f t="shared" si="1"/>
        <v>0</v>
      </c>
      <c r="BE36" s="50" t="s">
        <v>235</v>
      </c>
      <c r="BF36" s="50" t="s">
        <v>872</v>
      </c>
      <c r="BG36" s="376">
        <v>-363877.95</v>
      </c>
    </row>
    <row r="37" spans="1:59">
      <c r="A37" s="199" t="s">
        <v>237</v>
      </c>
      <c r="B37" s="197" t="s">
        <v>873</v>
      </c>
      <c r="C37" s="324">
        <v>-60877.57</v>
      </c>
      <c r="D37" s="198">
        <v>-94892.04</v>
      </c>
      <c r="E37" s="198">
        <v>-89519.22</v>
      </c>
      <c r="F37" s="378">
        <v>-86449.07</v>
      </c>
      <c r="G37" s="128">
        <f t="shared" si="0"/>
        <v>-331737.90000000002</v>
      </c>
      <c r="I37" s="220"/>
      <c r="J37" s="221"/>
      <c r="K37" s="199" t="s">
        <v>237</v>
      </c>
      <c r="L37" s="197" t="s">
        <v>873</v>
      </c>
      <c r="M37" s="117"/>
      <c r="N37" s="198">
        <v>-94892.04</v>
      </c>
      <c r="O37" s="117">
        <f t="shared" si="2"/>
        <v>-94892.04</v>
      </c>
      <c r="P37" s="50"/>
      <c r="Q37" s="96"/>
      <c r="R37" s="199" t="s">
        <v>237</v>
      </c>
      <c r="S37" s="197" t="s">
        <v>873</v>
      </c>
      <c r="T37" s="117">
        <v>-61773.23</v>
      </c>
      <c r="U37" s="129">
        <v>-60877.57</v>
      </c>
      <c r="V37" s="315">
        <v>-60877.57</v>
      </c>
      <c r="AE37"/>
      <c r="AF37"/>
      <c r="AG37"/>
      <c r="AH37"/>
      <c r="AI37"/>
      <c r="AJ37"/>
      <c r="BA37" s="199" t="s">
        <v>237</v>
      </c>
      <c r="BB37" s="197" t="s">
        <v>873</v>
      </c>
      <c r="BC37" s="77">
        <f t="shared" si="1"/>
        <v>0</v>
      </c>
      <c r="BE37" s="50" t="s">
        <v>237</v>
      </c>
      <c r="BF37" s="50" t="s">
        <v>873</v>
      </c>
      <c r="BG37" s="376">
        <v>-86449.07</v>
      </c>
    </row>
    <row r="38" spans="1:59">
      <c r="A38" s="199" t="s">
        <v>239</v>
      </c>
      <c r="B38" s="197" t="s">
        <v>874</v>
      </c>
      <c r="C38" s="324">
        <v>-37494.730000000003</v>
      </c>
      <c r="D38" s="198">
        <v>-145818.62</v>
      </c>
      <c r="E38" s="198">
        <v>-192583.97</v>
      </c>
      <c r="F38" s="378">
        <v>-185153.13</v>
      </c>
      <c r="G38" s="128">
        <f t="shared" si="0"/>
        <v>-561050.44999999995</v>
      </c>
      <c r="I38" s="220"/>
      <c r="J38" s="221"/>
      <c r="K38" s="199" t="s">
        <v>239</v>
      </c>
      <c r="L38" s="197" t="s">
        <v>874</v>
      </c>
      <c r="M38" s="117"/>
      <c r="N38" s="198">
        <v>-145818.62</v>
      </c>
      <c r="O38" s="117">
        <f t="shared" si="2"/>
        <v>-145818.62</v>
      </c>
      <c r="P38" s="50"/>
      <c r="Q38" s="96"/>
      <c r="R38" s="199" t="s">
        <v>239</v>
      </c>
      <c r="S38" s="197" t="s">
        <v>874</v>
      </c>
      <c r="T38" s="117">
        <v>-49866.81</v>
      </c>
      <c r="U38" s="129">
        <v>-37494.730000000003</v>
      </c>
      <c r="V38" s="315">
        <v>-37494.730000000003</v>
      </c>
      <c r="AE38"/>
      <c r="AF38"/>
      <c r="AG38"/>
      <c r="AH38"/>
      <c r="AI38"/>
      <c r="AJ38"/>
      <c r="BA38" s="199" t="s">
        <v>239</v>
      </c>
      <c r="BB38" s="197" t="s">
        <v>874</v>
      </c>
      <c r="BC38" s="77">
        <f t="shared" si="1"/>
        <v>0</v>
      </c>
      <c r="BE38" s="50" t="s">
        <v>239</v>
      </c>
      <c r="BF38" s="50" t="s">
        <v>874</v>
      </c>
      <c r="BG38" s="376">
        <v>-185153.13</v>
      </c>
    </row>
    <row r="39" spans="1:59">
      <c r="A39" s="199" t="s">
        <v>241</v>
      </c>
      <c r="B39" s="197" t="s">
        <v>875</v>
      </c>
      <c r="C39" s="324">
        <v>-27617.52</v>
      </c>
      <c r="D39" s="198">
        <v>-53387.15</v>
      </c>
      <c r="E39" s="198">
        <v>-47950.75</v>
      </c>
      <c r="F39" s="378">
        <v>-45003.77</v>
      </c>
      <c r="G39" s="128">
        <f t="shared" si="0"/>
        <v>-173959.19</v>
      </c>
      <c r="I39" s="220"/>
      <c r="J39" s="221"/>
      <c r="K39" s="199" t="s">
        <v>241</v>
      </c>
      <c r="L39" s="197" t="s">
        <v>875</v>
      </c>
      <c r="M39" s="117"/>
      <c r="N39" s="198">
        <v>-53387.15</v>
      </c>
      <c r="O39" s="117">
        <f t="shared" si="2"/>
        <v>-53387.15</v>
      </c>
      <c r="P39" s="50"/>
      <c r="Q39" s="96"/>
      <c r="R39" s="199" t="s">
        <v>241</v>
      </c>
      <c r="S39" s="197" t="s">
        <v>875</v>
      </c>
      <c r="T39" s="117">
        <v>-29821.78</v>
      </c>
      <c r="U39" s="129">
        <v>-27617.52</v>
      </c>
      <c r="V39" s="315">
        <v>-27617.52</v>
      </c>
      <c r="AE39"/>
      <c r="AF39"/>
      <c r="AG39"/>
      <c r="AH39"/>
      <c r="AI39"/>
      <c r="AJ39"/>
      <c r="BA39" s="199" t="s">
        <v>241</v>
      </c>
      <c r="BB39" s="197" t="s">
        <v>875</v>
      </c>
      <c r="BC39" s="77">
        <f t="shared" si="1"/>
        <v>0</v>
      </c>
      <c r="BE39" s="50" t="s">
        <v>241</v>
      </c>
      <c r="BF39" s="50" t="s">
        <v>875</v>
      </c>
      <c r="BG39" s="376">
        <v>-45003.77</v>
      </c>
    </row>
    <row r="40" spans="1:59">
      <c r="A40" s="199" t="s">
        <v>243</v>
      </c>
      <c r="B40" s="197" t="s">
        <v>876</v>
      </c>
      <c r="C40" s="324">
        <v>-185521.5</v>
      </c>
      <c r="D40" s="198">
        <v>-233071.31</v>
      </c>
      <c r="E40" s="198">
        <v>-310795.32</v>
      </c>
      <c r="F40" s="378">
        <v>-305555.77</v>
      </c>
      <c r="G40" s="128">
        <f t="shared" si="0"/>
        <v>-1034943.9</v>
      </c>
      <c r="I40" s="220"/>
      <c r="J40" s="221"/>
      <c r="K40" s="199" t="s">
        <v>243</v>
      </c>
      <c r="L40" s="197" t="s">
        <v>876</v>
      </c>
      <c r="M40" s="117"/>
      <c r="N40" s="198">
        <v>-233071.31</v>
      </c>
      <c r="O40" s="117">
        <f t="shared" si="2"/>
        <v>-233071.31</v>
      </c>
      <c r="P40" s="50"/>
      <c r="Q40" s="96"/>
      <c r="R40" s="199" t="s">
        <v>243</v>
      </c>
      <c r="S40" s="197" t="s">
        <v>876</v>
      </c>
      <c r="T40" s="117">
        <v>-115391.77</v>
      </c>
      <c r="U40" s="129">
        <v>-185521.5</v>
      </c>
      <c r="V40" s="315">
        <v>-185521.5</v>
      </c>
      <c r="AE40"/>
      <c r="AF40"/>
      <c r="AG40"/>
      <c r="AH40"/>
      <c r="AI40"/>
      <c r="AJ40"/>
      <c r="BA40" s="199" t="s">
        <v>243</v>
      </c>
      <c r="BB40" s="197" t="s">
        <v>876</v>
      </c>
      <c r="BC40" s="77">
        <f t="shared" si="1"/>
        <v>0</v>
      </c>
      <c r="BE40" s="50" t="s">
        <v>243</v>
      </c>
      <c r="BF40" s="50" t="s">
        <v>876</v>
      </c>
      <c r="BG40" s="376">
        <v>-305555.77</v>
      </c>
    </row>
    <row r="41" spans="1:59">
      <c r="A41" s="199" t="s">
        <v>245</v>
      </c>
      <c r="B41" s="197" t="s">
        <v>877</v>
      </c>
      <c r="C41" s="324">
        <v>-468727.82</v>
      </c>
      <c r="D41" s="198">
        <v>-364945.26</v>
      </c>
      <c r="E41" s="198">
        <v>-399319.48</v>
      </c>
      <c r="F41" s="378">
        <v>-556013.54</v>
      </c>
      <c r="G41" s="128">
        <f t="shared" si="0"/>
        <v>-1789006.1</v>
      </c>
      <c r="I41" s="220"/>
      <c r="J41" s="221"/>
      <c r="K41" s="199" t="s">
        <v>245</v>
      </c>
      <c r="L41" s="197" t="s">
        <v>877</v>
      </c>
      <c r="M41" s="117"/>
      <c r="N41" s="198">
        <v>-364945.26</v>
      </c>
      <c r="O41" s="117">
        <f t="shared" si="2"/>
        <v>-364945.26</v>
      </c>
      <c r="P41" s="50"/>
      <c r="Q41" s="96"/>
      <c r="R41" s="199" t="s">
        <v>245</v>
      </c>
      <c r="S41" s="197" t="s">
        <v>877</v>
      </c>
      <c r="T41" s="117">
        <v>-419708.37</v>
      </c>
      <c r="U41" s="129">
        <v>-468727.82</v>
      </c>
      <c r="V41" s="315">
        <v>-468727.82</v>
      </c>
      <c r="AE41"/>
      <c r="AF41"/>
      <c r="AG41"/>
      <c r="AH41"/>
      <c r="AI41"/>
      <c r="AJ41"/>
      <c r="BA41" s="199" t="s">
        <v>245</v>
      </c>
      <c r="BB41" s="197" t="s">
        <v>877</v>
      </c>
      <c r="BC41" s="77">
        <f t="shared" si="1"/>
        <v>0</v>
      </c>
      <c r="BE41" s="50" t="s">
        <v>245</v>
      </c>
      <c r="BF41" s="50" t="s">
        <v>877</v>
      </c>
      <c r="BG41" s="376">
        <v>-556013.54</v>
      </c>
    </row>
    <row r="42" spans="1:59">
      <c r="A42" s="199" t="s">
        <v>247</v>
      </c>
      <c r="B42" s="197" t="s">
        <v>878</v>
      </c>
      <c r="C42" s="324">
        <v>-15760.33</v>
      </c>
      <c r="D42" s="198">
        <v>-44667.82</v>
      </c>
      <c r="E42" s="198">
        <v>-33073.879999999997</v>
      </c>
      <c r="F42" s="378">
        <v>-31331.37</v>
      </c>
      <c r="G42" s="128">
        <f t="shared" si="0"/>
        <v>-124833.4</v>
      </c>
      <c r="I42" s="220"/>
      <c r="J42" s="221"/>
      <c r="K42" s="199" t="s">
        <v>247</v>
      </c>
      <c r="L42" s="197" t="s">
        <v>878</v>
      </c>
      <c r="M42" s="117"/>
      <c r="N42" s="198">
        <v>-44667.82</v>
      </c>
      <c r="O42" s="117">
        <f t="shared" si="2"/>
        <v>-44667.82</v>
      </c>
      <c r="P42" s="50"/>
      <c r="Q42" s="96"/>
      <c r="R42" s="199" t="s">
        <v>247</v>
      </c>
      <c r="S42" s="197" t="s">
        <v>878</v>
      </c>
      <c r="T42" s="117">
        <v>-25943.42</v>
      </c>
      <c r="U42" s="129">
        <v>-15760.33</v>
      </c>
      <c r="V42" s="315">
        <v>-15760.33</v>
      </c>
      <c r="AE42"/>
      <c r="AF42"/>
      <c r="AG42"/>
      <c r="AH42"/>
      <c r="AI42"/>
      <c r="AJ42"/>
      <c r="BA42" s="199" t="s">
        <v>247</v>
      </c>
      <c r="BB42" s="197" t="s">
        <v>878</v>
      </c>
      <c r="BC42" s="77">
        <f t="shared" si="1"/>
        <v>0</v>
      </c>
      <c r="BE42" s="50" t="s">
        <v>247</v>
      </c>
      <c r="BF42" s="50" t="s">
        <v>878</v>
      </c>
      <c r="BG42" s="376">
        <v>-31331.37</v>
      </c>
    </row>
    <row r="43" spans="1:59">
      <c r="A43" s="199" t="s">
        <v>249</v>
      </c>
      <c r="B43" s="197" t="s">
        <v>879</v>
      </c>
      <c r="C43" s="324">
        <v>-159396.29</v>
      </c>
      <c r="D43" s="198">
        <v>-163457.51</v>
      </c>
      <c r="E43" s="198">
        <v>-202505.73</v>
      </c>
      <c r="F43" s="378">
        <v>-307411.34000000003</v>
      </c>
      <c r="G43" s="128">
        <f t="shared" si="0"/>
        <v>-832770.87000000011</v>
      </c>
      <c r="I43" s="220"/>
      <c r="J43" s="221"/>
      <c r="K43" s="199" t="s">
        <v>249</v>
      </c>
      <c r="L43" s="197" t="s">
        <v>879</v>
      </c>
      <c r="M43" s="117"/>
      <c r="N43" s="198">
        <v>-163457.51</v>
      </c>
      <c r="O43" s="117">
        <f t="shared" si="2"/>
        <v>-163457.51</v>
      </c>
      <c r="P43" s="50"/>
      <c r="Q43" s="96"/>
      <c r="R43" s="199" t="s">
        <v>249</v>
      </c>
      <c r="S43" s="197" t="s">
        <v>879</v>
      </c>
      <c r="T43" s="117">
        <v>-63763.28</v>
      </c>
      <c r="U43" s="129">
        <v>-159396.29</v>
      </c>
      <c r="V43" s="315">
        <v>-159396.29</v>
      </c>
      <c r="AE43"/>
      <c r="AF43"/>
      <c r="AG43"/>
      <c r="AH43"/>
      <c r="AI43"/>
      <c r="AJ43"/>
      <c r="BA43" s="199" t="s">
        <v>249</v>
      </c>
      <c r="BB43" s="197" t="s">
        <v>879</v>
      </c>
      <c r="BC43" s="77">
        <f t="shared" si="1"/>
        <v>0</v>
      </c>
      <c r="BE43" s="50" t="s">
        <v>249</v>
      </c>
      <c r="BF43" s="50" t="s">
        <v>879</v>
      </c>
      <c r="BG43" s="376">
        <v>-307411.34000000003</v>
      </c>
    </row>
    <row r="44" spans="1:59">
      <c r="A44" s="199" t="s">
        <v>251</v>
      </c>
      <c r="B44" s="197" t="s">
        <v>880</v>
      </c>
      <c r="C44" s="324">
        <v>-24910.09</v>
      </c>
      <c r="D44" s="198">
        <v>-29711.5</v>
      </c>
      <c r="E44" s="198">
        <v>-32672.91</v>
      </c>
      <c r="F44" s="378">
        <v>-22035.62</v>
      </c>
      <c r="G44" s="128">
        <f t="shared" si="0"/>
        <v>-109330.12</v>
      </c>
      <c r="I44" s="220"/>
      <c r="J44" s="221"/>
      <c r="K44" s="199" t="s">
        <v>251</v>
      </c>
      <c r="L44" s="197" t="s">
        <v>880</v>
      </c>
      <c r="M44" s="117"/>
      <c r="N44" s="198">
        <v>-29711.5</v>
      </c>
      <c r="O44" s="117">
        <f t="shared" si="2"/>
        <v>-29711.5</v>
      </c>
      <c r="P44" s="50"/>
      <c r="Q44" s="96"/>
      <c r="R44" s="199" t="s">
        <v>251</v>
      </c>
      <c r="S44" s="197" t="s">
        <v>880</v>
      </c>
      <c r="T44" s="117">
        <v>-24829.48</v>
      </c>
      <c r="U44" s="129">
        <v>-24910.09</v>
      </c>
      <c r="V44" s="315">
        <v>-24910.09</v>
      </c>
      <c r="AE44"/>
      <c r="AF44"/>
      <c r="AG44"/>
      <c r="AH44"/>
      <c r="AI44"/>
      <c r="AJ44"/>
      <c r="BA44" s="199" t="s">
        <v>251</v>
      </c>
      <c r="BB44" s="197" t="s">
        <v>880</v>
      </c>
      <c r="BC44" s="77">
        <f t="shared" si="1"/>
        <v>0</v>
      </c>
      <c r="BE44" s="50" t="s">
        <v>251</v>
      </c>
      <c r="BF44" s="50" t="s">
        <v>880</v>
      </c>
      <c r="BG44" s="376">
        <v>-22035.62</v>
      </c>
    </row>
    <row r="45" spans="1:59">
      <c r="A45" s="199" t="s">
        <v>253</v>
      </c>
      <c r="B45" s="197" t="s">
        <v>881</v>
      </c>
      <c r="C45" s="324">
        <v>-92396.3</v>
      </c>
      <c r="D45" s="198">
        <v>-251143.82</v>
      </c>
      <c r="E45" s="198">
        <v>-107777.53</v>
      </c>
      <c r="F45" s="378">
        <v>11880.28</v>
      </c>
      <c r="G45" s="128">
        <f t="shared" si="0"/>
        <v>-439437.37</v>
      </c>
      <c r="I45" s="220"/>
      <c r="J45" s="221"/>
      <c r="K45" s="199" t="s">
        <v>253</v>
      </c>
      <c r="L45" s="197" t="s">
        <v>881</v>
      </c>
      <c r="M45" s="117"/>
      <c r="N45" s="198">
        <v>-251143.82</v>
      </c>
      <c r="O45" s="117">
        <f t="shared" si="2"/>
        <v>-251143.82</v>
      </c>
      <c r="P45" s="50"/>
      <c r="Q45" s="96"/>
      <c r="R45" s="199" t="s">
        <v>253</v>
      </c>
      <c r="S45" s="197" t="s">
        <v>881</v>
      </c>
      <c r="T45" s="117">
        <v>-98741.79</v>
      </c>
      <c r="U45" s="129">
        <v>-92396.3</v>
      </c>
      <c r="V45" s="315">
        <v>-92396.3</v>
      </c>
      <c r="AE45"/>
      <c r="AF45"/>
      <c r="AG45"/>
      <c r="AH45"/>
      <c r="AI45"/>
      <c r="AJ45"/>
      <c r="BA45" s="199" t="s">
        <v>253</v>
      </c>
      <c r="BB45" s="197" t="s">
        <v>881</v>
      </c>
      <c r="BC45" s="77">
        <f t="shared" si="1"/>
        <v>0</v>
      </c>
      <c r="BE45" s="50" t="s">
        <v>253</v>
      </c>
      <c r="BF45" s="50" t="s">
        <v>881</v>
      </c>
      <c r="BG45" s="376">
        <v>11880.28</v>
      </c>
    </row>
    <row r="46" spans="1:59">
      <c r="A46" s="199" t="s">
        <v>255</v>
      </c>
      <c r="B46" s="197" t="s">
        <v>882</v>
      </c>
      <c r="C46" s="324">
        <v>-70438.289999999994</v>
      </c>
      <c r="D46" s="198">
        <v>-50440.62</v>
      </c>
      <c r="E46" s="198">
        <v>-54480.09</v>
      </c>
      <c r="F46" s="378">
        <v>-60470.85</v>
      </c>
      <c r="G46" s="128">
        <f t="shared" si="0"/>
        <v>-235829.85</v>
      </c>
      <c r="I46" s="220"/>
      <c r="J46" s="221"/>
      <c r="K46" s="199" t="s">
        <v>255</v>
      </c>
      <c r="L46" s="197" t="s">
        <v>882</v>
      </c>
      <c r="M46" s="117"/>
      <c r="N46" s="198">
        <v>-50440.62</v>
      </c>
      <c r="O46" s="117">
        <f t="shared" si="2"/>
        <v>-50440.62</v>
      </c>
      <c r="P46" s="50"/>
      <c r="Q46" s="96"/>
      <c r="R46" s="199" t="s">
        <v>255</v>
      </c>
      <c r="S46" s="197" t="s">
        <v>882</v>
      </c>
      <c r="T46" s="117">
        <v>-72982.66</v>
      </c>
      <c r="U46" s="129">
        <v>-70438.289999999994</v>
      </c>
      <c r="V46" s="315">
        <v>-70438.289999999994</v>
      </c>
      <c r="AE46"/>
      <c r="AF46"/>
      <c r="AG46"/>
      <c r="AH46"/>
      <c r="AI46"/>
      <c r="AJ46"/>
      <c r="BA46" s="199" t="s">
        <v>255</v>
      </c>
      <c r="BB46" s="197" t="s">
        <v>882</v>
      </c>
      <c r="BC46" s="77">
        <f t="shared" si="1"/>
        <v>0</v>
      </c>
      <c r="BE46" s="50" t="s">
        <v>255</v>
      </c>
      <c r="BF46" s="50" t="s">
        <v>882</v>
      </c>
      <c r="BG46" s="376">
        <v>-60470.85</v>
      </c>
    </row>
    <row r="47" spans="1:59">
      <c r="A47" s="199" t="s">
        <v>257</v>
      </c>
      <c r="B47" s="197" t="s">
        <v>883</v>
      </c>
      <c r="C47" s="324">
        <v>-39137.49</v>
      </c>
      <c r="D47" s="198">
        <v>-75899.97</v>
      </c>
      <c r="E47" s="198">
        <v>-48348.22</v>
      </c>
      <c r="F47" s="378">
        <v>-57427.89</v>
      </c>
      <c r="G47" s="128">
        <f t="shared" si="0"/>
        <v>-220813.57</v>
      </c>
      <c r="I47" s="220"/>
      <c r="J47" s="221"/>
      <c r="K47" s="199" t="s">
        <v>257</v>
      </c>
      <c r="L47" s="197" t="s">
        <v>883</v>
      </c>
      <c r="M47" s="117"/>
      <c r="N47" s="198">
        <v>-75899.97</v>
      </c>
      <c r="O47" s="117">
        <f t="shared" si="2"/>
        <v>-75899.97</v>
      </c>
      <c r="P47" s="50"/>
      <c r="Q47" s="96"/>
      <c r="R47" s="199" t="s">
        <v>257</v>
      </c>
      <c r="S47" s="197" t="s">
        <v>883</v>
      </c>
      <c r="T47" s="117">
        <v>-16879.21</v>
      </c>
      <c r="U47" s="129">
        <v>-39137.49</v>
      </c>
      <c r="V47" s="315">
        <v>-39137.49</v>
      </c>
      <c r="AE47"/>
      <c r="AF47"/>
      <c r="AG47"/>
      <c r="AH47"/>
      <c r="AI47"/>
      <c r="AJ47"/>
      <c r="BA47" s="199" t="s">
        <v>257</v>
      </c>
      <c r="BB47" s="197" t="s">
        <v>883</v>
      </c>
      <c r="BC47" s="77">
        <f t="shared" si="1"/>
        <v>0</v>
      </c>
      <c r="BE47" s="50" t="s">
        <v>257</v>
      </c>
      <c r="BF47" s="50" t="s">
        <v>883</v>
      </c>
      <c r="BG47" s="376">
        <v>-57427.89</v>
      </c>
    </row>
    <row r="48" spans="1:59">
      <c r="A48" s="199" t="s">
        <v>259</v>
      </c>
      <c r="B48" s="197" t="s">
        <v>884</v>
      </c>
      <c r="C48" s="324">
        <v>-51310.73</v>
      </c>
      <c r="D48" s="198">
        <v>-59351.360000000001</v>
      </c>
      <c r="E48" s="198">
        <v>-79191.460000000006</v>
      </c>
      <c r="F48" s="378">
        <v>-86252.62</v>
      </c>
      <c r="G48" s="128">
        <f t="shared" si="0"/>
        <v>-276106.17</v>
      </c>
      <c r="I48" s="220"/>
      <c r="J48" s="221"/>
      <c r="K48" s="199" t="s">
        <v>259</v>
      </c>
      <c r="L48" s="197" t="s">
        <v>884</v>
      </c>
      <c r="M48" s="117"/>
      <c r="N48" s="198">
        <v>-59351.360000000001</v>
      </c>
      <c r="O48" s="117">
        <f t="shared" si="2"/>
        <v>-59351.360000000001</v>
      </c>
      <c r="P48" s="50"/>
      <c r="Q48" s="96"/>
      <c r="R48" s="199" t="s">
        <v>259</v>
      </c>
      <c r="S48" s="197" t="s">
        <v>884</v>
      </c>
      <c r="T48" s="117">
        <v>-37930.43</v>
      </c>
      <c r="U48" s="129">
        <v>-51310.73</v>
      </c>
      <c r="V48" s="315">
        <v>-51310.73</v>
      </c>
      <c r="AE48"/>
      <c r="AF48"/>
      <c r="AG48"/>
      <c r="AH48"/>
      <c r="AI48"/>
      <c r="AJ48"/>
      <c r="BA48" s="199" t="s">
        <v>259</v>
      </c>
      <c r="BB48" s="197" t="s">
        <v>884</v>
      </c>
      <c r="BC48" s="77">
        <f t="shared" si="1"/>
        <v>0</v>
      </c>
      <c r="BE48" s="50" t="s">
        <v>259</v>
      </c>
      <c r="BF48" s="50" t="s">
        <v>884</v>
      </c>
      <c r="BG48" s="376">
        <v>-86252.62</v>
      </c>
    </row>
    <row r="49" spans="1:59">
      <c r="A49" s="199" t="s">
        <v>261</v>
      </c>
      <c r="B49" s="197" t="s">
        <v>885</v>
      </c>
      <c r="C49" s="324">
        <v>-68005.929999999993</v>
      </c>
      <c r="D49" s="198">
        <v>-48404.14</v>
      </c>
      <c r="E49" s="198">
        <v>-75638.820000000007</v>
      </c>
      <c r="F49" s="378">
        <v>-89054.6</v>
      </c>
      <c r="G49" s="128">
        <f t="shared" si="0"/>
        <v>-281103.49</v>
      </c>
      <c r="I49" s="220"/>
      <c r="J49" s="221"/>
      <c r="K49" s="199" t="s">
        <v>261</v>
      </c>
      <c r="L49" s="197" t="s">
        <v>885</v>
      </c>
      <c r="M49" s="117"/>
      <c r="N49" s="198">
        <v>-48404.14</v>
      </c>
      <c r="O49" s="117">
        <f t="shared" si="2"/>
        <v>-48404.14</v>
      </c>
      <c r="P49" s="50"/>
      <c r="Q49" s="96"/>
      <c r="R49" s="199" t="s">
        <v>261</v>
      </c>
      <c r="S49" s="197" t="s">
        <v>885</v>
      </c>
      <c r="T49" s="117">
        <v>-63708.25</v>
      </c>
      <c r="U49" s="129">
        <v>-68005.929999999993</v>
      </c>
      <c r="V49" s="315">
        <v>-68005.929999999993</v>
      </c>
      <c r="AE49"/>
      <c r="AF49"/>
      <c r="AG49"/>
      <c r="AH49"/>
      <c r="AI49"/>
      <c r="AJ49"/>
      <c r="BA49" s="199" t="s">
        <v>261</v>
      </c>
      <c r="BB49" s="197" t="s">
        <v>885</v>
      </c>
      <c r="BC49" s="77">
        <f t="shared" si="1"/>
        <v>0</v>
      </c>
      <c r="BE49" s="50" t="s">
        <v>261</v>
      </c>
      <c r="BF49" s="50" t="s">
        <v>885</v>
      </c>
      <c r="BG49" s="376">
        <v>-89054.6</v>
      </c>
    </row>
    <row r="50" spans="1:59">
      <c r="A50" s="199" t="s">
        <v>263</v>
      </c>
      <c r="B50" s="197" t="s">
        <v>886</v>
      </c>
      <c r="C50" s="324">
        <v>-15476.44</v>
      </c>
      <c r="D50" s="198">
        <v>-21050.59</v>
      </c>
      <c r="E50" s="198">
        <v>-20456.37</v>
      </c>
      <c r="F50" s="378">
        <v>-30041.47</v>
      </c>
      <c r="G50" s="128">
        <f t="shared" si="0"/>
        <v>-87024.87</v>
      </c>
      <c r="I50" s="220"/>
      <c r="J50" s="221"/>
      <c r="K50" s="199" t="s">
        <v>263</v>
      </c>
      <c r="L50" s="197" t="s">
        <v>886</v>
      </c>
      <c r="M50" s="117"/>
      <c r="N50" s="198">
        <v>-21050.59</v>
      </c>
      <c r="O50" s="117">
        <f t="shared" si="2"/>
        <v>-21050.59</v>
      </c>
      <c r="P50" s="50"/>
      <c r="Q50" s="96"/>
      <c r="R50" s="199" t="s">
        <v>263</v>
      </c>
      <c r="S50" s="197" t="s">
        <v>886</v>
      </c>
      <c r="T50" s="117">
        <v>-27607.71</v>
      </c>
      <c r="U50" s="129">
        <v>-15476.44</v>
      </c>
      <c r="V50" s="315">
        <v>-15476.44</v>
      </c>
      <c r="AE50"/>
      <c r="AF50"/>
      <c r="AG50"/>
      <c r="AH50"/>
      <c r="AI50"/>
      <c r="AJ50"/>
      <c r="BA50" s="199" t="s">
        <v>263</v>
      </c>
      <c r="BB50" s="197" t="s">
        <v>886</v>
      </c>
      <c r="BC50" s="77">
        <f t="shared" si="1"/>
        <v>0</v>
      </c>
      <c r="BE50" s="50" t="s">
        <v>263</v>
      </c>
      <c r="BF50" s="50" t="s">
        <v>886</v>
      </c>
      <c r="BG50" s="376">
        <v>-30041.47</v>
      </c>
    </row>
    <row r="51" spans="1:59">
      <c r="A51" s="199" t="s">
        <v>265</v>
      </c>
      <c r="B51" s="197" t="s">
        <v>887</v>
      </c>
      <c r="C51" s="324">
        <v>-91746.34</v>
      </c>
      <c r="D51" s="198">
        <v>-109062.37</v>
      </c>
      <c r="E51" s="198">
        <v>-109028.78</v>
      </c>
      <c r="F51" s="378">
        <v>-119572.23</v>
      </c>
      <c r="G51" s="128">
        <f t="shared" si="0"/>
        <v>-429409.72</v>
      </c>
      <c r="I51" s="220"/>
      <c r="J51" s="221"/>
      <c r="K51" s="199" t="s">
        <v>265</v>
      </c>
      <c r="L51" s="197" t="s">
        <v>887</v>
      </c>
      <c r="M51" s="117"/>
      <c r="N51" s="198">
        <v>-109062.37</v>
      </c>
      <c r="O51" s="117">
        <f t="shared" si="2"/>
        <v>-109062.37</v>
      </c>
      <c r="P51" s="50"/>
      <c r="Q51" s="96"/>
      <c r="R51" s="199" t="s">
        <v>265</v>
      </c>
      <c r="S51" s="197" t="s">
        <v>887</v>
      </c>
      <c r="T51" s="117">
        <v>-83931.13</v>
      </c>
      <c r="U51" s="129">
        <v>-91746.34</v>
      </c>
      <c r="V51" s="315">
        <v>-91746.34</v>
      </c>
      <c r="AE51"/>
      <c r="AF51"/>
      <c r="AG51"/>
      <c r="AH51"/>
      <c r="AI51"/>
      <c r="AJ51"/>
      <c r="BA51" s="199" t="s">
        <v>265</v>
      </c>
      <c r="BB51" s="197" t="s">
        <v>887</v>
      </c>
      <c r="BC51" s="77">
        <f t="shared" si="1"/>
        <v>0</v>
      </c>
      <c r="BE51" s="50" t="s">
        <v>265</v>
      </c>
      <c r="BF51" s="50" t="s">
        <v>887</v>
      </c>
      <c r="BG51" s="376">
        <v>-119572.23</v>
      </c>
    </row>
    <row r="52" spans="1:59">
      <c r="A52" s="199" t="s">
        <v>267</v>
      </c>
      <c r="B52" s="197" t="s">
        <v>888</v>
      </c>
      <c r="C52" s="324">
        <v>-29129.64</v>
      </c>
      <c r="D52" s="198">
        <v>-46314.77</v>
      </c>
      <c r="E52" s="198">
        <v>-78804.52</v>
      </c>
      <c r="F52" s="378">
        <v>-202433.52</v>
      </c>
      <c r="G52" s="128">
        <f t="shared" si="0"/>
        <v>-356682.44999999995</v>
      </c>
      <c r="I52" s="220"/>
      <c r="J52" s="221"/>
      <c r="K52" s="199" t="s">
        <v>267</v>
      </c>
      <c r="L52" s="197" t="s">
        <v>888</v>
      </c>
      <c r="M52" s="117"/>
      <c r="N52" s="198">
        <v>-46314.77</v>
      </c>
      <c r="O52" s="117">
        <f t="shared" si="2"/>
        <v>-46314.77</v>
      </c>
      <c r="P52" s="50"/>
      <c r="Q52" s="96"/>
      <c r="R52" s="199" t="s">
        <v>267</v>
      </c>
      <c r="S52" s="197" t="s">
        <v>888</v>
      </c>
      <c r="T52" s="117">
        <v>-66612.45</v>
      </c>
      <c r="U52" s="129">
        <v>-29129.64</v>
      </c>
      <c r="V52" s="315">
        <v>-29129.64</v>
      </c>
      <c r="AE52"/>
      <c r="AF52"/>
      <c r="AG52"/>
      <c r="AH52"/>
      <c r="AI52"/>
      <c r="AJ52"/>
      <c r="BA52" s="199" t="s">
        <v>267</v>
      </c>
      <c r="BB52" s="197" t="s">
        <v>888</v>
      </c>
      <c r="BC52" s="77">
        <f t="shared" si="1"/>
        <v>0</v>
      </c>
      <c r="BE52" s="50" t="s">
        <v>267</v>
      </c>
      <c r="BF52" s="50" t="s">
        <v>888</v>
      </c>
      <c r="BG52" s="376">
        <v>-202433.52</v>
      </c>
    </row>
    <row r="53" spans="1:59">
      <c r="A53" s="199" t="s">
        <v>269</v>
      </c>
      <c r="B53" s="197" t="s">
        <v>889</v>
      </c>
      <c r="C53" s="326">
        <v>-125587.86999999988</v>
      </c>
      <c r="D53" s="198">
        <v>117247.22</v>
      </c>
      <c r="E53" s="198">
        <v>995383.55</v>
      </c>
      <c r="F53" s="378">
        <v>555688.07999999996</v>
      </c>
      <c r="G53" s="128">
        <f t="shared" si="0"/>
        <v>1542730.98</v>
      </c>
      <c r="I53" s="220"/>
      <c r="J53" s="221"/>
      <c r="K53" s="199" t="s">
        <v>269</v>
      </c>
      <c r="L53" s="197" t="s">
        <v>889</v>
      </c>
      <c r="M53" s="117">
        <f>+C53</f>
        <v>-125587.86999999988</v>
      </c>
      <c r="N53" s="198">
        <v>117247.22</v>
      </c>
      <c r="O53" s="313">
        <f>IF(+M53+N53&lt;0,0,(+M53+N53))</f>
        <v>0</v>
      </c>
      <c r="P53" s="50"/>
      <c r="Q53" s="96"/>
      <c r="R53" s="199" t="s">
        <v>269</v>
      </c>
      <c r="S53" s="197" t="s">
        <v>889</v>
      </c>
      <c r="T53" s="117">
        <v>644753.34000000008</v>
      </c>
      <c r="U53" s="129">
        <v>-770341.21</v>
      </c>
      <c r="V53" s="320">
        <v>-125587.86999999988</v>
      </c>
      <c r="AE53"/>
      <c r="AF53"/>
      <c r="AG53"/>
      <c r="AH53"/>
      <c r="AI53"/>
      <c r="AJ53"/>
      <c r="BA53" s="199" t="s">
        <v>269</v>
      </c>
      <c r="BB53" s="197" t="s">
        <v>889</v>
      </c>
      <c r="BC53" s="77">
        <f t="shared" si="1"/>
        <v>0</v>
      </c>
      <c r="BE53" s="50" t="s">
        <v>269</v>
      </c>
      <c r="BF53" s="50" t="s">
        <v>889</v>
      </c>
      <c r="BG53" s="376">
        <v>555688.07999999996</v>
      </c>
    </row>
    <row r="54" spans="1:59">
      <c r="A54" s="199" t="s">
        <v>271</v>
      </c>
      <c r="B54" s="197" t="s">
        <v>890</v>
      </c>
      <c r="C54" s="326">
        <v>26139.250000000007</v>
      </c>
      <c r="D54" s="198">
        <v>-65072.29</v>
      </c>
      <c r="E54" s="198">
        <v>-26244.080000000002</v>
      </c>
      <c r="F54" s="378">
        <v>-49065.52</v>
      </c>
      <c r="G54" s="128">
        <f t="shared" si="0"/>
        <v>-114242.63999999998</v>
      </c>
      <c r="I54" s="220"/>
      <c r="J54" s="221"/>
      <c r="K54" s="199" t="s">
        <v>271</v>
      </c>
      <c r="L54" s="197" t="s">
        <v>890</v>
      </c>
      <c r="M54" s="117">
        <f>+C54</f>
        <v>26139.250000000007</v>
      </c>
      <c r="N54" s="198">
        <v>-65072.29</v>
      </c>
      <c r="O54" s="279">
        <f t="shared" si="2"/>
        <v>-38933.039999999994</v>
      </c>
      <c r="P54" s="50"/>
      <c r="Q54" s="96"/>
      <c r="R54" s="199" t="s">
        <v>271</v>
      </c>
      <c r="S54" s="197" t="s">
        <v>890</v>
      </c>
      <c r="T54" s="117">
        <v>58896.780000000006</v>
      </c>
      <c r="U54" s="129">
        <v>-32757.53</v>
      </c>
      <c r="V54" s="320">
        <v>26139.250000000007</v>
      </c>
      <c r="AE54"/>
      <c r="AF54"/>
      <c r="AG54"/>
      <c r="AH54"/>
      <c r="AI54"/>
      <c r="AJ54"/>
      <c r="BA54" s="199" t="s">
        <v>271</v>
      </c>
      <c r="BB54" s="197" t="s">
        <v>890</v>
      </c>
      <c r="BC54" s="77">
        <f t="shared" si="1"/>
        <v>0</v>
      </c>
      <c r="BE54" s="50" t="s">
        <v>271</v>
      </c>
      <c r="BF54" s="50" t="s">
        <v>890</v>
      </c>
      <c r="BG54" s="376">
        <v>-49065.52</v>
      </c>
    </row>
    <row r="55" spans="1:59">
      <c r="A55" s="199" t="s">
        <v>275</v>
      </c>
      <c r="B55" s="197" t="s">
        <v>891</v>
      </c>
      <c r="C55" s="324">
        <v>-54864.09</v>
      </c>
      <c r="D55" s="198">
        <v>-54044.06</v>
      </c>
      <c r="E55" s="198">
        <v>-39047.81</v>
      </c>
      <c r="F55" s="378">
        <v>-38899.71</v>
      </c>
      <c r="G55" s="128">
        <f t="shared" si="0"/>
        <v>-186855.66999999998</v>
      </c>
      <c r="I55" s="220"/>
      <c r="J55" s="221"/>
      <c r="K55" s="199" t="s">
        <v>275</v>
      </c>
      <c r="L55" s="197" t="s">
        <v>891</v>
      </c>
      <c r="M55" s="117"/>
      <c r="N55" s="198">
        <v>-54044.06</v>
      </c>
      <c r="O55" s="117">
        <f t="shared" si="2"/>
        <v>-54044.06</v>
      </c>
      <c r="P55" s="50"/>
      <c r="Q55" s="96"/>
      <c r="R55" s="199" t="s">
        <v>275</v>
      </c>
      <c r="S55" s="197" t="s">
        <v>891</v>
      </c>
      <c r="T55" s="117">
        <v>-43727.24</v>
      </c>
      <c r="U55" s="129">
        <v>-54864.09</v>
      </c>
      <c r="V55" s="315">
        <v>-54864.09</v>
      </c>
      <c r="AE55"/>
      <c r="AF55"/>
      <c r="AG55"/>
      <c r="AH55"/>
      <c r="AI55"/>
      <c r="AJ55"/>
      <c r="BA55" s="199" t="s">
        <v>275</v>
      </c>
      <c r="BB55" s="197" t="s">
        <v>891</v>
      </c>
      <c r="BC55" s="77">
        <f t="shared" si="1"/>
        <v>0</v>
      </c>
      <c r="BE55" s="50" t="s">
        <v>275</v>
      </c>
      <c r="BF55" s="50" t="s">
        <v>891</v>
      </c>
      <c r="BG55" s="376">
        <v>-38899.71</v>
      </c>
    </row>
    <row r="56" spans="1:59">
      <c r="A56" s="199" t="s">
        <v>277</v>
      </c>
      <c r="B56" s="197" t="s">
        <v>892</v>
      </c>
      <c r="C56" s="324">
        <v>-51746.28</v>
      </c>
      <c r="D56" s="198">
        <v>-44626.44</v>
      </c>
      <c r="E56" s="198">
        <v>-53071.63</v>
      </c>
      <c r="F56" s="378">
        <v>-66877.39</v>
      </c>
      <c r="G56" s="128">
        <f t="shared" si="0"/>
        <v>-216321.74</v>
      </c>
      <c r="I56" s="220"/>
      <c r="J56" s="221"/>
      <c r="K56" s="199" t="s">
        <v>277</v>
      </c>
      <c r="L56" s="197" t="s">
        <v>892</v>
      </c>
      <c r="M56" s="117"/>
      <c r="N56" s="198">
        <v>-44626.44</v>
      </c>
      <c r="O56" s="117">
        <f t="shared" si="2"/>
        <v>-44626.44</v>
      </c>
      <c r="P56" s="50"/>
      <c r="Q56" s="96"/>
      <c r="R56" s="199" t="s">
        <v>277</v>
      </c>
      <c r="S56" s="197" t="s">
        <v>892</v>
      </c>
      <c r="T56" s="117">
        <v>-45731.63</v>
      </c>
      <c r="U56" s="129">
        <v>-51746.28</v>
      </c>
      <c r="V56" s="315">
        <v>-51746.28</v>
      </c>
      <c r="AE56"/>
      <c r="AF56"/>
      <c r="AG56"/>
      <c r="AH56"/>
      <c r="AI56"/>
      <c r="AJ56"/>
      <c r="BA56" s="199" t="s">
        <v>277</v>
      </c>
      <c r="BB56" s="197" t="s">
        <v>892</v>
      </c>
      <c r="BC56" s="77">
        <f t="shared" si="1"/>
        <v>0</v>
      </c>
      <c r="BE56" s="50" t="s">
        <v>277</v>
      </c>
      <c r="BF56" s="50" t="s">
        <v>892</v>
      </c>
      <c r="BG56" s="376">
        <v>-66877.39</v>
      </c>
    </row>
    <row r="57" spans="1:59">
      <c r="A57" s="199" t="s">
        <v>279</v>
      </c>
      <c r="B57" s="197" t="s">
        <v>893</v>
      </c>
      <c r="C57" s="326">
        <v>219380.47000000003</v>
      </c>
      <c r="D57" s="198">
        <v>-26143.94</v>
      </c>
      <c r="E57" s="198">
        <v>-28393.47</v>
      </c>
      <c r="F57" s="378">
        <v>-92415.82</v>
      </c>
      <c r="G57" s="128">
        <f t="shared" si="0"/>
        <v>72427.24000000002</v>
      </c>
      <c r="I57" s="220"/>
      <c r="J57" s="221"/>
      <c r="K57" s="199" t="s">
        <v>279</v>
      </c>
      <c r="L57" s="197" t="s">
        <v>893</v>
      </c>
      <c r="M57" s="117">
        <f>+C57</f>
        <v>219380.47000000003</v>
      </c>
      <c r="N57" s="198">
        <v>-26143.94</v>
      </c>
      <c r="O57" s="279">
        <f t="shared" si="2"/>
        <v>193236.53000000003</v>
      </c>
      <c r="P57" s="50"/>
      <c r="Q57" s="96"/>
      <c r="R57" s="199" t="s">
        <v>279</v>
      </c>
      <c r="S57" s="197" t="s">
        <v>893</v>
      </c>
      <c r="T57" s="117">
        <v>168134.68000000002</v>
      </c>
      <c r="U57" s="129">
        <v>51245.79</v>
      </c>
      <c r="V57" s="320">
        <v>219380.47000000003</v>
      </c>
      <c r="AE57"/>
      <c r="AF57"/>
      <c r="AG57"/>
      <c r="AH57"/>
      <c r="AI57"/>
      <c r="AJ57"/>
      <c r="BA57" s="199" t="s">
        <v>279</v>
      </c>
      <c r="BB57" s="197" t="s">
        <v>893</v>
      </c>
      <c r="BC57" s="77">
        <f t="shared" si="1"/>
        <v>0</v>
      </c>
      <c r="BE57" s="50" t="s">
        <v>279</v>
      </c>
      <c r="BF57" s="50" t="s">
        <v>893</v>
      </c>
      <c r="BG57" s="376">
        <v>-92415.82</v>
      </c>
    </row>
    <row r="58" spans="1:59">
      <c r="A58" s="199" t="s">
        <v>281</v>
      </c>
      <c r="B58" s="197" t="s">
        <v>894</v>
      </c>
      <c r="C58" s="324">
        <v>-180958.89</v>
      </c>
      <c r="D58" s="198">
        <v>-196365.39</v>
      </c>
      <c r="E58" s="198">
        <v>-173786.97</v>
      </c>
      <c r="F58" s="378">
        <v>-298716.82</v>
      </c>
      <c r="G58" s="128">
        <f t="shared" si="0"/>
        <v>-849828.07000000007</v>
      </c>
      <c r="I58" s="220"/>
      <c r="J58" s="221"/>
      <c r="K58" s="199" t="s">
        <v>281</v>
      </c>
      <c r="L58" s="197" t="s">
        <v>894</v>
      </c>
      <c r="M58" s="117"/>
      <c r="N58" s="198">
        <v>-196365.39</v>
      </c>
      <c r="O58" s="117">
        <f t="shared" si="2"/>
        <v>-196365.39</v>
      </c>
      <c r="P58" s="50"/>
      <c r="Q58" s="96"/>
      <c r="R58" s="199" t="s">
        <v>281</v>
      </c>
      <c r="S58" s="197" t="s">
        <v>894</v>
      </c>
      <c r="T58" s="117">
        <v>-223306.19</v>
      </c>
      <c r="U58" s="129">
        <v>-180958.89</v>
      </c>
      <c r="V58" s="315">
        <v>-180958.89</v>
      </c>
      <c r="AE58"/>
      <c r="AF58"/>
      <c r="AG58"/>
      <c r="AH58"/>
      <c r="AI58"/>
      <c r="AJ58"/>
      <c r="BA58" s="199" t="s">
        <v>281</v>
      </c>
      <c r="BB58" s="197" t="s">
        <v>894</v>
      </c>
      <c r="BC58" s="77">
        <f t="shared" si="1"/>
        <v>0</v>
      </c>
      <c r="BE58" s="50" t="s">
        <v>281</v>
      </c>
      <c r="BF58" s="50" t="s">
        <v>894</v>
      </c>
      <c r="BG58" s="376">
        <v>-298716.82</v>
      </c>
    </row>
    <row r="59" spans="1:59">
      <c r="A59" s="199" t="s">
        <v>283</v>
      </c>
      <c r="B59" s="197" t="s">
        <v>895</v>
      </c>
      <c r="C59" s="326">
        <v>74974.009999999995</v>
      </c>
      <c r="D59" s="198">
        <v>34326.699999999997</v>
      </c>
      <c r="E59" s="198">
        <v>12624.18</v>
      </c>
      <c r="F59" s="378">
        <v>-26625.59</v>
      </c>
      <c r="G59" s="128">
        <f t="shared" si="0"/>
        <v>95299.299999999988</v>
      </c>
      <c r="I59" s="220"/>
      <c r="J59" s="221"/>
      <c r="K59" s="199" t="s">
        <v>283</v>
      </c>
      <c r="L59" s="197" t="s">
        <v>895</v>
      </c>
      <c r="M59" s="117">
        <f>+C59</f>
        <v>74974.009999999995</v>
      </c>
      <c r="N59" s="198">
        <v>34326.699999999997</v>
      </c>
      <c r="O59" s="279">
        <f t="shared" si="2"/>
        <v>109300.70999999999</v>
      </c>
      <c r="P59" s="50"/>
      <c r="Q59" s="96"/>
      <c r="R59" s="199" t="s">
        <v>283</v>
      </c>
      <c r="S59" s="197" t="s">
        <v>895</v>
      </c>
      <c r="T59" s="117">
        <v>0</v>
      </c>
      <c r="U59" s="129">
        <v>74974.009999999995</v>
      </c>
      <c r="V59" s="320">
        <v>74974.009999999995</v>
      </c>
      <c r="AE59"/>
      <c r="AF59"/>
      <c r="AG59"/>
      <c r="AH59"/>
      <c r="AI59"/>
      <c r="AJ59"/>
      <c r="BA59" s="199" t="s">
        <v>283</v>
      </c>
      <c r="BB59" s="197" t="s">
        <v>895</v>
      </c>
      <c r="BC59" s="77">
        <f t="shared" si="1"/>
        <v>0</v>
      </c>
      <c r="BE59" s="50" t="s">
        <v>283</v>
      </c>
      <c r="BF59" s="50" t="s">
        <v>895</v>
      </c>
      <c r="BG59" s="376">
        <v>-26625.59</v>
      </c>
    </row>
    <row r="60" spans="1:59">
      <c r="A60" s="199" t="s">
        <v>285</v>
      </c>
      <c r="B60" s="197" t="s">
        <v>896</v>
      </c>
      <c r="C60" s="324">
        <v>-68980.990000000005</v>
      </c>
      <c r="D60" s="198">
        <v>-77722.22</v>
      </c>
      <c r="E60" s="198">
        <v>-79401.75</v>
      </c>
      <c r="F60" s="378">
        <v>-70255.05</v>
      </c>
      <c r="G60" s="128">
        <f t="shared" si="0"/>
        <v>-296360.01</v>
      </c>
      <c r="I60" s="220"/>
      <c r="J60" s="221"/>
      <c r="K60" s="199" t="s">
        <v>285</v>
      </c>
      <c r="L60" s="197" t="s">
        <v>896</v>
      </c>
      <c r="M60" s="117"/>
      <c r="N60" s="198">
        <v>-77722.22</v>
      </c>
      <c r="O60" s="117">
        <f t="shared" si="2"/>
        <v>-77722.22</v>
      </c>
      <c r="P60" s="50"/>
      <c r="Q60" s="96"/>
      <c r="R60" s="199" t="s">
        <v>285</v>
      </c>
      <c r="S60" s="197" t="s">
        <v>896</v>
      </c>
      <c r="T60" s="117">
        <v>-63551.91</v>
      </c>
      <c r="U60" s="129">
        <v>-68980.990000000005</v>
      </c>
      <c r="V60" s="315">
        <v>-68980.990000000005</v>
      </c>
      <c r="AE60"/>
      <c r="AF60"/>
      <c r="AG60"/>
      <c r="AH60"/>
      <c r="AI60"/>
      <c r="AJ60"/>
      <c r="BA60" s="199" t="s">
        <v>285</v>
      </c>
      <c r="BB60" s="197" t="s">
        <v>896</v>
      </c>
      <c r="BC60" s="77">
        <f t="shared" si="1"/>
        <v>0</v>
      </c>
      <c r="BE60" s="50" t="s">
        <v>285</v>
      </c>
      <c r="BF60" s="50" t="s">
        <v>896</v>
      </c>
      <c r="BG60" s="376">
        <v>-70255.05</v>
      </c>
    </row>
    <row r="61" spans="1:59">
      <c r="A61" s="199" t="s">
        <v>287</v>
      </c>
      <c r="B61" s="197" t="s">
        <v>897</v>
      </c>
      <c r="C61" s="324">
        <v>-117927.15</v>
      </c>
      <c r="D61" s="198">
        <v>-145625.35999999999</v>
      </c>
      <c r="E61" s="198">
        <v>-198263.72</v>
      </c>
      <c r="F61" s="378">
        <v>-168878.65</v>
      </c>
      <c r="G61" s="128">
        <f t="shared" si="0"/>
        <v>-630694.88</v>
      </c>
      <c r="I61" s="220"/>
      <c r="J61" s="221"/>
      <c r="K61" s="199" t="s">
        <v>287</v>
      </c>
      <c r="L61" s="197" t="s">
        <v>897</v>
      </c>
      <c r="M61" s="117"/>
      <c r="N61" s="198">
        <v>-145625.35999999999</v>
      </c>
      <c r="O61" s="117">
        <f t="shared" si="2"/>
        <v>-145625.35999999999</v>
      </c>
      <c r="P61" s="50"/>
      <c r="Q61" s="96"/>
      <c r="R61" s="199" t="s">
        <v>287</v>
      </c>
      <c r="S61" s="197" t="s">
        <v>897</v>
      </c>
      <c r="T61" s="117">
        <v>-151785.44</v>
      </c>
      <c r="U61" s="129">
        <v>-117927.15</v>
      </c>
      <c r="V61" s="315">
        <v>-117927.15</v>
      </c>
      <c r="AE61"/>
      <c r="AF61"/>
      <c r="AG61"/>
      <c r="AH61"/>
      <c r="AI61"/>
      <c r="AJ61"/>
      <c r="BA61" s="199" t="s">
        <v>287</v>
      </c>
      <c r="BB61" s="197" t="s">
        <v>897</v>
      </c>
      <c r="BC61" s="77">
        <f t="shared" si="1"/>
        <v>0</v>
      </c>
      <c r="BE61" s="50" t="s">
        <v>287</v>
      </c>
      <c r="BF61" s="50" t="s">
        <v>897</v>
      </c>
      <c r="BG61" s="376">
        <v>-168878.65</v>
      </c>
    </row>
    <row r="62" spans="1:59">
      <c r="A62" s="199" t="s">
        <v>289</v>
      </c>
      <c r="B62" s="197" t="s">
        <v>898</v>
      </c>
      <c r="C62" s="326">
        <v>30452.18</v>
      </c>
      <c r="D62" s="198">
        <v>-42924.43</v>
      </c>
      <c r="E62" s="198">
        <v>-11454.02</v>
      </c>
      <c r="F62" s="378">
        <v>-130071.37</v>
      </c>
      <c r="G62" s="128">
        <f t="shared" si="0"/>
        <v>-153997.63999999998</v>
      </c>
      <c r="I62" s="220"/>
      <c r="J62" s="221"/>
      <c r="K62" s="199" t="s">
        <v>289</v>
      </c>
      <c r="L62" s="197" t="s">
        <v>898</v>
      </c>
      <c r="M62" s="117">
        <f>+C62</f>
        <v>30452.18</v>
      </c>
      <c r="N62" s="198">
        <v>-42924.43</v>
      </c>
      <c r="O62" s="279">
        <f t="shared" si="2"/>
        <v>-12472.25</v>
      </c>
      <c r="P62" s="50"/>
      <c r="Q62" s="96"/>
      <c r="R62" s="199" t="s">
        <v>289</v>
      </c>
      <c r="S62" s="197" t="s">
        <v>898</v>
      </c>
      <c r="T62" s="117">
        <v>81204.19</v>
      </c>
      <c r="U62" s="129">
        <v>-50752.01</v>
      </c>
      <c r="V62" s="320">
        <v>30452.18</v>
      </c>
      <c r="AE62"/>
      <c r="AF62"/>
      <c r="AG62"/>
      <c r="AH62"/>
      <c r="AI62"/>
      <c r="AJ62"/>
      <c r="BA62" s="199" t="s">
        <v>289</v>
      </c>
      <c r="BB62" s="197" t="s">
        <v>898</v>
      </c>
      <c r="BC62" s="77">
        <f t="shared" si="1"/>
        <v>0</v>
      </c>
      <c r="BE62" s="50" t="s">
        <v>289</v>
      </c>
      <c r="BF62" s="50" t="s">
        <v>898</v>
      </c>
      <c r="BG62" s="376">
        <v>-130071.37</v>
      </c>
    </row>
    <row r="63" spans="1:59">
      <c r="A63" s="199" t="s">
        <v>291</v>
      </c>
      <c r="B63" s="197" t="s">
        <v>899</v>
      </c>
      <c r="C63" s="324">
        <v>-365180.77</v>
      </c>
      <c r="D63" s="198">
        <v>-611544.76</v>
      </c>
      <c r="E63" s="198">
        <v>-806643.99</v>
      </c>
      <c r="F63" s="378">
        <v>-767306.53</v>
      </c>
      <c r="G63" s="128">
        <f t="shared" si="0"/>
        <v>-2550676.0499999998</v>
      </c>
      <c r="I63" s="220"/>
      <c r="J63" s="221"/>
      <c r="K63" s="199" t="s">
        <v>291</v>
      </c>
      <c r="L63" s="197" t="s">
        <v>899</v>
      </c>
      <c r="M63" s="117"/>
      <c r="N63" s="198">
        <v>-611544.76</v>
      </c>
      <c r="O63" s="117">
        <f t="shared" si="2"/>
        <v>-611544.76</v>
      </c>
      <c r="P63" s="50"/>
      <c r="Q63" s="96"/>
      <c r="R63" s="199" t="s">
        <v>291</v>
      </c>
      <c r="S63" s="197" t="s">
        <v>899</v>
      </c>
      <c r="T63" s="117">
        <v>-435217.16</v>
      </c>
      <c r="U63" s="129">
        <v>-365180.77</v>
      </c>
      <c r="V63" s="315">
        <v>-365180.77</v>
      </c>
      <c r="AE63"/>
      <c r="AF63"/>
      <c r="AG63"/>
      <c r="AH63"/>
      <c r="AI63"/>
      <c r="AJ63"/>
      <c r="BA63" s="199" t="s">
        <v>291</v>
      </c>
      <c r="BB63" s="197" t="s">
        <v>899</v>
      </c>
      <c r="BC63" s="77">
        <f t="shared" si="1"/>
        <v>0</v>
      </c>
      <c r="BE63" s="50" t="s">
        <v>291</v>
      </c>
      <c r="BF63" s="50" t="s">
        <v>899</v>
      </c>
      <c r="BG63" s="376">
        <v>-767306.53</v>
      </c>
    </row>
    <row r="64" spans="1:59">
      <c r="A64" s="199" t="s">
        <v>293</v>
      </c>
      <c r="B64" s="197" t="s">
        <v>900</v>
      </c>
      <c r="C64" s="324">
        <v>-151214.32</v>
      </c>
      <c r="D64" s="198">
        <v>-234094.46</v>
      </c>
      <c r="E64" s="198">
        <v>-157830.34</v>
      </c>
      <c r="F64" s="378">
        <v>-198812.45</v>
      </c>
      <c r="G64" s="128">
        <f t="shared" si="0"/>
        <v>-741951.57000000007</v>
      </c>
      <c r="I64" s="220"/>
      <c r="J64" s="221"/>
      <c r="K64" s="199" t="s">
        <v>293</v>
      </c>
      <c r="L64" s="197" t="s">
        <v>900</v>
      </c>
      <c r="M64" s="117"/>
      <c r="N64" s="198">
        <v>-234094.46</v>
      </c>
      <c r="O64" s="117">
        <f t="shared" si="2"/>
        <v>-234094.46</v>
      </c>
      <c r="P64" s="50"/>
      <c r="Q64" s="96"/>
      <c r="R64" s="199" t="s">
        <v>293</v>
      </c>
      <c r="S64" s="197" t="s">
        <v>900</v>
      </c>
      <c r="T64" s="117">
        <v>-134479.93</v>
      </c>
      <c r="U64" s="129">
        <v>-151214.32</v>
      </c>
      <c r="V64" s="315">
        <v>-151214.32</v>
      </c>
      <c r="AE64"/>
      <c r="AF64"/>
      <c r="AG64"/>
      <c r="AH64"/>
      <c r="AI64"/>
      <c r="AJ64"/>
      <c r="BA64" s="199" t="s">
        <v>293</v>
      </c>
      <c r="BB64" s="197" t="s">
        <v>900</v>
      </c>
      <c r="BC64" s="77">
        <f t="shared" si="1"/>
        <v>0</v>
      </c>
      <c r="BE64" s="50" t="s">
        <v>293</v>
      </c>
      <c r="BF64" s="50" t="s">
        <v>900</v>
      </c>
      <c r="BG64" s="376">
        <v>-198812.45</v>
      </c>
    </row>
    <row r="65" spans="1:59">
      <c r="A65" s="199" t="s">
        <v>295</v>
      </c>
      <c r="B65" s="197" t="s">
        <v>901</v>
      </c>
      <c r="C65" s="324">
        <v>-78117.5</v>
      </c>
      <c r="D65" s="198">
        <v>-79330.69</v>
      </c>
      <c r="E65" s="198">
        <v>-53546.06</v>
      </c>
      <c r="F65" s="378">
        <v>-55906.86</v>
      </c>
      <c r="G65" s="128">
        <f t="shared" si="0"/>
        <v>-266901.11</v>
      </c>
      <c r="I65" s="220"/>
      <c r="J65" s="221"/>
      <c r="K65" s="199" t="s">
        <v>295</v>
      </c>
      <c r="L65" s="197" t="s">
        <v>901</v>
      </c>
      <c r="M65" s="117"/>
      <c r="N65" s="198">
        <v>-79330.69</v>
      </c>
      <c r="O65" s="117">
        <f t="shared" si="2"/>
        <v>-79330.69</v>
      </c>
      <c r="P65" s="50"/>
      <c r="Q65" s="96"/>
      <c r="R65" s="199" t="s">
        <v>295</v>
      </c>
      <c r="S65" s="197" t="s">
        <v>901</v>
      </c>
      <c r="T65" s="117">
        <v>-66282.05</v>
      </c>
      <c r="U65" s="129">
        <v>-78117.5</v>
      </c>
      <c r="V65" s="315">
        <v>-78117.5</v>
      </c>
      <c r="AE65"/>
      <c r="AF65"/>
      <c r="AG65"/>
      <c r="AH65"/>
      <c r="AI65"/>
      <c r="AJ65"/>
      <c r="BA65" s="199" t="s">
        <v>295</v>
      </c>
      <c r="BB65" s="197" t="s">
        <v>901</v>
      </c>
      <c r="BC65" s="77">
        <f t="shared" si="1"/>
        <v>0</v>
      </c>
      <c r="BE65" s="50" t="s">
        <v>295</v>
      </c>
      <c r="BF65" s="50" t="s">
        <v>901</v>
      </c>
      <c r="BG65" s="376">
        <v>-55906.86</v>
      </c>
    </row>
    <row r="66" spans="1:59">
      <c r="A66" s="199" t="s">
        <v>297</v>
      </c>
      <c r="B66" s="197" t="s">
        <v>902</v>
      </c>
      <c r="C66" s="324">
        <v>-58319.41</v>
      </c>
      <c r="D66" s="198">
        <v>-60365.17</v>
      </c>
      <c r="E66" s="198">
        <v>-76982.92</v>
      </c>
      <c r="F66" s="378">
        <v>-93625.48</v>
      </c>
      <c r="G66" s="128">
        <f t="shared" ref="G66:G130" si="3">SUM(C66:F66)</f>
        <v>-289292.98</v>
      </c>
      <c r="I66" s="220"/>
      <c r="J66" s="221"/>
      <c r="K66" s="199" t="s">
        <v>297</v>
      </c>
      <c r="L66" s="197" t="s">
        <v>902</v>
      </c>
      <c r="M66" s="117"/>
      <c r="N66" s="198">
        <v>-60365.17</v>
      </c>
      <c r="O66" s="117">
        <f t="shared" si="2"/>
        <v>-60365.17</v>
      </c>
      <c r="P66" s="50"/>
      <c r="Q66" s="96"/>
      <c r="R66" s="199" t="s">
        <v>297</v>
      </c>
      <c r="S66" s="197" t="s">
        <v>902</v>
      </c>
      <c r="T66" s="117">
        <v>-76198.38</v>
      </c>
      <c r="U66" s="129">
        <v>-58319.41</v>
      </c>
      <c r="V66" s="315">
        <v>-58319.41</v>
      </c>
      <c r="AE66"/>
      <c r="AF66"/>
      <c r="AG66"/>
      <c r="AH66"/>
      <c r="AI66"/>
      <c r="AJ66"/>
      <c r="BA66" s="199" t="s">
        <v>297</v>
      </c>
      <c r="BB66" s="197" t="s">
        <v>902</v>
      </c>
      <c r="BC66" s="77">
        <f t="shared" si="1"/>
        <v>0</v>
      </c>
      <c r="BE66" s="50" t="s">
        <v>297</v>
      </c>
      <c r="BF66" s="50" t="s">
        <v>902</v>
      </c>
      <c r="BG66" s="376">
        <v>-93625.48</v>
      </c>
    </row>
    <row r="67" spans="1:59">
      <c r="A67" s="199" t="s">
        <v>299</v>
      </c>
      <c r="B67" s="197" t="s">
        <v>903</v>
      </c>
      <c r="C67" s="324">
        <v>-178143.28</v>
      </c>
      <c r="D67" s="198">
        <v>-160428.53</v>
      </c>
      <c r="E67" s="198">
        <v>-568359</v>
      </c>
      <c r="F67" s="378">
        <v>-636876.06999999995</v>
      </c>
      <c r="G67" s="128">
        <f t="shared" si="3"/>
        <v>-1543806.88</v>
      </c>
      <c r="I67" s="220"/>
      <c r="J67" s="221"/>
      <c r="K67" s="199" t="s">
        <v>299</v>
      </c>
      <c r="L67" s="197" t="s">
        <v>903</v>
      </c>
      <c r="M67" s="117"/>
      <c r="N67" s="198">
        <v>-160428.53</v>
      </c>
      <c r="O67" s="117">
        <f t="shared" ref="O67:O133" si="4">+M67+N67</f>
        <v>-160428.53</v>
      </c>
      <c r="P67" s="50"/>
      <c r="Q67" s="96"/>
      <c r="R67" s="199" t="s">
        <v>299</v>
      </c>
      <c r="S67" s="197" t="s">
        <v>903</v>
      </c>
      <c r="T67" s="117">
        <v>-227492.04</v>
      </c>
      <c r="U67" s="129">
        <v>-178143.28</v>
      </c>
      <c r="V67" s="315">
        <v>-178143.28</v>
      </c>
      <c r="AE67"/>
      <c r="AF67"/>
      <c r="AG67"/>
      <c r="AH67"/>
      <c r="AI67"/>
      <c r="AJ67"/>
      <c r="BA67" s="199" t="s">
        <v>299</v>
      </c>
      <c r="BB67" s="197" t="s">
        <v>903</v>
      </c>
      <c r="BC67" s="77">
        <f t="shared" ref="BC67:BC131" si="5">+BE67-BA67</f>
        <v>0</v>
      </c>
      <c r="BE67" s="50" t="s">
        <v>299</v>
      </c>
      <c r="BF67" s="50" t="s">
        <v>903</v>
      </c>
      <c r="BG67" s="376">
        <v>-636876.06999999995</v>
      </c>
    </row>
    <row r="68" spans="1:59">
      <c r="A68" s="199" t="s">
        <v>301</v>
      </c>
      <c r="B68" s="197" t="s">
        <v>904</v>
      </c>
      <c r="C68" s="328">
        <v>0</v>
      </c>
      <c r="D68" s="198">
        <v>-103353.01</v>
      </c>
      <c r="E68" s="198">
        <v>-88044.57</v>
      </c>
      <c r="F68" s="378">
        <v>-93628.38</v>
      </c>
      <c r="G68" s="128">
        <f t="shared" si="3"/>
        <v>-285025.96000000002</v>
      </c>
      <c r="I68" s="220"/>
      <c r="J68" s="221"/>
      <c r="K68" s="199" t="s">
        <v>301</v>
      </c>
      <c r="L68" s="197" t="s">
        <v>904</v>
      </c>
      <c r="M68" s="117"/>
      <c r="N68" s="198">
        <v>-103353.01</v>
      </c>
      <c r="O68" s="117">
        <f t="shared" si="4"/>
        <v>-103353.01</v>
      </c>
      <c r="P68" s="50"/>
      <c r="Q68" s="96"/>
      <c r="R68" s="199" t="s">
        <v>301</v>
      </c>
      <c r="S68" s="197" t="s">
        <v>904</v>
      </c>
      <c r="T68" s="117">
        <v>-39771.300000000003</v>
      </c>
      <c r="U68" s="129">
        <v>8769.31</v>
      </c>
      <c r="V68" s="321">
        <v>0</v>
      </c>
      <c r="AE68"/>
      <c r="AF68"/>
      <c r="AG68"/>
      <c r="AH68"/>
      <c r="AI68"/>
      <c r="AJ68"/>
      <c r="BA68" s="199" t="s">
        <v>301</v>
      </c>
      <c r="BB68" s="197" t="s">
        <v>904</v>
      </c>
      <c r="BC68" s="77">
        <f t="shared" si="5"/>
        <v>0</v>
      </c>
      <c r="BE68" s="50" t="s">
        <v>301</v>
      </c>
      <c r="BF68" s="50" t="s">
        <v>904</v>
      </c>
      <c r="BG68" s="376">
        <v>-93628.38</v>
      </c>
    </row>
    <row r="69" spans="1:59">
      <c r="A69" s="199" t="s">
        <v>303</v>
      </c>
      <c r="B69" s="197" t="s">
        <v>905</v>
      </c>
      <c r="C69" s="324">
        <v>-37707.300000000003</v>
      </c>
      <c r="D69" s="198">
        <v>-63771.44</v>
      </c>
      <c r="E69" s="198">
        <v>-90308.17</v>
      </c>
      <c r="F69" s="378">
        <v>-148516.96</v>
      </c>
      <c r="G69" s="128">
        <f t="shared" si="3"/>
        <v>-340303.87</v>
      </c>
      <c r="I69" s="220"/>
      <c r="J69" s="221"/>
      <c r="K69" s="199" t="s">
        <v>303</v>
      </c>
      <c r="L69" s="197" t="s">
        <v>905</v>
      </c>
      <c r="M69" s="117"/>
      <c r="N69" s="198">
        <v>-63771.44</v>
      </c>
      <c r="O69" s="117">
        <f t="shared" si="4"/>
        <v>-63771.44</v>
      </c>
      <c r="P69" s="50"/>
      <c r="Q69" s="96"/>
      <c r="R69" s="199" t="s">
        <v>303</v>
      </c>
      <c r="S69" s="197" t="s">
        <v>905</v>
      </c>
      <c r="T69" s="117">
        <v>-42603.61</v>
      </c>
      <c r="U69" s="129">
        <v>-37707.300000000003</v>
      </c>
      <c r="V69" s="315">
        <v>-37707.300000000003</v>
      </c>
      <c r="AE69"/>
      <c r="AF69"/>
      <c r="AG69"/>
      <c r="AH69"/>
      <c r="AI69"/>
      <c r="AJ69"/>
      <c r="BA69" s="199" t="s">
        <v>303</v>
      </c>
      <c r="BB69" s="197" t="s">
        <v>905</v>
      </c>
      <c r="BC69" s="77">
        <f t="shared" si="5"/>
        <v>0</v>
      </c>
      <c r="BE69" s="50" t="s">
        <v>303</v>
      </c>
      <c r="BF69" s="50" t="s">
        <v>905</v>
      </c>
      <c r="BG69" s="376">
        <v>-148516.96</v>
      </c>
    </row>
    <row r="70" spans="1:59">
      <c r="A70" s="199" t="s">
        <v>305</v>
      </c>
      <c r="B70" s="197" t="s">
        <v>906</v>
      </c>
      <c r="C70" s="324">
        <v>-35838.86</v>
      </c>
      <c r="D70" s="198">
        <v>-42731.040000000001</v>
      </c>
      <c r="E70" s="198">
        <v>-109904.92</v>
      </c>
      <c r="F70" s="378">
        <v>-142818.17000000001</v>
      </c>
      <c r="G70" s="128">
        <f t="shared" si="3"/>
        <v>-331292.99</v>
      </c>
      <c r="I70" s="220"/>
      <c r="J70" s="221"/>
      <c r="K70" s="199" t="s">
        <v>305</v>
      </c>
      <c r="L70" s="197" t="s">
        <v>906</v>
      </c>
      <c r="M70" s="117"/>
      <c r="N70" s="198">
        <v>-42731.040000000001</v>
      </c>
      <c r="O70" s="117">
        <f t="shared" si="4"/>
        <v>-42731.040000000001</v>
      </c>
      <c r="P70" s="50"/>
      <c r="Q70" s="96"/>
      <c r="R70" s="199" t="s">
        <v>305</v>
      </c>
      <c r="S70" s="197" t="s">
        <v>906</v>
      </c>
      <c r="T70" s="117">
        <v>-36240.800000000003</v>
      </c>
      <c r="U70" s="129">
        <v>-35838.86</v>
      </c>
      <c r="V70" s="315">
        <v>-35838.86</v>
      </c>
      <c r="AE70"/>
      <c r="AF70"/>
      <c r="AG70"/>
      <c r="AH70"/>
      <c r="AI70"/>
      <c r="AJ70"/>
      <c r="BA70" s="199" t="s">
        <v>305</v>
      </c>
      <c r="BB70" s="197" t="s">
        <v>906</v>
      </c>
      <c r="BC70" s="77">
        <f t="shared" si="5"/>
        <v>0</v>
      </c>
      <c r="BE70" s="50" t="s">
        <v>305</v>
      </c>
      <c r="BF70" s="50" t="s">
        <v>906</v>
      </c>
      <c r="BG70" s="376">
        <v>-142818.17000000001</v>
      </c>
    </row>
    <row r="71" spans="1:59">
      <c r="A71" s="199" t="s">
        <v>307</v>
      </c>
      <c r="B71" s="197" t="s">
        <v>907</v>
      </c>
      <c r="C71" s="324">
        <v>-63032.43</v>
      </c>
      <c r="D71" s="198">
        <v>-49205.36</v>
      </c>
      <c r="E71" s="198">
        <v>-68264.800000000003</v>
      </c>
      <c r="F71" s="378">
        <v>-79939.77</v>
      </c>
      <c r="G71" s="128">
        <f t="shared" si="3"/>
        <v>-260442.36000000004</v>
      </c>
      <c r="I71" s="220"/>
      <c r="J71" s="221"/>
      <c r="K71" s="199" t="s">
        <v>307</v>
      </c>
      <c r="L71" s="197" t="s">
        <v>907</v>
      </c>
      <c r="M71" s="117"/>
      <c r="N71" s="198">
        <v>-49205.36</v>
      </c>
      <c r="O71" s="117">
        <f t="shared" si="4"/>
        <v>-49205.36</v>
      </c>
      <c r="P71" s="50"/>
      <c r="Q71" s="96"/>
      <c r="R71" s="199" t="s">
        <v>307</v>
      </c>
      <c r="S71" s="197" t="s">
        <v>907</v>
      </c>
      <c r="T71" s="117">
        <v>-68930.05</v>
      </c>
      <c r="U71" s="129">
        <v>-63032.43</v>
      </c>
      <c r="V71" s="315">
        <v>-63032.43</v>
      </c>
      <c r="AE71"/>
      <c r="AF71"/>
      <c r="AG71"/>
      <c r="AH71"/>
      <c r="AI71"/>
      <c r="AJ71"/>
      <c r="BA71" s="199" t="s">
        <v>307</v>
      </c>
      <c r="BB71" s="197" t="s">
        <v>907</v>
      </c>
      <c r="BC71" s="77">
        <f t="shared" si="5"/>
        <v>0</v>
      </c>
      <c r="BE71" s="50" t="s">
        <v>307</v>
      </c>
      <c r="BF71" s="50" t="s">
        <v>907</v>
      </c>
      <c r="BG71" s="376">
        <v>-79939.77</v>
      </c>
    </row>
    <row r="72" spans="1:59">
      <c r="A72" s="199" t="s">
        <v>309</v>
      </c>
      <c r="B72" s="197" t="s">
        <v>908</v>
      </c>
      <c r="C72" s="324">
        <v>-237367.55</v>
      </c>
      <c r="D72" s="198">
        <v>-264205.21000000002</v>
      </c>
      <c r="E72" s="198">
        <v>-252786.29</v>
      </c>
      <c r="F72" s="378">
        <v>-439443.66</v>
      </c>
      <c r="G72" s="128">
        <f t="shared" si="3"/>
        <v>-1193802.71</v>
      </c>
      <c r="I72" s="220"/>
      <c r="J72" s="221"/>
      <c r="K72" s="199" t="s">
        <v>309</v>
      </c>
      <c r="L72" s="197" t="s">
        <v>908</v>
      </c>
      <c r="M72" s="117"/>
      <c r="N72" s="198">
        <v>-264205.21000000002</v>
      </c>
      <c r="O72" s="117">
        <f t="shared" si="4"/>
        <v>-264205.21000000002</v>
      </c>
      <c r="P72" s="50"/>
      <c r="Q72" s="96"/>
      <c r="R72" s="199" t="s">
        <v>309</v>
      </c>
      <c r="S72" s="197" t="s">
        <v>908</v>
      </c>
      <c r="T72" s="117">
        <v>-315071.44</v>
      </c>
      <c r="U72" s="129">
        <v>-237367.55</v>
      </c>
      <c r="V72" s="315">
        <v>-237367.55</v>
      </c>
      <c r="AE72"/>
      <c r="AF72"/>
      <c r="AG72"/>
      <c r="AH72"/>
      <c r="AI72"/>
      <c r="AJ72"/>
      <c r="BA72" s="199" t="s">
        <v>309</v>
      </c>
      <c r="BB72" s="197" t="s">
        <v>908</v>
      </c>
      <c r="BC72" s="77">
        <f t="shared" si="5"/>
        <v>0</v>
      </c>
      <c r="BE72" s="50" t="s">
        <v>309</v>
      </c>
      <c r="BF72" s="50" t="s">
        <v>908</v>
      </c>
      <c r="BG72" s="376">
        <v>-439443.66</v>
      </c>
    </row>
    <row r="73" spans="1:59">
      <c r="A73" s="199" t="s">
        <v>311</v>
      </c>
      <c r="B73" s="197" t="s">
        <v>909</v>
      </c>
      <c r="C73" s="324">
        <v>-165664.91</v>
      </c>
      <c r="D73" s="198">
        <v>-250473.45</v>
      </c>
      <c r="E73" s="198">
        <v>-179304.11</v>
      </c>
      <c r="F73" s="378">
        <v>-199169</v>
      </c>
      <c r="G73" s="128">
        <f t="shared" si="3"/>
        <v>-794611.47</v>
      </c>
      <c r="I73" s="220"/>
      <c r="J73" s="221"/>
      <c r="K73" s="199" t="s">
        <v>311</v>
      </c>
      <c r="L73" s="197" t="s">
        <v>909</v>
      </c>
      <c r="M73" s="117"/>
      <c r="N73" s="198">
        <v>-250473.45</v>
      </c>
      <c r="O73" s="117">
        <f t="shared" si="4"/>
        <v>-250473.45</v>
      </c>
      <c r="P73" s="50"/>
      <c r="Q73" s="96"/>
      <c r="R73" s="199" t="s">
        <v>311</v>
      </c>
      <c r="S73" s="197" t="s">
        <v>909</v>
      </c>
      <c r="T73" s="117">
        <v>-185432.51</v>
      </c>
      <c r="U73" s="129">
        <v>-165664.91</v>
      </c>
      <c r="V73" s="315">
        <v>-165664.91</v>
      </c>
      <c r="AE73"/>
      <c r="AF73"/>
      <c r="AG73"/>
      <c r="AH73"/>
      <c r="AI73"/>
      <c r="AJ73"/>
      <c r="BA73" s="199" t="s">
        <v>311</v>
      </c>
      <c r="BB73" s="197" t="s">
        <v>909</v>
      </c>
      <c r="BC73" s="77">
        <f t="shared" si="5"/>
        <v>0</v>
      </c>
      <c r="BE73" s="50" t="s">
        <v>311</v>
      </c>
      <c r="BF73" s="50" t="s">
        <v>909</v>
      </c>
      <c r="BG73" s="376">
        <v>-199169</v>
      </c>
    </row>
    <row r="74" spans="1:59">
      <c r="A74" s="199" t="s">
        <v>313</v>
      </c>
      <c r="B74" s="197" t="s">
        <v>910</v>
      </c>
      <c r="C74" s="324">
        <v>-52517.8</v>
      </c>
      <c r="D74" s="198">
        <v>-84335.81</v>
      </c>
      <c r="E74" s="198">
        <v>-77078.28</v>
      </c>
      <c r="F74" s="378">
        <v>-67684.72</v>
      </c>
      <c r="G74" s="128">
        <f t="shared" si="3"/>
        <v>-281616.61</v>
      </c>
      <c r="I74" s="220"/>
      <c r="J74" s="221"/>
      <c r="K74" s="199" t="s">
        <v>313</v>
      </c>
      <c r="L74" s="197" t="s">
        <v>910</v>
      </c>
      <c r="M74" s="117"/>
      <c r="N74" s="198">
        <v>-84335.81</v>
      </c>
      <c r="O74" s="117">
        <f t="shared" si="4"/>
        <v>-84335.81</v>
      </c>
      <c r="P74" s="50"/>
      <c r="Q74" s="96"/>
      <c r="R74" s="199" t="s">
        <v>313</v>
      </c>
      <c r="S74" s="197" t="s">
        <v>910</v>
      </c>
      <c r="T74" s="117">
        <v>-85363.56</v>
      </c>
      <c r="U74" s="129">
        <v>-52517.8</v>
      </c>
      <c r="V74" s="315">
        <v>-52517.8</v>
      </c>
      <c r="AE74"/>
      <c r="AF74"/>
      <c r="AG74"/>
      <c r="AH74"/>
      <c r="AI74"/>
      <c r="AJ74"/>
      <c r="BA74" s="199" t="s">
        <v>313</v>
      </c>
      <c r="BB74" s="197" t="s">
        <v>910</v>
      </c>
      <c r="BC74" s="77">
        <f t="shared" si="5"/>
        <v>0</v>
      </c>
      <c r="BE74" s="50" t="s">
        <v>313</v>
      </c>
      <c r="BF74" s="50" t="s">
        <v>910</v>
      </c>
      <c r="BG74" s="376">
        <v>-67684.72</v>
      </c>
    </row>
    <row r="75" spans="1:59">
      <c r="A75" s="199" t="s">
        <v>315</v>
      </c>
      <c r="B75" s="197" t="s">
        <v>911</v>
      </c>
      <c r="C75" s="324">
        <v>-18247.009999999998</v>
      </c>
      <c r="D75" s="198">
        <v>-22374.28</v>
      </c>
      <c r="E75" s="198">
        <v>-40601.07</v>
      </c>
      <c r="F75" s="378">
        <v>-15316.92</v>
      </c>
      <c r="G75" s="128">
        <f t="shared" si="3"/>
        <v>-96539.279999999984</v>
      </c>
      <c r="I75" s="220"/>
      <c r="J75" s="221"/>
      <c r="K75" s="199" t="s">
        <v>315</v>
      </c>
      <c r="L75" s="197" t="s">
        <v>911</v>
      </c>
      <c r="M75" s="117"/>
      <c r="N75" s="198">
        <v>-22374.28</v>
      </c>
      <c r="O75" s="117">
        <f t="shared" si="4"/>
        <v>-22374.28</v>
      </c>
      <c r="P75" s="50"/>
      <c r="Q75" s="96"/>
      <c r="R75" s="199" t="s">
        <v>315</v>
      </c>
      <c r="S75" s="197" t="s">
        <v>911</v>
      </c>
      <c r="T75" s="117">
        <v>-34071.03</v>
      </c>
      <c r="U75" s="129">
        <v>-18247.009999999998</v>
      </c>
      <c r="V75" s="315">
        <v>-18247.009999999998</v>
      </c>
      <c r="AE75"/>
      <c r="AF75"/>
      <c r="AG75"/>
      <c r="AH75"/>
      <c r="AI75"/>
      <c r="AJ75"/>
      <c r="BA75" s="199" t="s">
        <v>315</v>
      </c>
      <c r="BB75" s="197" t="s">
        <v>911</v>
      </c>
      <c r="BC75" s="77">
        <f t="shared" si="5"/>
        <v>0</v>
      </c>
      <c r="BE75" s="50" t="s">
        <v>315</v>
      </c>
      <c r="BF75" s="50" t="s">
        <v>911</v>
      </c>
      <c r="BG75" s="376">
        <v>-15316.92</v>
      </c>
    </row>
    <row r="76" spans="1:59">
      <c r="A76" s="199" t="s">
        <v>317</v>
      </c>
      <c r="B76" s="197" t="s">
        <v>912</v>
      </c>
      <c r="C76" s="324">
        <v>-18423.89</v>
      </c>
      <c r="D76" s="198">
        <v>-19797.849999999999</v>
      </c>
      <c r="E76" s="198">
        <v>-16880.95</v>
      </c>
      <c r="F76" s="378">
        <v>-17771.28</v>
      </c>
      <c r="G76" s="128">
        <f t="shared" si="3"/>
        <v>-72873.97</v>
      </c>
      <c r="I76" s="220"/>
      <c r="J76" s="221"/>
      <c r="K76" s="199" t="s">
        <v>317</v>
      </c>
      <c r="L76" s="197" t="s">
        <v>912</v>
      </c>
      <c r="M76" s="117"/>
      <c r="N76" s="198">
        <v>-19797.849999999999</v>
      </c>
      <c r="O76" s="117">
        <f t="shared" si="4"/>
        <v>-19797.849999999999</v>
      </c>
      <c r="P76" s="50"/>
      <c r="Q76" s="96"/>
      <c r="R76" s="199" t="s">
        <v>317</v>
      </c>
      <c r="S76" s="197" t="s">
        <v>912</v>
      </c>
      <c r="T76" s="117">
        <v>-17732.07</v>
      </c>
      <c r="U76" s="129">
        <v>-18423.89</v>
      </c>
      <c r="V76" s="315">
        <v>-18423.89</v>
      </c>
      <c r="AE76"/>
      <c r="AF76"/>
      <c r="AG76"/>
      <c r="AH76"/>
      <c r="AI76"/>
      <c r="AJ76"/>
      <c r="BA76" s="199" t="s">
        <v>317</v>
      </c>
      <c r="BB76" s="197" t="s">
        <v>912</v>
      </c>
      <c r="BC76" s="77">
        <f t="shared" si="5"/>
        <v>0</v>
      </c>
      <c r="BE76" s="50" t="s">
        <v>317</v>
      </c>
      <c r="BF76" s="50" t="s">
        <v>912</v>
      </c>
      <c r="BG76" s="376">
        <v>-17771.28</v>
      </c>
    </row>
    <row r="77" spans="1:59">
      <c r="A77" s="199" t="s">
        <v>319</v>
      </c>
      <c r="B77" s="197" t="s">
        <v>913</v>
      </c>
      <c r="C77" s="324">
        <v>-149934.04</v>
      </c>
      <c r="D77" s="198">
        <v>-215350.06</v>
      </c>
      <c r="E77" s="198">
        <v>-132452.63</v>
      </c>
      <c r="F77" s="378">
        <v>-108446.71</v>
      </c>
      <c r="G77" s="128">
        <f t="shared" si="3"/>
        <v>-606183.43999999994</v>
      </c>
      <c r="I77" s="220"/>
      <c r="J77" s="221"/>
      <c r="K77" s="199" t="s">
        <v>319</v>
      </c>
      <c r="L77" s="197" t="s">
        <v>913</v>
      </c>
      <c r="M77" s="117"/>
      <c r="N77" s="198">
        <v>-215350.06</v>
      </c>
      <c r="O77" s="117">
        <f t="shared" si="4"/>
        <v>-215350.06</v>
      </c>
      <c r="P77" s="50"/>
      <c r="Q77" s="96"/>
      <c r="R77" s="199" t="s">
        <v>319</v>
      </c>
      <c r="S77" s="197" t="s">
        <v>913</v>
      </c>
      <c r="T77" s="117">
        <v>-59011.06</v>
      </c>
      <c r="U77" s="129">
        <v>-149934.04</v>
      </c>
      <c r="V77" s="315">
        <v>-149934.04</v>
      </c>
      <c r="AE77"/>
      <c r="AF77"/>
      <c r="AG77"/>
      <c r="AH77"/>
      <c r="AI77"/>
      <c r="AJ77"/>
      <c r="BA77" s="199" t="s">
        <v>319</v>
      </c>
      <c r="BB77" s="197" t="s">
        <v>913</v>
      </c>
      <c r="BC77" s="77">
        <f t="shared" si="5"/>
        <v>0</v>
      </c>
      <c r="BE77" s="50" t="s">
        <v>319</v>
      </c>
      <c r="BF77" s="50" t="s">
        <v>913</v>
      </c>
      <c r="BG77" s="376">
        <v>-108446.71</v>
      </c>
    </row>
    <row r="78" spans="1:59">
      <c r="A78" s="199" t="s">
        <v>321</v>
      </c>
      <c r="B78" s="197" t="s">
        <v>914</v>
      </c>
      <c r="C78" s="324">
        <v>-158464.60999999999</v>
      </c>
      <c r="D78" s="198">
        <v>-185346.94</v>
      </c>
      <c r="E78" s="198">
        <v>-217987.01</v>
      </c>
      <c r="F78" s="378">
        <v>-238573.81</v>
      </c>
      <c r="G78" s="128">
        <f t="shared" si="3"/>
        <v>-800372.37000000011</v>
      </c>
      <c r="I78" s="220"/>
      <c r="J78" s="221"/>
      <c r="K78" s="199" t="s">
        <v>321</v>
      </c>
      <c r="L78" s="197" t="s">
        <v>914</v>
      </c>
      <c r="M78" s="117"/>
      <c r="N78" s="198">
        <v>-185346.94</v>
      </c>
      <c r="O78" s="117">
        <f t="shared" si="4"/>
        <v>-185346.94</v>
      </c>
      <c r="P78" s="50"/>
      <c r="Q78" s="96"/>
      <c r="R78" s="199" t="s">
        <v>321</v>
      </c>
      <c r="S78" s="197" t="s">
        <v>914</v>
      </c>
      <c r="T78" s="117">
        <v>-61938.400000000001</v>
      </c>
      <c r="U78" s="129">
        <v>-158464.60999999999</v>
      </c>
      <c r="V78" s="315">
        <v>-158464.60999999999</v>
      </c>
      <c r="AE78"/>
      <c r="AF78"/>
      <c r="AG78"/>
      <c r="AH78"/>
      <c r="AI78"/>
      <c r="AJ78"/>
      <c r="BA78" s="199" t="s">
        <v>321</v>
      </c>
      <c r="BB78" s="197" t="s">
        <v>914</v>
      </c>
      <c r="BC78" s="77">
        <f t="shared" si="5"/>
        <v>0</v>
      </c>
      <c r="BE78" s="50" t="s">
        <v>321</v>
      </c>
      <c r="BF78" s="50" t="s">
        <v>914</v>
      </c>
      <c r="BG78" s="376">
        <v>-238573.81</v>
      </c>
    </row>
    <row r="79" spans="1:59">
      <c r="A79" s="199" t="s">
        <v>323</v>
      </c>
      <c r="B79" s="197" t="s">
        <v>915</v>
      </c>
      <c r="C79" s="324">
        <v>-86944.52</v>
      </c>
      <c r="D79" s="198">
        <v>-36919.26</v>
      </c>
      <c r="E79" s="198">
        <v>-69247.72</v>
      </c>
      <c r="F79" s="378">
        <v>-77142.41</v>
      </c>
      <c r="G79" s="128">
        <f t="shared" si="3"/>
        <v>-270253.91000000003</v>
      </c>
      <c r="I79" s="220"/>
      <c r="J79" s="221"/>
      <c r="K79" s="199" t="s">
        <v>323</v>
      </c>
      <c r="L79" s="197" t="s">
        <v>915</v>
      </c>
      <c r="M79" s="117"/>
      <c r="N79" s="198">
        <v>-36919.26</v>
      </c>
      <c r="O79" s="117">
        <f t="shared" si="4"/>
        <v>-36919.26</v>
      </c>
      <c r="P79" s="50"/>
      <c r="Q79" s="96"/>
      <c r="R79" s="199" t="s">
        <v>323</v>
      </c>
      <c r="S79" s="197" t="s">
        <v>915</v>
      </c>
      <c r="T79" s="117">
        <v>-70541.759999999995</v>
      </c>
      <c r="U79" s="129">
        <v>-86944.52</v>
      </c>
      <c r="V79" s="315">
        <v>-86944.52</v>
      </c>
      <c r="AE79"/>
      <c r="AF79"/>
      <c r="AG79"/>
      <c r="AH79"/>
      <c r="AI79"/>
      <c r="AJ79"/>
      <c r="BA79" s="199" t="s">
        <v>323</v>
      </c>
      <c r="BB79" s="197" t="s">
        <v>915</v>
      </c>
      <c r="BC79" s="77">
        <f t="shared" si="5"/>
        <v>0</v>
      </c>
      <c r="BE79" s="50" t="s">
        <v>323</v>
      </c>
      <c r="BF79" s="50" t="s">
        <v>915</v>
      </c>
      <c r="BG79" s="376">
        <v>-77142.41</v>
      </c>
    </row>
    <row r="80" spans="1:59">
      <c r="A80" s="199" t="s">
        <v>325</v>
      </c>
      <c r="B80" s="197" t="s">
        <v>916</v>
      </c>
      <c r="C80" s="324">
        <v>-433519.92</v>
      </c>
      <c r="D80" s="198">
        <v>-464427.88</v>
      </c>
      <c r="E80" s="198">
        <v>-744011.94</v>
      </c>
      <c r="F80" s="378">
        <v>-634238.52</v>
      </c>
      <c r="G80" s="128">
        <f t="shared" si="3"/>
        <v>-2276198.2599999998</v>
      </c>
      <c r="I80" s="220"/>
      <c r="J80" s="221"/>
      <c r="K80" s="199" t="s">
        <v>325</v>
      </c>
      <c r="L80" s="197" t="s">
        <v>916</v>
      </c>
      <c r="M80" s="117"/>
      <c r="N80" s="198">
        <v>-464427.88</v>
      </c>
      <c r="O80" s="117">
        <f t="shared" si="4"/>
        <v>-464427.88</v>
      </c>
      <c r="P80" s="50"/>
      <c r="Q80" s="96"/>
      <c r="R80" s="199" t="s">
        <v>325</v>
      </c>
      <c r="S80" s="197" t="s">
        <v>916</v>
      </c>
      <c r="T80" s="117">
        <v>-298034.40000000002</v>
      </c>
      <c r="U80" s="129">
        <v>-433519.92</v>
      </c>
      <c r="V80" s="315">
        <v>-433519.92</v>
      </c>
      <c r="AE80"/>
      <c r="AF80"/>
      <c r="AG80"/>
      <c r="AH80"/>
      <c r="AI80"/>
      <c r="AJ80"/>
      <c r="BA80" s="199" t="s">
        <v>325</v>
      </c>
      <c r="BB80" s="197" t="s">
        <v>916</v>
      </c>
      <c r="BC80" s="77">
        <f t="shared" si="5"/>
        <v>0</v>
      </c>
      <c r="BE80" s="50" t="s">
        <v>325</v>
      </c>
      <c r="BF80" s="50" t="s">
        <v>916</v>
      </c>
      <c r="BG80" s="376">
        <v>-634238.52</v>
      </c>
    </row>
    <row r="81" spans="1:59">
      <c r="A81" s="199" t="s">
        <v>327</v>
      </c>
      <c r="B81" s="197" t="s">
        <v>917</v>
      </c>
      <c r="C81" s="324">
        <v>-18481.32</v>
      </c>
      <c r="D81" s="198">
        <v>-39229.32</v>
      </c>
      <c r="E81" s="198">
        <v>-25690.32</v>
      </c>
      <c r="F81" s="378">
        <v>-51119.51</v>
      </c>
      <c r="G81" s="128">
        <f t="shared" si="3"/>
        <v>-134520.47</v>
      </c>
      <c r="I81" s="220"/>
      <c r="J81" s="221"/>
      <c r="K81" s="199" t="s">
        <v>327</v>
      </c>
      <c r="L81" s="197" t="s">
        <v>917</v>
      </c>
      <c r="M81" s="117"/>
      <c r="N81" s="198">
        <v>-39229.32</v>
      </c>
      <c r="O81" s="117">
        <f t="shared" si="4"/>
        <v>-39229.32</v>
      </c>
      <c r="P81" s="50"/>
      <c r="Q81" s="96"/>
      <c r="R81" s="199" t="s">
        <v>327</v>
      </c>
      <c r="S81" s="197" t="s">
        <v>917</v>
      </c>
      <c r="T81" s="117">
        <v>-38342.959999999999</v>
      </c>
      <c r="U81" s="129">
        <v>-18481.32</v>
      </c>
      <c r="V81" s="315">
        <v>-18481.32</v>
      </c>
      <c r="AE81"/>
      <c r="AF81"/>
      <c r="AG81"/>
      <c r="AH81"/>
      <c r="AI81"/>
      <c r="AJ81"/>
      <c r="BA81" s="199" t="s">
        <v>327</v>
      </c>
      <c r="BB81" s="197" t="s">
        <v>917</v>
      </c>
      <c r="BC81" s="77">
        <f t="shared" si="5"/>
        <v>0</v>
      </c>
      <c r="BE81" s="50" t="s">
        <v>327</v>
      </c>
      <c r="BF81" s="50" t="s">
        <v>917</v>
      </c>
      <c r="BG81" s="376">
        <v>-51119.51</v>
      </c>
    </row>
    <row r="82" spans="1:59">
      <c r="A82" s="199" t="s">
        <v>329</v>
      </c>
      <c r="B82" s="197" t="s">
        <v>918</v>
      </c>
      <c r="C82" s="329">
        <v>-309810.11</v>
      </c>
      <c r="D82" s="198">
        <v>-302567.36</v>
      </c>
      <c r="E82" s="198">
        <v>-265382.46000000002</v>
      </c>
      <c r="F82" s="378">
        <v>-234546.43</v>
      </c>
      <c r="G82" s="128">
        <f t="shared" si="3"/>
        <v>-1112306.3599999999</v>
      </c>
      <c r="I82" s="220"/>
      <c r="J82" s="221"/>
      <c r="K82" s="199" t="s">
        <v>329</v>
      </c>
      <c r="L82" s="197" t="s">
        <v>918</v>
      </c>
      <c r="M82" s="117"/>
      <c r="N82" s="198">
        <v>-302567.36</v>
      </c>
      <c r="O82" s="117">
        <f t="shared" si="4"/>
        <v>-302567.36</v>
      </c>
      <c r="P82" s="50"/>
      <c r="Q82" s="91"/>
      <c r="R82" s="199" t="s">
        <v>329</v>
      </c>
      <c r="S82" s="197" t="s">
        <v>918</v>
      </c>
      <c r="T82" s="117">
        <v>-259007</v>
      </c>
      <c r="U82" s="129">
        <v>-309810.11</v>
      </c>
      <c r="V82" s="317">
        <v>-309810.11</v>
      </c>
      <c r="AE82"/>
      <c r="AF82"/>
      <c r="AG82"/>
      <c r="AH82"/>
      <c r="AI82"/>
      <c r="AJ82"/>
      <c r="BA82" s="199" t="s">
        <v>329</v>
      </c>
      <c r="BB82" s="197" t="s">
        <v>918</v>
      </c>
      <c r="BC82" s="77">
        <f t="shared" si="5"/>
        <v>0</v>
      </c>
      <c r="BE82" s="50" t="s">
        <v>329</v>
      </c>
      <c r="BF82" s="50" t="s">
        <v>918</v>
      </c>
      <c r="BG82" s="376">
        <v>-234546.43</v>
      </c>
    </row>
    <row r="83" spans="1:59">
      <c r="A83" s="199" t="s">
        <v>331</v>
      </c>
      <c r="B83" s="197" t="s">
        <v>919</v>
      </c>
      <c r="C83" s="324">
        <v>-105990.63</v>
      </c>
      <c r="D83" s="198">
        <v>-84985.34</v>
      </c>
      <c r="E83" s="198">
        <v>-94429.440000000002</v>
      </c>
      <c r="F83" s="378">
        <v>-101753.9</v>
      </c>
      <c r="G83" s="128">
        <f t="shared" si="3"/>
        <v>-387159.31000000006</v>
      </c>
      <c r="I83" s="220"/>
      <c r="J83" s="221"/>
      <c r="K83" s="199" t="s">
        <v>331</v>
      </c>
      <c r="L83" s="197" t="s">
        <v>919</v>
      </c>
      <c r="M83" s="117"/>
      <c r="N83" s="198">
        <v>-84985.34</v>
      </c>
      <c r="O83" s="117">
        <f t="shared" si="4"/>
        <v>-84985.34</v>
      </c>
      <c r="P83" s="50"/>
      <c r="Q83" s="96"/>
      <c r="R83" s="199" t="s">
        <v>331</v>
      </c>
      <c r="S83" s="197" t="s">
        <v>919</v>
      </c>
      <c r="T83" s="117">
        <v>-76894.53</v>
      </c>
      <c r="U83" s="129">
        <v>-105990.63</v>
      </c>
      <c r="V83" s="315">
        <v>-105990.63</v>
      </c>
      <c r="AE83"/>
      <c r="AF83"/>
      <c r="AG83"/>
      <c r="AH83"/>
      <c r="AI83"/>
      <c r="AJ83"/>
      <c r="BA83" s="199" t="s">
        <v>331</v>
      </c>
      <c r="BB83" s="197" t="s">
        <v>919</v>
      </c>
      <c r="BC83" s="77">
        <f t="shared" si="5"/>
        <v>0</v>
      </c>
      <c r="BE83" s="50" t="s">
        <v>331</v>
      </c>
      <c r="BF83" s="50" t="s">
        <v>919</v>
      </c>
      <c r="BG83" s="376">
        <v>-101753.9</v>
      </c>
    </row>
    <row r="84" spans="1:59">
      <c r="A84" s="199" t="s">
        <v>333</v>
      </c>
      <c r="B84" s="197" t="s">
        <v>920</v>
      </c>
      <c r="C84" s="324">
        <v>-36493.35</v>
      </c>
      <c r="D84" s="198">
        <v>-23423.74</v>
      </c>
      <c r="E84" s="198">
        <v>-38425.33</v>
      </c>
      <c r="F84" s="378">
        <v>-50319.49</v>
      </c>
      <c r="G84" s="128">
        <f t="shared" si="3"/>
        <v>-148661.91</v>
      </c>
      <c r="I84" s="220"/>
      <c r="J84" s="221"/>
      <c r="K84" s="199" t="s">
        <v>333</v>
      </c>
      <c r="L84" s="197" t="s">
        <v>920</v>
      </c>
      <c r="M84" s="117"/>
      <c r="N84" s="198">
        <v>-23423.74</v>
      </c>
      <c r="O84" s="117">
        <f t="shared" si="4"/>
        <v>-23423.74</v>
      </c>
      <c r="P84" s="50"/>
      <c r="Q84" s="96"/>
      <c r="R84" s="199" t="s">
        <v>333</v>
      </c>
      <c r="S84" s="197" t="s">
        <v>920</v>
      </c>
      <c r="T84" s="117">
        <v>-28016.9</v>
      </c>
      <c r="U84" s="129">
        <v>-36493.35</v>
      </c>
      <c r="V84" s="315">
        <v>-36493.35</v>
      </c>
      <c r="AE84"/>
      <c r="AF84"/>
      <c r="AG84"/>
      <c r="AH84"/>
      <c r="AI84"/>
      <c r="AJ84"/>
      <c r="BA84" s="199" t="s">
        <v>333</v>
      </c>
      <c r="BB84" s="197" t="s">
        <v>920</v>
      </c>
      <c r="BC84" s="77">
        <f t="shared" si="5"/>
        <v>0</v>
      </c>
      <c r="BE84" s="50" t="s">
        <v>333</v>
      </c>
      <c r="BF84" s="50" t="s">
        <v>920</v>
      </c>
      <c r="BG84" s="376">
        <v>-50319.49</v>
      </c>
    </row>
    <row r="85" spans="1:59">
      <c r="A85" s="199" t="s">
        <v>335</v>
      </c>
      <c r="B85" s="197" t="s">
        <v>921</v>
      </c>
      <c r="C85" s="324">
        <v>-40000.870000000003</v>
      </c>
      <c r="D85" s="198">
        <v>-40744.199999999997</v>
      </c>
      <c r="E85" s="198">
        <v>-53208.91</v>
      </c>
      <c r="F85" s="378">
        <v>-72243.039999999994</v>
      </c>
      <c r="G85" s="128">
        <f t="shared" si="3"/>
        <v>-206197.02000000002</v>
      </c>
      <c r="I85" s="220"/>
      <c r="J85" s="221"/>
      <c r="K85" s="199" t="s">
        <v>335</v>
      </c>
      <c r="L85" s="197" t="s">
        <v>921</v>
      </c>
      <c r="M85" s="117"/>
      <c r="N85" s="198">
        <v>-40744.199999999997</v>
      </c>
      <c r="O85" s="117">
        <f t="shared" si="4"/>
        <v>-40744.199999999997</v>
      </c>
      <c r="P85" s="50"/>
      <c r="Q85" s="96"/>
      <c r="R85" s="199" t="s">
        <v>335</v>
      </c>
      <c r="S85" s="197" t="s">
        <v>921</v>
      </c>
      <c r="T85" s="117">
        <v>-39387.5</v>
      </c>
      <c r="U85" s="129">
        <v>-40000.870000000003</v>
      </c>
      <c r="V85" s="315">
        <v>-40000.870000000003</v>
      </c>
      <c r="AE85"/>
      <c r="AF85"/>
      <c r="AG85"/>
      <c r="AH85"/>
      <c r="AI85"/>
      <c r="AJ85"/>
      <c r="BA85" s="199" t="s">
        <v>335</v>
      </c>
      <c r="BB85" s="197" t="s">
        <v>921</v>
      </c>
      <c r="BC85" s="77">
        <f t="shared" si="5"/>
        <v>0</v>
      </c>
      <c r="BE85" s="50" t="s">
        <v>335</v>
      </c>
      <c r="BF85" s="50" t="s">
        <v>921</v>
      </c>
      <c r="BG85" s="376">
        <v>-72243.039999999994</v>
      </c>
    </row>
    <row r="86" spans="1:59">
      <c r="A86" s="199" t="s">
        <v>337</v>
      </c>
      <c r="B86" s="197" t="s">
        <v>922</v>
      </c>
      <c r="C86" s="324">
        <v>-65106.79</v>
      </c>
      <c r="D86" s="198">
        <v>-120332.72</v>
      </c>
      <c r="E86" s="198">
        <v>-132654.23000000001</v>
      </c>
      <c r="F86" s="378">
        <v>-210675.51</v>
      </c>
      <c r="G86" s="128">
        <f t="shared" si="3"/>
        <v>-528769.25</v>
      </c>
      <c r="I86" s="220"/>
      <c r="J86" s="221"/>
      <c r="K86" s="199" t="s">
        <v>337</v>
      </c>
      <c r="L86" s="197" t="s">
        <v>922</v>
      </c>
      <c r="M86" s="117"/>
      <c r="N86" s="198">
        <v>-120332.72</v>
      </c>
      <c r="O86" s="117">
        <f t="shared" si="4"/>
        <v>-120332.72</v>
      </c>
      <c r="P86" s="50"/>
      <c r="Q86" s="96"/>
      <c r="R86" s="199" t="s">
        <v>337</v>
      </c>
      <c r="S86" s="197" t="s">
        <v>922</v>
      </c>
      <c r="T86" s="117">
        <v>-75269.97</v>
      </c>
      <c r="U86" s="129">
        <v>-65106.79</v>
      </c>
      <c r="V86" s="315">
        <v>-65106.79</v>
      </c>
      <c r="AE86"/>
      <c r="AF86"/>
      <c r="AG86"/>
      <c r="AH86"/>
      <c r="AI86"/>
      <c r="AJ86"/>
      <c r="BA86" s="199" t="s">
        <v>337</v>
      </c>
      <c r="BB86" s="197" t="s">
        <v>922</v>
      </c>
      <c r="BC86" s="77">
        <f t="shared" si="5"/>
        <v>0</v>
      </c>
      <c r="BE86" s="50" t="s">
        <v>337</v>
      </c>
      <c r="BF86" s="50" t="s">
        <v>922</v>
      </c>
      <c r="BG86" s="376">
        <v>-210675.51</v>
      </c>
    </row>
    <row r="87" spans="1:59">
      <c r="A87" s="199" t="s">
        <v>339</v>
      </c>
      <c r="B87" s="197" t="s">
        <v>923</v>
      </c>
      <c r="C87" s="324">
        <v>-175636.89</v>
      </c>
      <c r="D87" s="198">
        <v>-146252.35</v>
      </c>
      <c r="E87" s="198">
        <v>-150593.65</v>
      </c>
      <c r="F87" s="378">
        <v>-111191.01</v>
      </c>
      <c r="G87" s="128">
        <f t="shared" si="3"/>
        <v>-583673.9</v>
      </c>
      <c r="I87" s="220"/>
      <c r="J87" s="221"/>
      <c r="K87" s="199" t="s">
        <v>339</v>
      </c>
      <c r="L87" s="197" t="s">
        <v>923</v>
      </c>
      <c r="M87" s="117"/>
      <c r="N87" s="198">
        <v>-146252.35</v>
      </c>
      <c r="O87" s="117">
        <f t="shared" si="4"/>
        <v>-146252.35</v>
      </c>
      <c r="P87" s="50"/>
      <c r="Q87" s="96"/>
      <c r="R87" s="199" t="s">
        <v>339</v>
      </c>
      <c r="S87" s="197" t="s">
        <v>923</v>
      </c>
      <c r="T87" s="117">
        <v>-169752.36</v>
      </c>
      <c r="U87" s="129">
        <v>-175636.89</v>
      </c>
      <c r="V87" s="315">
        <v>-175636.89</v>
      </c>
      <c r="AE87"/>
      <c r="AF87"/>
      <c r="AG87"/>
      <c r="AH87"/>
      <c r="AI87"/>
      <c r="AJ87"/>
      <c r="BA87" s="199" t="s">
        <v>339</v>
      </c>
      <c r="BB87" s="197" t="s">
        <v>923</v>
      </c>
      <c r="BC87" s="77">
        <f t="shared" si="5"/>
        <v>0</v>
      </c>
      <c r="BE87" s="50" t="s">
        <v>339</v>
      </c>
      <c r="BF87" s="50" t="s">
        <v>923</v>
      </c>
      <c r="BG87" s="376">
        <v>-111191.01</v>
      </c>
    </row>
    <row r="88" spans="1:59">
      <c r="A88" s="199" t="s">
        <v>341</v>
      </c>
      <c r="B88" s="197" t="s">
        <v>924</v>
      </c>
      <c r="C88" s="324">
        <v>-1286517.23</v>
      </c>
      <c r="D88" s="198">
        <v>-1947475.28</v>
      </c>
      <c r="E88" s="198">
        <v>-2294345.4900000002</v>
      </c>
      <c r="F88" s="378">
        <v>-2837268.81</v>
      </c>
      <c r="G88" s="128">
        <f t="shared" si="3"/>
        <v>-8365606.8100000005</v>
      </c>
      <c r="I88" s="220"/>
      <c r="J88" s="221"/>
      <c r="K88" s="199" t="s">
        <v>341</v>
      </c>
      <c r="L88" s="197" t="s">
        <v>924</v>
      </c>
      <c r="M88" s="117"/>
      <c r="N88" s="198">
        <v>-1947475.28</v>
      </c>
      <c r="O88" s="117">
        <f t="shared" si="4"/>
        <v>-1947475.28</v>
      </c>
      <c r="P88" s="50"/>
      <c r="Q88" s="96"/>
      <c r="R88" s="199" t="s">
        <v>341</v>
      </c>
      <c r="S88" s="197" t="s">
        <v>924</v>
      </c>
      <c r="T88" s="117">
        <v>-626122.97</v>
      </c>
      <c r="U88" s="129">
        <v>-1286517.23</v>
      </c>
      <c r="V88" s="315">
        <v>-1286517.23</v>
      </c>
      <c r="AE88"/>
      <c r="AF88"/>
      <c r="AG88"/>
      <c r="AH88"/>
      <c r="AI88"/>
      <c r="AJ88"/>
      <c r="BA88" s="199" t="s">
        <v>341</v>
      </c>
      <c r="BB88" s="197" t="s">
        <v>924</v>
      </c>
      <c r="BC88" s="77">
        <f t="shared" si="5"/>
        <v>0</v>
      </c>
      <c r="BE88" s="50" t="s">
        <v>341</v>
      </c>
      <c r="BF88" s="50" t="s">
        <v>924</v>
      </c>
      <c r="BG88" s="376">
        <v>-2837268.81</v>
      </c>
    </row>
    <row r="89" spans="1:59">
      <c r="A89" s="199" t="s">
        <v>343</v>
      </c>
      <c r="B89" s="197" t="s">
        <v>925</v>
      </c>
      <c r="C89" s="326">
        <v>-134254.61000000002</v>
      </c>
      <c r="D89" s="198">
        <v>-428558.21</v>
      </c>
      <c r="E89" s="198">
        <v>-822969.21</v>
      </c>
      <c r="F89" s="378">
        <v>-312124.26</v>
      </c>
      <c r="G89" s="128">
        <f t="shared" si="3"/>
        <v>-1697906.29</v>
      </c>
      <c r="I89" s="220"/>
      <c r="J89" s="221"/>
      <c r="K89" s="199" t="s">
        <v>343</v>
      </c>
      <c r="L89" s="197" t="s">
        <v>925</v>
      </c>
      <c r="M89" s="117"/>
      <c r="N89" s="198">
        <v>-428558.21</v>
      </c>
      <c r="O89" s="279">
        <f t="shared" si="4"/>
        <v>-428558.21</v>
      </c>
      <c r="P89" s="50"/>
      <c r="Q89" s="96"/>
      <c r="R89" s="199" t="s">
        <v>343</v>
      </c>
      <c r="S89" s="197" t="s">
        <v>925</v>
      </c>
      <c r="T89" s="117">
        <v>232873.97</v>
      </c>
      <c r="U89" s="129">
        <v>-367128.58</v>
      </c>
      <c r="V89" s="320">
        <v>-134254.61000000002</v>
      </c>
      <c r="AE89"/>
      <c r="AF89"/>
      <c r="AG89"/>
      <c r="AH89"/>
      <c r="AI89"/>
      <c r="AJ89"/>
      <c r="BA89" s="199" t="s">
        <v>343</v>
      </c>
      <c r="BB89" s="197" t="s">
        <v>925</v>
      </c>
      <c r="BC89" s="77">
        <f t="shared" si="5"/>
        <v>0</v>
      </c>
      <c r="BE89" s="50" t="s">
        <v>343</v>
      </c>
      <c r="BF89" s="50" t="s">
        <v>925</v>
      </c>
      <c r="BG89" s="376">
        <v>-312124.26</v>
      </c>
    </row>
    <row r="90" spans="1:59">
      <c r="A90" s="199" t="s">
        <v>345</v>
      </c>
      <c r="B90" s="197" t="s">
        <v>926</v>
      </c>
      <c r="C90" s="324">
        <v>-697897.17</v>
      </c>
      <c r="D90" s="198">
        <v>-717511.46</v>
      </c>
      <c r="E90" s="198">
        <v>-829778.29</v>
      </c>
      <c r="F90" s="378">
        <v>-897353.77</v>
      </c>
      <c r="G90" s="128">
        <f t="shared" si="3"/>
        <v>-3142540.69</v>
      </c>
      <c r="I90" s="220"/>
      <c r="J90" s="221"/>
      <c r="K90" s="199" t="s">
        <v>345</v>
      </c>
      <c r="L90" s="197" t="s">
        <v>926</v>
      </c>
      <c r="M90" s="117"/>
      <c r="N90" s="198">
        <v>-717511.46</v>
      </c>
      <c r="O90" s="117">
        <f t="shared" si="4"/>
        <v>-717511.46</v>
      </c>
      <c r="P90" s="50"/>
      <c r="Q90" s="96"/>
      <c r="R90" s="199" t="s">
        <v>345</v>
      </c>
      <c r="S90" s="197" t="s">
        <v>926</v>
      </c>
      <c r="T90" s="117">
        <v>-538801.77</v>
      </c>
      <c r="U90" s="129">
        <v>-697897.17</v>
      </c>
      <c r="V90" s="315">
        <v>-697897.17</v>
      </c>
      <c r="AE90"/>
      <c r="AF90"/>
      <c r="AG90"/>
      <c r="AH90"/>
      <c r="AI90"/>
      <c r="AJ90"/>
      <c r="BA90" s="199" t="s">
        <v>345</v>
      </c>
      <c r="BB90" s="197" t="s">
        <v>926</v>
      </c>
      <c r="BC90" s="77">
        <f t="shared" si="5"/>
        <v>0</v>
      </c>
      <c r="BE90" s="50" t="s">
        <v>345</v>
      </c>
      <c r="BF90" s="50" t="s">
        <v>926</v>
      </c>
      <c r="BG90" s="376">
        <v>-897353.77</v>
      </c>
    </row>
    <row r="91" spans="1:59">
      <c r="A91" s="199" t="s">
        <v>347</v>
      </c>
      <c r="B91" s="197" t="s">
        <v>927</v>
      </c>
      <c r="C91" s="324">
        <v>-175514.53</v>
      </c>
      <c r="D91" s="198">
        <v>-186044.31</v>
      </c>
      <c r="E91" s="198">
        <v>-190917.23</v>
      </c>
      <c r="F91" s="378">
        <v>-225813.36</v>
      </c>
      <c r="G91" s="128">
        <f t="shared" si="3"/>
        <v>-778289.42999999993</v>
      </c>
      <c r="I91" s="220"/>
      <c r="J91" s="221"/>
      <c r="K91" s="199" t="s">
        <v>347</v>
      </c>
      <c r="L91" s="197" t="s">
        <v>927</v>
      </c>
      <c r="M91" s="117"/>
      <c r="N91" s="198">
        <v>-186044.31</v>
      </c>
      <c r="O91" s="117">
        <f t="shared" si="4"/>
        <v>-186044.31</v>
      </c>
      <c r="P91" s="50"/>
      <c r="Q91" s="96"/>
      <c r="R91" s="199" t="s">
        <v>347</v>
      </c>
      <c r="S91" s="197" t="s">
        <v>927</v>
      </c>
      <c r="T91" s="117">
        <v>-115287.27</v>
      </c>
      <c r="U91" s="129">
        <v>-175514.53</v>
      </c>
      <c r="V91" s="315">
        <v>-175514.53</v>
      </c>
      <c r="AE91"/>
      <c r="AF91"/>
      <c r="AG91"/>
      <c r="AH91"/>
      <c r="AI91"/>
      <c r="AJ91"/>
      <c r="BA91" s="199" t="s">
        <v>347</v>
      </c>
      <c r="BB91" s="197" t="s">
        <v>927</v>
      </c>
      <c r="BC91" s="77">
        <f t="shared" si="5"/>
        <v>0</v>
      </c>
      <c r="BE91" s="50" t="s">
        <v>347</v>
      </c>
      <c r="BF91" s="50" t="s">
        <v>927</v>
      </c>
      <c r="BG91" s="376">
        <v>-225813.36</v>
      </c>
    </row>
    <row r="92" spans="1:59">
      <c r="A92" s="199" t="s">
        <v>349</v>
      </c>
      <c r="B92" s="197" t="s">
        <v>928</v>
      </c>
      <c r="C92" s="326">
        <v>986517.52</v>
      </c>
      <c r="D92" s="198">
        <v>675907.45</v>
      </c>
      <c r="E92" s="198">
        <v>503703.01</v>
      </c>
      <c r="F92" s="378">
        <v>348596.09</v>
      </c>
      <c r="G92" s="128">
        <f t="shared" si="3"/>
        <v>2514724.0699999998</v>
      </c>
      <c r="I92" s="220"/>
      <c r="J92" s="221"/>
      <c r="K92" s="199" t="s">
        <v>349</v>
      </c>
      <c r="L92" s="197" t="s">
        <v>928</v>
      </c>
      <c r="M92" s="117">
        <f>+C92</f>
        <v>986517.52</v>
      </c>
      <c r="N92" s="198">
        <v>675907.45</v>
      </c>
      <c r="O92" s="279">
        <f t="shared" si="4"/>
        <v>1662424.97</v>
      </c>
      <c r="P92" s="50"/>
      <c r="Q92" s="96"/>
      <c r="R92" s="199" t="s">
        <v>349</v>
      </c>
      <c r="S92" s="197" t="s">
        <v>928</v>
      </c>
      <c r="T92" s="117">
        <v>552561.86</v>
      </c>
      <c r="U92" s="129">
        <v>433955.66</v>
      </c>
      <c r="V92" s="320">
        <v>986517.52</v>
      </c>
      <c r="AE92"/>
      <c r="AF92"/>
      <c r="AG92"/>
      <c r="AH92"/>
      <c r="AI92"/>
      <c r="AJ92"/>
      <c r="BA92" s="199" t="s">
        <v>349</v>
      </c>
      <c r="BB92" s="197" t="s">
        <v>928</v>
      </c>
      <c r="BC92" s="77">
        <f t="shared" si="5"/>
        <v>0</v>
      </c>
      <c r="BE92" s="50" t="s">
        <v>349</v>
      </c>
      <c r="BF92" s="50" t="s">
        <v>928</v>
      </c>
      <c r="BG92" s="376">
        <v>348596.09</v>
      </c>
    </row>
    <row r="93" spans="1:59">
      <c r="A93" s="199" t="s">
        <v>351</v>
      </c>
      <c r="B93" s="197" t="s">
        <v>929</v>
      </c>
      <c r="C93" s="324">
        <v>-83172.62</v>
      </c>
      <c r="D93" s="198">
        <v>-47622.12</v>
      </c>
      <c r="E93" s="198">
        <v>-128580.82</v>
      </c>
      <c r="F93" s="378">
        <v>-175497.44</v>
      </c>
      <c r="G93" s="128">
        <f t="shared" si="3"/>
        <v>-434873</v>
      </c>
      <c r="I93" s="220"/>
      <c r="J93" s="221"/>
      <c r="K93" s="199" t="s">
        <v>351</v>
      </c>
      <c r="L93" s="197" t="s">
        <v>929</v>
      </c>
      <c r="M93" s="117"/>
      <c r="N93" s="198">
        <v>-47622.12</v>
      </c>
      <c r="O93" s="117">
        <f t="shared" si="4"/>
        <v>-47622.12</v>
      </c>
      <c r="P93" s="50"/>
      <c r="Q93" s="96"/>
      <c r="R93" s="199" t="s">
        <v>351</v>
      </c>
      <c r="S93" s="197" t="s">
        <v>929</v>
      </c>
      <c r="T93" s="117">
        <v>-112322.59</v>
      </c>
      <c r="U93" s="129">
        <v>-83172.62</v>
      </c>
      <c r="V93" s="315">
        <v>-83172.62</v>
      </c>
      <c r="AE93"/>
      <c r="AF93"/>
      <c r="AG93"/>
      <c r="AH93"/>
      <c r="AI93"/>
      <c r="AJ93"/>
      <c r="BA93" s="199" t="s">
        <v>351</v>
      </c>
      <c r="BB93" s="197" t="s">
        <v>929</v>
      </c>
      <c r="BC93" s="77">
        <f t="shared" si="5"/>
        <v>0</v>
      </c>
      <c r="BE93" s="50" t="s">
        <v>351</v>
      </c>
      <c r="BF93" s="50" t="s">
        <v>929</v>
      </c>
      <c r="BG93" s="376">
        <v>-175497.44</v>
      </c>
    </row>
    <row r="94" spans="1:59">
      <c r="A94" s="199" t="s">
        <v>353</v>
      </c>
      <c r="B94" s="197" t="s">
        <v>930</v>
      </c>
      <c r="C94" s="326">
        <v>1155300.19</v>
      </c>
      <c r="D94" s="198">
        <v>-68900.61</v>
      </c>
      <c r="E94" s="198">
        <v>-934989.38</v>
      </c>
      <c r="F94" s="378">
        <v>-1219041.1200000001</v>
      </c>
      <c r="G94" s="128">
        <f t="shared" si="3"/>
        <v>-1067630.9200000004</v>
      </c>
      <c r="I94" s="220"/>
      <c r="J94" s="221"/>
      <c r="K94" s="199" t="s">
        <v>353</v>
      </c>
      <c r="L94" s="197" t="s">
        <v>930</v>
      </c>
      <c r="M94" s="117">
        <f>+C94</f>
        <v>1155300.19</v>
      </c>
      <c r="N94" s="198">
        <v>-68900.61</v>
      </c>
      <c r="O94" s="279">
        <f t="shared" si="4"/>
        <v>1086399.5799999998</v>
      </c>
      <c r="P94" s="50"/>
      <c r="Q94" s="96"/>
      <c r="R94" s="199" t="s">
        <v>353</v>
      </c>
      <c r="S94" s="197" t="s">
        <v>930</v>
      </c>
      <c r="T94" s="117">
        <v>871222.58000000007</v>
      </c>
      <c r="U94" s="129">
        <v>284077.61</v>
      </c>
      <c r="V94" s="320">
        <v>1155300.19</v>
      </c>
      <c r="AE94"/>
      <c r="AF94"/>
      <c r="AG94"/>
      <c r="AH94"/>
      <c r="AI94"/>
      <c r="AJ94"/>
      <c r="BA94" s="199" t="s">
        <v>353</v>
      </c>
      <c r="BB94" s="197" t="s">
        <v>930</v>
      </c>
      <c r="BC94" s="77">
        <f t="shared" si="5"/>
        <v>0</v>
      </c>
      <c r="BE94" s="50" t="s">
        <v>353</v>
      </c>
      <c r="BF94" s="50" t="s">
        <v>930</v>
      </c>
      <c r="BG94" s="376">
        <v>-1219041.1200000001</v>
      </c>
    </row>
    <row r="95" spans="1:59">
      <c r="A95" s="199" t="s">
        <v>355</v>
      </c>
      <c r="B95" s="197" t="s">
        <v>931</v>
      </c>
      <c r="C95" s="324">
        <v>-75704.740000000005</v>
      </c>
      <c r="D95" s="198">
        <v>-65764.460000000006</v>
      </c>
      <c r="E95" s="198">
        <v>-89000.53</v>
      </c>
      <c r="F95" s="378">
        <v>-99373.47</v>
      </c>
      <c r="G95" s="128">
        <f t="shared" si="3"/>
        <v>-329843.20000000001</v>
      </c>
      <c r="I95" s="220"/>
      <c r="J95" s="221"/>
      <c r="K95" s="199" t="s">
        <v>355</v>
      </c>
      <c r="L95" s="197" t="s">
        <v>931</v>
      </c>
      <c r="M95" s="117"/>
      <c r="N95" s="198">
        <v>-65764.460000000006</v>
      </c>
      <c r="O95" s="117">
        <f t="shared" si="4"/>
        <v>-65764.460000000006</v>
      </c>
      <c r="P95" s="50"/>
      <c r="Q95" s="96"/>
      <c r="R95" s="199" t="s">
        <v>355</v>
      </c>
      <c r="S95" s="197" t="s">
        <v>931</v>
      </c>
      <c r="T95" s="117">
        <v>-72645.83</v>
      </c>
      <c r="U95" s="129">
        <v>-75704.740000000005</v>
      </c>
      <c r="V95" s="315">
        <v>-75704.740000000005</v>
      </c>
      <c r="AE95"/>
      <c r="AF95"/>
      <c r="AG95"/>
      <c r="AH95"/>
      <c r="AI95"/>
      <c r="AJ95"/>
      <c r="BA95" s="199" t="s">
        <v>355</v>
      </c>
      <c r="BB95" s="197" t="s">
        <v>931</v>
      </c>
      <c r="BC95" s="77">
        <f t="shared" si="5"/>
        <v>0</v>
      </c>
      <c r="BE95" s="50" t="s">
        <v>355</v>
      </c>
      <c r="BF95" s="50" t="s">
        <v>931</v>
      </c>
      <c r="BG95" s="376">
        <v>-99373.47</v>
      </c>
    </row>
    <row r="96" spans="1:59">
      <c r="A96" s="199" t="s">
        <v>357</v>
      </c>
      <c r="B96" s="197" t="s">
        <v>932</v>
      </c>
      <c r="C96" s="324">
        <v>-530011.69999999995</v>
      </c>
      <c r="D96" s="198">
        <v>-157796.18</v>
      </c>
      <c r="E96" s="198">
        <v>-13019.41</v>
      </c>
      <c r="F96" s="378">
        <v>-389057.21</v>
      </c>
      <c r="G96" s="128">
        <f t="shared" si="3"/>
        <v>-1089884.5</v>
      </c>
      <c r="I96" s="220"/>
      <c r="J96" s="221"/>
      <c r="K96" s="199" t="s">
        <v>357</v>
      </c>
      <c r="L96" s="197" t="s">
        <v>932</v>
      </c>
      <c r="M96" s="117"/>
      <c r="N96" s="198">
        <v>-157796.18</v>
      </c>
      <c r="O96" s="117">
        <f t="shared" si="4"/>
        <v>-157796.18</v>
      </c>
      <c r="P96" s="50"/>
      <c r="Q96" s="96"/>
      <c r="R96" s="199" t="s">
        <v>357</v>
      </c>
      <c r="S96" s="197" t="s">
        <v>932</v>
      </c>
      <c r="T96" s="117">
        <v>-208987.94</v>
      </c>
      <c r="U96" s="129">
        <v>-530011.69999999995</v>
      </c>
      <c r="V96" s="315">
        <v>-530011.69999999995</v>
      </c>
      <c r="AE96"/>
      <c r="AF96"/>
      <c r="AG96"/>
      <c r="AH96"/>
      <c r="AI96"/>
      <c r="AJ96"/>
      <c r="BA96" s="199" t="s">
        <v>357</v>
      </c>
      <c r="BB96" s="197" t="s">
        <v>932</v>
      </c>
      <c r="BC96" s="77">
        <f t="shared" si="5"/>
        <v>0</v>
      </c>
      <c r="BE96" s="50" t="s">
        <v>357</v>
      </c>
      <c r="BF96" s="50" t="s">
        <v>932</v>
      </c>
      <c r="BG96" s="376">
        <v>-389057.21</v>
      </c>
    </row>
    <row r="97" spans="1:59">
      <c r="A97" s="199" t="s">
        <v>359</v>
      </c>
      <c r="B97" s="197" t="s">
        <v>933</v>
      </c>
      <c r="C97" s="324">
        <v>-262111.41</v>
      </c>
      <c r="D97" s="198">
        <v>-255411.53</v>
      </c>
      <c r="E97" s="198">
        <v>-358985.82</v>
      </c>
      <c r="F97" s="378">
        <v>-407772.93</v>
      </c>
      <c r="G97" s="128">
        <f t="shared" si="3"/>
        <v>-1284281.69</v>
      </c>
      <c r="I97" s="220"/>
      <c r="J97" s="221"/>
      <c r="K97" s="199" t="s">
        <v>359</v>
      </c>
      <c r="L97" s="197" t="s">
        <v>933</v>
      </c>
      <c r="M97" s="117"/>
      <c r="N97" s="198">
        <v>-255411.53</v>
      </c>
      <c r="O97" s="117">
        <f t="shared" si="4"/>
        <v>-255411.53</v>
      </c>
      <c r="P97" s="50"/>
      <c r="Q97" s="96"/>
      <c r="R97" s="199" t="s">
        <v>359</v>
      </c>
      <c r="S97" s="197" t="s">
        <v>933</v>
      </c>
      <c r="T97" s="117">
        <v>-8710.56</v>
      </c>
      <c r="U97" s="129">
        <v>-262111.41</v>
      </c>
      <c r="V97" s="315">
        <v>-262111.41</v>
      </c>
      <c r="AE97"/>
      <c r="AF97"/>
      <c r="AG97"/>
      <c r="AH97"/>
      <c r="AI97"/>
      <c r="AJ97"/>
      <c r="BA97" s="199" t="s">
        <v>359</v>
      </c>
      <c r="BB97" s="197" t="s">
        <v>933</v>
      </c>
      <c r="BC97" s="77">
        <f t="shared" si="5"/>
        <v>0</v>
      </c>
      <c r="BE97" s="50" t="s">
        <v>359</v>
      </c>
      <c r="BF97" s="50" t="s">
        <v>933</v>
      </c>
      <c r="BG97" s="376">
        <v>-407772.93</v>
      </c>
    </row>
    <row r="98" spans="1:59">
      <c r="A98" s="199" t="s">
        <v>361</v>
      </c>
      <c r="B98" s="197" t="s">
        <v>934</v>
      </c>
      <c r="C98" s="324">
        <v>-108983.03</v>
      </c>
      <c r="D98" s="198">
        <v>-106471.66</v>
      </c>
      <c r="E98" s="198">
        <v>-79804.14</v>
      </c>
      <c r="F98" s="378">
        <v>-133366.69</v>
      </c>
      <c r="G98" s="128">
        <f t="shared" si="3"/>
        <v>-428625.52</v>
      </c>
      <c r="I98" s="220"/>
      <c r="J98" s="221"/>
      <c r="K98" s="199" t="s">
        <v>361</v>
      </c>
      <c r="L98" s="197" t="s">
        <v>934</v>
      </c>
      <c r="M98" s="117"/>
      <c r="N98" s="198">
        <v>-106471.66</v>
      </c>
      <c r="O98" s="117">
        <f t="shared" si="4"/>
        <v>-106471.66</v>
      </c>
      <c r="P98" s="50"/>
      <c r="Q98" s="96"/>
      <c r="R98" s="199" t="s">
        <v>361</v>
      </c>
      <c r="S98" s="197" t="s">
        <v>934</v>
      </c>
      <c r="T98" s="117">
        <v>-122947.39</v>
      </c>
      <c r="U98" s="129">
        <v>-108983.03</v>
      </c>
      <c r="V98" s="315">
        <v>-108983.03</v>
      </c>
      <c r="AE98"/>
      <c r="AF98"/>
      <c r="AG98"/>
      <c r="AH98"/>
      <c r="AI98"/>
      <c r="AJ98"/>
      <c r="BA98" s="199" t="s">
        <v>361</v>
      </c>
      <c r="BB98" s="197" t="s">
        <v>934</v>
      </c>
      <c r="BC98" s="77">
        <f t="shared" si="5"/>
        <v>0</v>
      </c>
      <c r="BE98" s="50" t="s">
        <v>361</v>
      </c>
      <c r="BF98" s="50" t="s">
        <v>934</v>
      </c>
      <c r="BG98" s="376">
        <v>-133366.69</v>
      </c>
    </row>
    <row r="99" spans="1:59">
      <c r="A99" s="199" t="s">
        <v>98</v>
      </c>
      <c r="B99" s="197" t="s">
        <v>935</v>
      </c>
      <c r="C99" s="326">
        <v>2533134.12</v>
      </c>
      <c r="D99" s="198">
        <v>730985.32</v>
      </c>
      <c r="E99" s="198">
        <v>384360.81</v>
      </c>
      <c r="F99" s="378">
        <v>492333.09</v>
      </c>
      <c r="G99" s="128">
        <f t="shared" si="3"/>
        <v>4140813.34</v>
      </c>
      <c r="I99" s="220"/>
      <c r="J99" s="221"/>
      <c r="K99" s="199" t="s">
        <v>98</v>
      </c>
      <c r="L99" s="197" t="s">
        <v>935</v>
      </c>
      <c r="M99" s="117">
        <f>+C99</f>
        <v>2533134.12</v>
      </c>
      <c r="N99" s="198">
        <v>730985.32</v>
      </c>
      <c r="O99" s="279">
        <f t="shared" si="4"/>
        <v>3264119.44</v>
      </c>
      <c r="P99" s="50"/>
      <c r="Q99" s="96"/>
      <c r="R99" s="199" t="s">
        <v>98</v>
      </c>
      <c r="S99" s="197" t="s">
        <v>935</v>
      </c>
      <c r="T99" s="117">
        <v>2215466.65</v>
      </c>
      <c r="U99" s="129">
        <v>317667.46999999997</v>
      </c>
      <c r="V99" s="320">
        <v>2533134.12</v>
      </c>
      <c r="AE99"/>
      <c r="AF99"/>
      <c r="AG99"/>
      <c r="AH99"/>
      <c r="AI99"/>
      <c r="AJ99"/>
      <c r="BA99" s="199" t="s">
        <v>98</v>
      </c>
      <c r="BB99" s="197" t="s">
        <v>935</v>
      </c>
      <c r="BC99" s="77">
        <f t="shared" si="5"/>
        <v>0</v>
      </c>
      <c r="BE99" s="50" t="s">
        <v>98</v>
      </c>
      <c r="BF99" s="50" t="s">
        <v>935</v>
      </c>
      <c r="BG99" s="376">
        <v>492333.09</v>
      </c>
    </row>
    <row r="100" spans="1:59">
      <c r="A100" s="199" t="s">
        <v>364</v>
      </c>
      <c r="B100" s="197" t="s">
        <v>936</v>
      </c>
      <c r="C100" s="326">
        <v>-47013.47</v>
      </c>
      <c r="D100" s="198">
        <v>-293736.26</v>
      </c>
      <c r="E100" s="198">
        <v>-240947.99</v>
      </c>
      <c r="F100" s="378">
        <v>-211280.41</v>
      </c>
      <c r="G100" s="128">
        <f t="shared" si="3"/>
        <v>-792978.13</v>
      </c>
      <c r="I100" s="220"/>
      <c r="J100" s="221"/>
      <c r="K100" s="199" t="s">
        <v>364</v>
      </c>
      <c r="L100" s="197" t="s">
        <v>936</v>
      </c>
      <c r="M100" s="117"/>
      <c r="N100" s="198">
        <v>-293736.26</v>
      </c>
      <c r="O100" s="279">
        <f t="shared" si="4"/>
        <v>-293736.26</v>
      </c>
      <c r="P100" s="50"/>
      <c r="Q100" s="96"/>
      <c r="R100" s="199" t="s">
        <v>364</v>
      </c>
      <c r="S100" s="197" t="s">
        <v>936</v>
      </c>
      <c r="T100" s="117">
        <v>41962.75</v>
      </c>
      <c r="U100" s="129">
        <v>-88976.22</v>
      </c>
      <c r="V100" s="320">
        <v>-47013.47</v>
      </c>
      <c r="AE100"/>
      <c r="AF100"/>
      <c r="AG100"/>
      <c r="AH100"/>
      <c r="AI100"/>
      <c r="AJ100"/>
      <c r="BA100" s="199" t="s">
        <v>364</v>
      </c>
      <c r="BB100" s="197" t="s">
        <v>936</v>
      </c>
      <c r="BC100" s="77">
        <f t="shared" si="5"/>
        <v>0</v>
      </c>
      <c r="BE100" s="50" t="s">
        <v>364</v>
      </c>
      <c r="BF100" s="50" t="s">
        <v>936</v>
      </c>
      <c r="BG100" s="376">
        <v>-211280.41</v>
      </c>
    </row>
    <row r="101" spans="1:59">
      <c r="A101" s="199" t="s">
        <v>366</v>
      </c>
      <c r="B101" s="197" t="s">
        <v>937</v>
      </c>
      <c r="C101" s="324">
        <v>-645276.09</v>
      </c>
      <c r="D101" s="198">
        <v>-520610.59</v>
      </c>
      <c r="E101" s="198">
        <v>-764456.62</v>
      </c>
      <c r="F101" s="378">
        <v>-788419.02</v>
      </c>
      <c r="G101" s="128">
        <f t="shared" si="3"/>
        <v>-2718762.32</v>
      </c>
      <c r="I101" s="220"/>
      <c r="J101" s="221"/>
      <c r="K101" s="199" t="s">
        <v>366</v>
      </c>
      <c r="L101" s="197" t="s">
        <v>937</v>
      </c>
      <c r="M101" s="117"/>
      <c r="N101" s="198">
        <v>-520610.59</v>
      </c>
      <c r="O101" s="117">
        <f t="shared" si="4"/>
        <v>-520610.59</v>
      </c>
      <c r="P101" s="50"/>
      <c r="Q101" s="96"/>
      <c r="R101" s="199" t="s">
        <v>366</v>
      </c>
      <c r="S101" s="197" t="s">
        <v>937</v>
      </c>
      <c r="T101" s="117">
        <v>-471358.75</v>
      </c>
      <c r="U101" s="129">
        <v>-645276.09</v>
      </c>
      <c r="V101" s="315">
        <v>-645276.09</v>
      </c>
      <c r="AE101"/>
      <c r="AF101"/>
      <c r="AG101"/>
      <c r="AH101"/>
      <c r="AI101"/>
      <c r="AJ101"/>
      <c r="BA101" s="199" t="s">
        <v>366</v>
      </c>
      <c r="BB101" s="197" t="s">
        <v>937</v>
      </c>
      <c r="BC101" s="77">
        <f t="shared" si="5"/>
        <v>0</v>
      </c>
      <c r="BE101" s="50" t="s">
        <v>366</v>
      </c>
      <c r="BF101" s="50" t="s">
        <v>937</v>
      </c>
      <c r="BG101" s="376">
        <v>-788419.02</v>
      </c>
    </row>
    <row r="102" spans="1:59">
      <c r="A102" s="199" t="s">
        <v>367</v>
      </c>
      <c r="B102" s="197" t="s">
        <v>938</v>
      </c>
      <c r="C102" s="326">
        <v>1299458</v>
      </c>
      <c r="D102" s="198">
        <v>215317.4</v>
      </c>
      <c r="E102" s="198">
        <v>252728.52</v>
      </c>
      <c r="F102" s="378">
        <v>50547.1</v>
      </c>
      <c r="G102" s="128">
        <f t="shared" si="3"/>
        <v>1818051.02</v>
      </c>
      <c r="I102" s="220"/>
      <c r="J102" s="221"/>
      <c r="K102" s="199" t="s">
        <v>367</v>
      </c>
      <c r="L102" s="197" t="s">
        <v>938</v>
      </c>
      <c r="M102" s="117">
        <f>+C102</f>
        <v>1299458</v>
      </c>
      <c r="N102" s="198">
        <v>215317.4</v>
      </c>
      <c r="O102" s="279">
        <f t="shared" si="4"/>
        <v>1514775.4</v>
      </c>
      <c r="P102" s="50"/>
      <c r="Q102" s="96"/>
      <c r="R102" s="199" t="s">
        <v>367</v>
      </c>
      <c r="S102" s="197" t="s">
        <v>938</v>
      </c>
      <c r="T102" s="117">
        <v>1222095.75</v>
      </c>
      <c r="U102" s="129">
        <v>77362.25</v>
      </c>
      <c r="V102" s="320">
        <v>1299458</v>
      </c>
      <c r="AE102"/>
      <c r="AF102"/>
      <c r="AG102"/>
      <c r="AH102"/>
      <c r="AI102"/>
      <c r="AJ102"/>
      <c r="BA102" s="199" t="s">
        <v>367</v>
      </c>
      <c r="BB102" s="197" t="s">
        <v>938</v>
      </c>
      <c r="BC102" s="77">
        <f t="shared" si="5"/>
        <v>0</v>
      </c>
      <c r="BE102" s="50" t="s">
        <v>367</v>
      </c>
      <c r="BF102" s="50" t="s">
        <v>938</v>
      </c>
      <c r="BG102" s="376">
        <v>50547.1</v>
      </c>
    </row>
    <row r="103" spans="1:59">
      <c r="A103" s="199" t="s">
        <v>369</v>
      </c>
      <c r="B103" s="197" t="s">
        <v>939</v>
      </c>
      <c r="C103" s="324">
        <v>-260611.35</v>
      </c>
      <c r="D103" s="198">
        <v>-181060.45</v>
      </c>
      <c r="E103" s="198">
        <v>-202239.14</v>
      </c>
      <c r="F103" s="378">
        <v>-388170.26</v>
      </c>
      <c r="G103" s="128">
        <f t="shared" si="3"/>
        <v>-1032081.2000000001</v>
      </c>
      <c r="I103" s="220"/>
      <c r="J103" s="221"/>
      <c r="K103" s="199" t="s">
        <v>369</v>
      </c>
      <c r="L103" s="197" t="s">
        <v>939</v>
      </c>
      <c r="M103" s="117"/>
      <c r="N103" s="198">
        <v>-181060.45</v>
      </c>
      <c r="O103" s="117">
        <f t="shared" si="4"/>
        <v>-181060.45</v>
      </c>
      <c r="P103" s="50"/>
      <c r="Q103" s="96"/>
      <c r="R103" s="199" t="s">
        <v>369</v>
      </c>
      <c r="S103" s="197" t="s">
        <v>939</v>
      </c>
      <c r="T103" s="117">
        <v>-185875.91</v>
      </c>
      <c r="U103" s="129">
        <v>-260611.35</v>
      </c>
      <c r="V103" s="315">
        <v>-260611.35</v>
      </c>
      <c r="AE103"/>
      <c r="AF103"/>
      <c r="AG103"/>
      <c r="AH103"/>
      <c r="AI103"/>
      <c r="AJ103"/>
      <c r="BA103" s="199" t="s">
        <v>369</v>
      </c>
      <c r="BB103" s="197" t="s">
        <v>939</v>
      </c>
      <c r="BC103" s="77">
        <f t="shared" si="5"/>
        <v>0</v>
      </c>
      <c r="BE103" s="50" t="s">
        <v>369</v>
      </c>
      <c r="BF103" s="50" t="s">
        <v>939</v>
      </c>
      <c r="BG103" s="376">
        <v>-388170.26</v>
      </c>
    </row>
    <row r="104" spans="1:59">
      <c r="A104" s="199" t="s">
        <v>371</v>
      </c>
      <c r="B104" s="197" t="s">
        <v>940</v>
      </c>
      <c r="C104" s="324">
        <v>-615663.81999999995</v>
      </c>
      <c r="D104" s="198">
        <v>-424279.52</v>
      </c>
      <c r="E104" s="198">
        <v>-677672.61</v>
      </c>
      <c r="F104" s="378">
        <v>-648497</v>
      </c>
      <c r="G104" s="128">
        <f t="shared" si="3"/>
        <v>-2366112.9500000002</v>
      </c>
      <c r="I104" s="220"/>
      <c r="J104" s="221"/>
      <c r="K104" s="199" t="s">
        <v>371</v>
      </c>
      <c r="L104" s="197" t="s">
        <v>940</v>
      </c>
      <c r="M104" s="117"/>
      <c r="N104" s="198">
        <v>-424279.52</v>
      </c>
      <c r="O104" s="117">
        <f t="shared" si="4"/>
        <v>-424279.52</v>
      </c>
      <c r="P104" s="50"/>
      <c r="Q104" s="96"/>
      <c r="R104" s="199" t="s">
        <v>371</v>
      </c>
      <c r="S104" s="197" t="s">
        <v>940</v>
      </c>
      <c r="T104" s="117">
        <v>-407059.53</v>
      </c>
      <c r="U104" s="129">
        <v>-615663.81999999995</v>
      </c>
      <c r="V104" s="315">
        <v>-615663.81999999995</v>
      </c>
      <c r="AE104"/>
      <c r="AF104"/>
      <c r="AG104"/>
      <c r="AH104"/>
      <c r="AI104"/>
      <c r="AJ104"/>
      <c r="BA104" s="199" t="s">
        <v>371</v>
      </c>
      <c r="BB104" s="197" t="s">
        <v>940</v>
      </c>
      <c r="BC104" s="77">
        <f t="shared" si="5"/>
        <v>0</v>
      </c>
      <c r="BE104" s="50" t="s">
        <v>371</v>
      </c>
      <c r="BF104" s="50" t="s">
        <v>940</v>
      </c>
      <c r="BG104" s="376">
        <v>-648497</v>
      </c>
    </row>
    <row r="105" spans="1:59">
      <c r="A105" s="199" t="s">
        <v>373</v>
      </c>
      <c r="B105" s="197" t="s">
        <v>941</v>
      </c>
      <c r="C105" s="326">
        <v>621922.4</v>
      </c>
      <c r="D105" s="198">
        <v>50366.39</v>
      </c>
      <c r="E105" s="198">
        <v>348175.66</v>
      </c>
      <c r="F105" s="378">
        <v>510041.88</v>
      </c>
      <c r="G105" s="128">
        <f t="shared" si="3"/>
        <v>1530506.33</v>
      </c>
      <c r="I105" s="220"/>
      <c r="J105" s="221"/>
      <c r="K105" s="199" t="s">
        <v>373</v>
      </c>
      <c r="L105" s="197" t="s">
        <v>941</v>
      </c>
      <c r="M105" s="117">
        <f>+C105</f>
        <v>621922.4</v>
      </c>
      <c r="N105" s="198">
        <v>50366.39</v>
      </c>
      <c r="O105" s="279">
        <f t="shared" si="4"/>
        <v>672288.79</v>
      </c>
      <c r="P105" s="50"/>
      <c r="Q105" s="96"/>
      <c r="R105" s="199" t="s">
        <v>373</v>
      </c>
      <c r="S105" s="197" t="s">
        <v>941</v>
      </c>
      <c r="T105" s="117">
        <v>762309.79</v>
      </c>
      <c r="U105" s="129">
        <v>-140387.39000000001</v>
      </c>
      <c r="V105" s="320">
        <v>621922.4</v>
      </c>
      <c r="AE105"/>
      <c r="AF105"/>
      <c r="AG105"/>
      <c r="AH105"/>
      <c r="AI105"/>
      <c r="AJ105"/>
      <c r="BA105" s="199" t="s">
        <v>373</v>
      </c>
      <c r="BB105" s="197" t="s">
        <v>941</v>
      </c>
      <c r="BC105" s="77">
        <f t="shared" si="5"/>
        <v>0</v>
      </c>
      <c r="BE105" s="50" t="s">
        <v>373</v>
      </c>
      <c r="BF105" s="50" t="s">
        <v>941</v>
      </c>
      <c r="BG105" s="376">
        <v>510041.88</v>
      </c>
    </row>
    <row r="106" spans="1:59">
      <c r="A106" s="199" t="s">
        <v>375</v>
      </c>
      <c r="B106" s="197" t="s">
        <v>942</v>
      </c>
      <c r="C106" s="324">
        <v>-494175.7</v>
      </c>
      <c r="D106" s="198">
        <v>-421662.85</v>
      </c>
      <c r="E106" s="198">
        <v>-495440.65</v>
      </c>
      <c r="F106" s="378">
        <v>80994.87</v>
      </c>
      <c r="G106" s="128">
        <f t="shared" si="3"/>
        <v>-1330284.33</v>
      </c>
      <c r="I106" s="220"/>
      <c r="J106" s="221"/>
      <c r="K106" s="199" t="s">
        <v>375</v>
      </c>
      <c r="L106" s="197" t="s">
        <v>942</v>
      </c>
      <c r="M106" s="117"/>
      <c r="N106" s="198">
        <v>-421662.85</v>
      </c>
      <c r="O106" s="117">
        <f t="shared" si="4"/>
        <v>-421662.85</v>
      </c>
      <c r="P106" s="50"/>
      <c r="Q106" s="96"/>
      <c r="R106" s="199" t="s">
        <v>375</v>
      </c>
      <c r="S106" s="197" t="s">
        <v>942</v>
      </c>
      <c r="T106" s="117">
        <v>-375302.72</v>
      </c>
      <c r="U106" s="129">
        <v>-494175.7</v>
      </c>
      <c r="V106" s="315">
        <v>-494175.7</v>
      </c>
      <c r="AE106"/>
      <c r="AF106"/>
      <c r="AG106"/>
      <c r="AH106"/>
      <c r="AI106"/>
      <c r="AJ106"/>
      <c r="BA106" s="199" t="s">
        <v>375</v>
      </c>
      <c r="BB106" s="197" t="s">
        <v>942</v>
      </c>
      <c r="BC106" s="77">
        <f t="shared" si="5"/>
        <v>0</v>
      </c>
      <c r="BE106" s="50" t="s">
        <v>375</v>
      </c>
      <c r="BF106" s="50" t="s">
        <v>942</v>
      </c>
      <c r="BG106" s="376">
        <v>80994.87</v>
      </c>
    </row>
    <row r="107" spans="1:59">
      <c r="A107" s="273" t="s">
        <v>1547</v>
      </c>
      <c r="B107" s="274" t="s">
        <v>1661</v>
      </c>
      <c r="C107" s="329">
        <v>0</v>
      </c>
      <c r="D107" s="198">
        <v>-51741.599999999999</v>
      </c>
      <c r="E107" s="198">
        <v>-37156.949999999997</v>
      </c>
      <c r="F107" s="378">
        <v>-20295.400000000001</v>
      </c>
      <c r="G107" s="128">
        <f t="shared" si="3"/>
        <v>-109193.94999999998</v>
      </c>
      <c r="I107" s="220"/>
      <c r="J107" s="222"/>
      <c r="K107" s="273" t="s">
        <v>1547</v>
      </c>
      <c r="L107" s="274" t="s">
        <v>1661</v>
      </c>
      <c r="M107" s="117"/>
      <c r="N107" s="198">
        <v>-51741.599999999999</v>
      </c>
      <c r="O107" s="117">
        <f t="shared" si="4"/>
        <v>-51741.599999999999</v>
      </c>
      <c r="P107" s="50"/>
      <c r="Q107" s="91"/>
      <c r="R107" s="273" t="s">
        <v>1547</v>
      </c>
      <c r="S107" s="274" t="s">
        <v>1661</v>
      </c>
      <c r="T107" s="117">
        <v>0</v>
      </c>
      <c r="U107" s="129"/>
      <c r="V107" s="317">
        <v>0</v>
      </c>
      <c r="AE107"/>
      <c r="AF107"/>
      <c r="AG107"/>
      <c r="AH107"/>
      <c r="AI107"/>
      <c r="AJ107"/>
      <c r="BA107" s="273" t="s">
        <v>1547</v>
      </c>
      <c r="BB107" s="274" t="s">
        <v>1661</v>
      </c>
      <c r="BC107" s="77">
        <f t="shared" si="5"/>
        <v>0</v>
      </c>
      <c r="BE107" s="50" t="s">
        <v>1547</v>
      </c>
      <c r="BF107" s="50" t="s">
        <v>1661</v>
      </c>
      <c r="BG107" s="376">
        <v>-20295.400000000001</v>
      </c>
    </row>
    <row r="108" spans="1:59">
      <c r="A108" s="144" t="s">
        <v>1619</v>
      </c>
      <c r="B108" s="275" t="s">
        <v>1708</v>
      </c>
      <c r="C108" s="329"/>
      <c r="D108" s="198"/>
      <c r="E108" s="198">
        <v>-38015.93</v>
      </c>
      <c r="F108" s="378">
        <v>-29725.63</v>
      </c>
      <c r="G108" s="128">
        <f t="shared" si="3"/>
        <v>-67741.56</v>
      </c>
      <c r="I108" s="220"/>
      <c r="J108" s="222"/>
      <c r="K108" s="144" t="s">
        <v>1619</v>
      </c>
      <c r="L108" s="275" t="s">
        <v>1708</v>
      </c>
      <c r="M108" s="117"/>
      <c r="N108" s="198"/>
      <c r="O108" s="117"/>
      <c r="P108" s="50"/>
      <c r="Q108" s="91"/>
      <c r="R108" s="144" t="s">
        <v>1619</v>
      </c>
      <c r="S108" s="275" t="s">
        <v>1708</v>
      </c>
      <c r="T108" s="117"/>
      <c r="U108" s="129"/>
      <c r="V108" s="317"/>
      <c r="AE108"/>
      <c r="AF108"/>
      <c r="AG108"/>
      <c r="AH108"/>
      <c r="AI108"/>
      <c r="AJ108"/>
      <c r="BA108" s="144" t="s">
        <v>1619</v>
      </c>
      <c r="BB108" s="275" t="s">
        <v>1708</v>
      </c>
      <c r="BC108" s="77">
        <f t="shared" si="5"/>
        <v>0</v>
      </c>
      <c r="BE108" s="50" t="s">
        <v>1619</v>
      </c>
      <c r="BF108" s="50" t="s">
        <v>1708</v>
      </c>
      <c r="BG108" s="376">
        <v>-29725.63</v>
      </c>
    </row>
    <row r="109" spans="1:59">
      <c r="A109" s="276" t="s">
        <v>1353</v>
      </c>
      <c r="B109" s="274" t="s">
        <v>1662</v>
      </c>
      <c r="C109" s="329">
        <v>0</v>
      </c>
      <c r="D109" s="198">
        <v>-19866.52</v>
      </c>
      <c r="E109" s="198">
        <v>-32413.08</v>
      </c>
      <c r="F109" s="378">
        <v>-58237.84</v>
      </c>
      <c r="G109" s="128">
        <f t="shared" si="3"/>
        <v>-110517.44</v>
      </c>
      <c r="I109" s="220"/>
      <c r="J109" s="222"/>
      <c r="K109" s="276" t="s">
        <v>1353</v>
      </c>
      <c r="L109" s="274" t="s">
        <v>1662</v>
      </c>
      <c r="M109" s="117"/>
      <c r="N109" s="198">
        <v>-19866.52</v>
      </c>
      <c r="O109" s="117">
        <f t="shared" si="4"/>
        <v>-19866.52</v>
      </c>
      <c r="P109" s="50"/>
      <c r="Q109" s="91"/>
      <c r="R109" s="276" t="s">
        <v>1353</v>
      </c>
      <c r="S109" s="274" t="s">
        <v>1662</v>
      </c>
      <c r="T109" s="117">
        <v>0</v>
      </c>
      <c r="U109" s="129"/>
      <c r="V109" s="317">
        <v>0</v>
      </c>
      <c r="AE109"/>
      <c r="AF109"/>
      <c r="AG109"/>
      <c r="AH109"/>
      <c r="AI109"/>
      <c r="AJ109"/>
      <c r="BA109" s="276" t="s">
        <v>1353</v>
      </c>
      <c r="BB109" s="274" t="s">
        <v>1662</v>
      </c>
      <c r="BC109" s="77">
        <f t="shared" si="5"/>
        <v>0</v>
      </c>
      <c r="BE109" s="50" t="s">
        <v>1353</v>
      </c>
      <c r="BF109" s="50" t="s">
        <v>1662</v>
      </c>
      <c r="BG109" s="376">
        <v>-58237.84</v>
      </c>
    </row>
    <row r="110" spans="1:59">
      <c r="A110" s="273" t="s">
        <v>1493</v>
      </c>
      <c r="B110" s="274" t="s">
        <v>1663</v>
      </c>
      <c r="C110" s="324">
        <v>0</v>
      </c>
      <c r="D110" s="198">
        <v>-20395.98</v>
      </c>
      <c r="E110" s="198">
        <v>-38554.1</v>
      </c>
      <c r="F110" s="378">
        <v>16232.67</v>
      </c>
      <c r="G110" s="128">
        <f t="shared" si="3"/>
        <v>-42717.41</v>
      </c>
      <c r="I110" s="220"/>
      <c r="J110" s="221"/>
      <c r="K110" s="273" t="s">
        <v>1493</v>
      </c>
      <c r="L110" s="274" t="s">
        <v>1663</v>
      </c>
      <c r="M110" s="117"/>
      <c r="N110" s="198">
        <v>-20395.98</v>
      </c>
      <c r="O110" s="117">
        <f t="shared" si="4"/>
        <v>-20395.98</v>
      </c>
      <c r="P110" s="50"/>
      <c r="Q110" s="96"/>
      <c r="R110" s="273" t="s">
        <v>1493</v>
      </c>
      <c r="S110" s="274" t="s">
        <v>1663</v>
      </c>
      <c r="T110" s="117">
        <v>0</v>
      </c>
      <c r="U110" s="129"/>
      <c r="V110" s="315">
        <v>0</v>
      </c>
      <c r="AE110"/>
      <c r="AF110"/>
      <c r="AG110"/>
      <c r="AH110"/>
      <c r="AI110"/>
      <c r="AJ110"/>
      <c r="BA110" s="273" t="s">
        <v>1493</v>
      </c>
      <c r="BB110" s="274" t="s">
        <v>1663</v>
      </c>
      <c r="BC110" s="77">
        <f t="shared" si="5"/>
        <v>0</v>
      </c>
      <c r="BE110" s="50" t="s">
        <v>1493</v>
      </c>
      <c r="BF110" s="50" t="s">
        <v>1663</v>
      </c>
      <c r="BG110" s="376">
        <v>16232.67</v>
      </c>
    </row>
    <row r="111" spans="1:59">
      <c r="A111" s="277" t="s">
        <v>1620</v>
      </c>
      <c r="B111" s="275" t="s">
        <v>1709</v>
      </c>
      <c r="C111" s="324"/>
      <c r="D111" s="198"/>
      <c r="E111" s="198">
        <v>-55180.82</v>
      </c>
      <c r="F111" s="378">
        <v>-81652.97</v>
      </c>
      <c r="G111" s="128">
        <f t="shared" si="3"/>
        <v>-136833.79</v>
      </c>
      <c r="I111" s="220"/>
      <c r="J111" s="221"/>
      <c r="K111" s="277" t="s">
        <v>1620</v>
      </c>
      <c r="L111" s="275" t="s">
        <v>1709</v>
      </c>
      <c r="M111" s="117"/>
      <c r="N111" s="198"/>
      <c r="O111" s="117"/>
      <c r="P111" s="50"/>
      <c r="Q111" s="96"/>
      <c r="R111" s="277" t="s">
        <v>1620</v>
      </c>
      <c r="S111" s="275" t="s">
        <v>1709</v>
      </c>
      <c r="T111" s="117"/>
      <c r="U111" s="129"/>
      <c r="V111" s="315"/>
      <c r="AE111"/>
      <c r="AF111"/>
      <c r="AG111"/>
      <c r="AH111"/>
      <c r="AI111"/>
      <c r="AJ111"/>
      <c r="BA111" s="277" t="s">
        <v>1620</v>
      </c>
      <c r="BB111" s="275" t="s">
        <v>1709</v>
      </c>
      <c r="BC111" s="77">
        <f t="shared" si="5"/>
        <v>0</v>
      </c>
      <c r="BE111" s="50" t="s">
        <v>1620</v>
      </c>
      <c r="BF111" s="50" t="s">
        <v>1709</v>
      </c>
      <c r="BG111" s="376">
        <v>-81652.97</v>
      </c>
    </row>
    <row r="112" spans="1:59" s="77" customFormat="1">
      <c r="A112" s="377" t="s">
        <v>1686</v>
      </c>
      <c r="B112" s="122" t="s">
        <v>2094</v>
      </c>
      <c r="C112" s="324"/>
      <c r="D112" s="198"/>
      <c r="E112" s="198"/>
      <c r="F112" s="378">
        <v>-59922.36</v>
      </c>
      <c r="G112" s="128">
        <f t="shared" si="3"/>
        <v>-59922.36</v>
      </c>
      <c r="I112" s="220"/>
      <c r="J112" s="221"/>
      <c r="K112" s="144"/>
      <c r="L112" s="275"/>
      <c r="M112" s="117"/>
      <c r="N112" s="198"/>
      <c r="O112" s="117"/>
      <c r="Q112" s="96"/>
      <c r="R112" s="144"/>
      <c r="S112" s="275"/>
      <c r="T112" s="117"/>
      <c r="U112" s="129"/>
      <c r="V112" s="315"/>
      <c r="W112" s="119"/>
      <c r="X112" s="119"/>
      <c r="Y112" s="119"/>
      <c r="Z112" s="119"/>
      <c r="AA112" s="119"/>
      <c r="AB112" s="119"/>
      <c r="AC112" s="119"/>
      <c r="AD112" s="119"/>
      <c r="AE112" s="119"/>
      <c r="AF112" s="119"/>
      <c r="AG112" s="119"/>
      <c r="AH112" s="119"/>
      <c r="AI112" s="119"/>
      <c r="AJ112" s="119"/>
      <c r="BA112" s="144"/>
      <c r="BB112" s="275"/>
      <c r="BC112" s="77">
        <f t="shared" si="5"/>
        <v>17911</v>
      </c>
      <c r="BE112" s="50" t="s">
        <v>1686</v>
      </c>
      <c r="BF112" s="50" t="s">
        <v>2094</v>
      </c>
      <c r="BG112" s="376">
        <v>-59922.36</v>
      </c>
    </row>
    <row r="113" spans="1:59">
      <c r="A113" s="199" t="s">
        <v>377</v>
      </c>
      <c r="B113" s="197" t="s">
        <v>943</v>
      </c>
      <c r="C113" s="326">
        <v>134019.31</v>
      </c>
      <c r="D113" s="198">
        <v>-36063.129999999997</v>
      </c>
      <c r="E113" s="198">
        <v>98319.3</v>
      </c>
      <c r="F113" s="378">
        <v>-152545.51999999999</v>
      </c>
      <c r="G113" s="128">
        <f t="shared" si="3"/>
        <v>43729.959999999992</v>
      </c>
      <c r="I113" s="220"/>
      <c r="J113" s="221"/>
      <c r="K113" s="199" t="s">
        <v>377</v>
      </c>
      <c r="L113" s="197" t="s">
        <v>943</v>
      </c>
      <c r="M113" s="117">
        <f>+C113</f>
        <v>134019.31</v>
      </c>
      <c r="N113" s="198">
        <v>-36063.129999999997</v>
      </c>
      <c r="O113" s="279">
        <f t="shared" si="4"/>
        <v>97956.18</v>
      </c>
      <c r="P113" s="50"/>
      <c r="Q113" s="96"/>
      <c r="R113" s="199" t="s">
        <v>377</v>
      </c>
      <c r="S113" s="197" t="s">
        <v>943</v>
      </c>
      <c r="T113" s="117">
        <v>94759</v>
      </c>
      <c r="U113" s="129">
        <v>39260.31</v>
      </c>
      <c r="V113" s="320">
        <v>134019.31</v>
      </c>
      <c r="AE113"/>
      <c r="AF113"/>
      <c r="AG113"/>
      <c r="AH113"/>
      <c r="AI113"/>
      <c r="AJ113"/>
      <c r="BA113" s="199" t="s">
        <v>377</v>
      </c>
      <c r="BB113" s="197" t="s">
        <v>943</v>
      </c>
      <c r="BC113" s="77">
        <f t="shared" si="5"/>
        <v>0</v>
      </c>
      <c r="BE113" s="50" t="s">
        <v>377</v>
      </c>
      <c r="BF113" s="50" t="s">
        <v>943</v>
      </c>
      <c r="BG113" s="376">
        <v>-152545.51999999999</v>
      </c>
    </row>
    <row r="114" spans="1:59">
      <c r="A114" s="199" t="s">
        <v>379</v>
      </c>
      <c r="B114" s="197" t="s">
        <v>944</v>
      </c>
      <c r="C114" s="324">
        <v>-93654.29</v>
      </c>
      <c r="D114" s="198">
        <v>-151455.47</v>
      </c>
      <c r="E114" s="198">
        <v>-95613.8</v>
      </c>
      <c r="F114" s="378">
        <v>-210632</v>
      </c>
      <c r="G114" s="128">
        <f t="shared" si="3"/>
        <v>-551355.56000000006</v>
      </c>
      <c r="I114" s="220"/>
      <c r="J114" s="221"/>
      <c r="K114" s="199" t="s">
        <v>379</v>
      </c>
      <c r="L114" s="197" t="s">
        <v>944</v>
      </c>
      <c r="M114" s="117"/>
      <c r="N114" s="198">
        <v>-151455.47</v>
      </c>
      <c r="O114" s="117">
        <f t="shared" si="4"/>
        <v>-151455.47</v>
      </c>
      <c r="P114" s="50"/>
      <c r="Q114" s="96"/>
      <c r="R114" s="199" t="s">
        <v>379</v>
      </c>
      <c r="S114" s="197" t="s">
        <v>944</v>
      </c>
      <c r="T114" s="117">
        <v>-143362.62</v>
      </c>
      <c r="U114" s="129">
        <v>-93654.29</v>
      </c>
      <c r="V114" s="315">
        <v>-93654.29</v>
      </c>
      <c r="AE114"/>
      <c r="AF114"/>
      <c r="AG114"/>
      <c r="AH114"/>
      <c r="AI114"/>
      <c r="AJ114"/>
      <c r="BA114" s="199" t="s">
        <v>379</v>
      </c>
      <c r="BB114" s="197" t="s">
        <v>944</v>
      </c>
      <c r="BC114" s="77">
        <f t="shared" si="5"/>
        <v>0</v>
      </c>
      <c r="BE114" s="50" t="s">
        <v>379</v>
      </c>
      <c r="BF114" s="50" t="s">
        <v>944</v>
      </c>
      <c r="BG114" s="376">
        <v>-210632</v>
      </c>
    </row>
    <row r="115" spans="1:59">
      <c r="A115" s="199" t="s">
        <v>381</v>
      </c>
      <c r="B115" s="197" t="s">
        <v>945</v>
      </c>
      <c r="C115" s="329">
        <v>-217163.17</v>
      </c>
      <c r="D115" s="198">
        <v>-263624.33</v>
      </c>
      <c r="E115" s="198">
        <v>-237990.73</v>
      </c>
      <c r="F115" s="378">
        <v>-403481.21</v>
      </c>
      <c r="G115" s="128">
        <f t="shared" si="3"/>
        <v>-1122259.44</v>
      </c>
      <c r="I115" s="220"/>
      <c r="J115" s="221"/>
      <c r="K115" s="199" t="s">
        <v>381</v>
      </c>
      <c r="L115" s="197" t="s">
        <v>945</v>
      </c>
      <c r="M115" s="117"/>
      <c r="N115" s="198">
        <v>-263624.33</v>
      </c>
      <c r="O115" s="117">
        <f t="shared" si="4"/>
        <v>-263624.33</v>
      </c>
      <c r="P115" s="50"/>
      <c r="Q115" s="91"/>
      <c r="R115" s="199" t="s">
        <v>381</v>
      </c>
      <c r="S115" s="197" t="s">
        <v>945</v>
      </c>
      <c r="T115" s="117">
        <v>-211823.76</v>
      </c>
      <c r="U115" s="129">
        <v>-217163.17</v>
      </c>
      <c r="V115" s="317">
        <v>-217163.17</v>
      </c>
      <c r="AE115"/>
      <c r="AF115"/>
      <c r="AG115"/>
      <c r="AH115"/>
      <c r="AI115"/>
      <c r="AJ115"/>
      <c r="BA115" s="199" t="s">
        <v>381</v>
      </c>
      <c r="BB115" s="197" t="s">
        <v>945</v>
      </c>
      <c r="BC115" s="77">
        <f t="shared" si="5"/>
        <v>0</v>
      </c>
      <c r="BE115" s="50" t="s">
        <v>381</v>
      </c>
      <c r="BF115" s="50" t="s">
        <v>945</v>
      </c>
      <c r="BG115" s="376">
        <v>-403481.21</v>
      </c>
    </row>
    <row r="116" spans="1:59">
      <c r="A116" s="199" t="s">
        <v>383</v>
      </c>
      <c r="B116" s="197" t="s">
        <v>946</v>
      </c>
      <c r="C116" s="324">
        <v>-370753.21</v>
      </c>
      <c r="D116" s="198">
        <v>-449036.76</v>
      </c>
      <c r="E116" s="198">
        <v>-765460.4</v>
      </c>
      <c r="F116" s="378">
        <v>-1170294.6200000001</v>
      </c>
      <c r="G116" s="128">
        <f t="shared" si="3"/>
        <v>-2755544.99</v>
      </c>
      <c r="I116" s="220"/>
      <c r="J116" s="221"/>
      <c r="K116" s="199" t="s">
        <v>383</v>
      </c>
      <c r="L116" s="197" t="s">
        <v>946</v>
      </c>
      <c r="M116" s="117"/>
      <c r="N116" s="198">
        <v>-449036.76</v>
      </c>
      <c r="O116" s="117">
        <f t="shared" si="4"/>
        <v>-449036.76</v>
      </c>
      <c r="P116" s="50"/>
      <c r="Q116" s="96"/>
      <c r="R116" s="199" t="s">
        <v>383</v>
      </c>
      <c r="S116" s="197" t="s">
        <v>946</v>
      </c>
      <c r="T116" s="117">
        <v>-196282.34</v>
      </c>
      <c r="U116" s="129">
        <v>-370753.21</v>
      </c>
      <c r="V116" s="315">
        <v>-370753.21</v>
      </c>
      <c r="AE116"/>
      <c r="AF116"/>
      <c r="AG116"/>
      <c r="AH116"/>
      <c r="AI116"/>
      <c r="AJ116"/>
      <c r="BA116" s="199" t="s">
        <v>383</v>
      </c>
      <c r="BB116" s="197" t="s">
        <v>946</v>
      </c>
      <c r="BC116" s="77">
        <f t="shared" si="5"/>
        <v>0</v>
      </c>
      <c r="BE116" s="50" t="s">
        <v>383</v>
      </c>
      <c r="BF116" s="50" t="s">
        <v>946</v>
      </c>
      <c r="BG116" s="376">
        <v>-1170294.6200000001</v>
      </c>
    </row>
    <row r="117" spans="1:59">
      <c r="A117" s="199" t="s">
        <v>385</v>
      </c>
      <c r="B117" s="197" t="s">
        <v>947</v>
      </c>
      <c r="C117" s="324">
        <v>-438348.87</v>
      </c>
      <c r="D117" s="198">
        <v>160609.20000000001</v>
      </c>
      <c r="E117" s="198">
        <v>-323035.11</v>
      </c>
      <c r="F117" s="378">
        <v>-120176.07</v>
      </c>
      <c r="G117" s="128">
        <f t="shared" si="3"/>
        <v>-720950.85000000009</v>
      </c>
      <c r="I117" s="220"/>
      <c r="J117" s="221"/>
      <c r="K117" s="199" t="s">
        <v>385</v>
      </c>
      <c r="L117" s="197" t="s">
        <v>947</v>
      </c>
      <c r="M117" s="117">
        <f>+C117</f>
        <v>-438348.87</v>
      </c>
      <c r="N117" s="198">
        <v>160609.20000000001</v>
      </c>
      <c r="O117" s="313">
        <f>IF(+M117+N117&lt;0,0,(+M117+N117))</f>
        <v>0</v>
      </c>
      <c r="P117" s="50"/>
      <c r="Q117" s="96"/>
      <c r="R117" s="199" t="s">
        <v>385</v>
      </c>
      <c r="S117" s="197" t="s">
        <v>947</v>
      </c>
      <c r="T117" s="117">
        <v>-354009.14</v>
      </c>
      <c r="U117" s="129">
        <v>-438348.87</v>
      </c>
      <c r="V117" s="315">
        <v>-438348.87</v>
      </c>
      <c r="AE117"/>
      <c r="AF117"/>
      <c r="AG117"/>
      <c r="AH117"/>
      <c r="AI117"/>
      <c r="AJ117"/>
      <c r="BA117" s="199" t="s">
        <v>385</v>
      </c>
      <c r="BB117" s="197" t="s">
        <v>947</v>
      </c>
      <c r="BC117" s="77">
        <f t="shared" si="5"/>
        <v>0</v>
      </c>
      <c r="BE117" s="50" t="s">
        <v>385</v>
      </c>
      <c r="BF117" s="50" t="s">
        <v>947</v>
      </c>
      <c r="BG117" s="376">
        <v>-120176.07</v>
      </c>
    </row>
    <row r="118" spans="1:59">
      <c r="A118" s="199" t="s">
        <v>389</v>
      </c>
      <c r="B118" s="197" t="s">
        <v>948</v>
      </c>
      <c r="C118" s="324">
        <v>-39364.019999999997</v>
      </c>
      <c r="D118" s="198">
        <v>-49613.74</v>
      </c>
      <c r="E118" s="198">
        <v>-57595.48</v>
      </c>
      <c r="F118" s="378">
        <v>-37009.54</v>
      </c>
      <c r="G118" s="128">
        <f t="shared" si="3"/>
        <v>-183582.78</v>
      </c>
      <c r="I118" s="220"/>
      <c r="J118" s="221"/>
      <c r="K118" s="199" t="s">
        <v>389</v>
      </c>
      <c r="L118" s="197" t="s">
        <v>948</v>
      </c>
      <c r="M118" s="117"/>
      <c r="N118" s="198">
        <v>-49613.74</v>
      </c>
      <c r="O118" s="117">
        <f t="shared" si="4"/>
        <v>-49613.74</v>
      </c>
      <c r="P118" s="50"/>
      <c r="Q118" s="96"/>
      <c r="R118" s="199" t="s">
        <v>389</v>
      </c>
      <c r="S118" s="197" t="s">
        <v>948</v>
      </c>
      <c r="T118" s="117">
        <v>-31997.98</v>
      </c>
      <c r="U118" s="129">
        <v>-39364.019999999997</v>
      </c>
      <c r="V118" s="315">
        <v>-39364.019999999997</v>
      </c>
      <c r="AE118"/>
      <c r="AF118"/>
      <c r="AG118"/>
      <c r="AH118"/>
      <c r="AI118"/>
      <c r="AJ118"/>
      <c r="BA118" s="199" t="s">
        <v>389</v>
      </c>
      <c r="BB118" s="197" t="s">
        <v>948</v>
      </c>
      <c r="BC118" s="77">
        <f t="shared" si="5"/>
        <v>0</v>
      </c>
      <c r="BE118" s="50" t="s">
        <v>389</v>
      </c>
      <c r="BF118" s="50" t="s">
        <v>948</v>
      </c>
      <c r="BG118" s="376">
        <v>-37009.54</v>
      </c>
    </row>
    <row r="119" spans="1:59">
      <c r="A119" s="199" t="s">
        <v>391</v>
      </c>
      <c r="B119" s="197" t="s">
        <v>949</v>
      </c>
      <c r="C119" s="324">
        <v>-60407.25</v>
      </c>
      <c r="D119" s="198">
        <v>-141141.41</v>
      </c>
      <c r="E119" s="198">
        <v>-55286.8</v>
      </c>
      <c r="F119" s="378">
        <v>-57293.66</v>
      </c>
      <c r="G119" s="128">
        <f t="shared" si="3"/>
        <v>-314129.12</v>
      </c>
      <c r="I119" s="220"/>
      <c r="J119" s="221"/>
      <c r="K119" s="199" t="s">
        <v>391</v>
      </c>
      <c r="L119" s="197" t="s">
        <v>949</v>
      </c>
      <c r="M119" s="117"/>
      <c r="N119" s="198">
        <v>-141141.41</v>
      </c>
      <c r="O119" s="117">
        <f t="shared" si="4"/>
        <v>-141141.41</v>
      </c>
      <c r="P119" s="50"/>
      <c r="Q119" s="96"/>
      <c r="R119" s="199" t="s">
        <v>391</v>
      </c>
      <c r="S119" s="197" t="s">
        <v>949</v>
      </c>
      <c r="T119" s="117">
        <v>-45834.06</v>
      </c>
      <c r="U119" s="129">
        <v>-60407.25</v>
      </c>
      <c r="V119" s="315">
        <v>-60407.25</v>
      </c>
      <c r="AE119"/>
      <c r="AF119"/>
      <c r="AG119"/>
      <c r="AH119"/>
      <c r="AI119"/>
      <c r="AJ119"/>
      <c r="BA119" s="199" t="s">
        <v>391</v>
      </c>
      <c r="BB119" s="197" t="s">
        <v>949</v>
      </c>
      <c r="BC119" s="77">
        <f t="shared" si="5"/>
        <v>0</v>
      </c>
      <c r="BE119" s="50" t="s">
        <v>391</v>
      </c>
      <c r="BF119" s="50" t="s">
        <v>949</v>
      </c>
      <c r="BG119" s="376">
        <v>-57293.66</v>
      </c>
    </row>
    <row r="120" spans="1:59">
      <c r="A120" s="199" t="s">
        <v>393</v>
      </c>
      <c r="B120" s="197" t="s">
        <v>950</v>
      </c>
      <c r="C120" s="324">
        <v>-132652.07999999999</v>
      </c>
      <c r="D120" s="198">
        <v>-131294.49</v>
      </c>
      <c r="E120" s="198">
        <v>-154845.26</v>
      </c>
      <c r="F120" s="378">
        <v>-187467.28</v>
      </c>
      <c r="G120" s="128">
        <f t="shared" si="3"/>
        <v>-606259.11</v>
      </c>
      <c r="I120" s="220"/>
      <c r="J120" s="221"/>
      <c r="K120" s="199" t="s">
        <v>393</v>
      </c>
      <c r="L120" s="197" t="s">
        <v>950</v>
      </c>
      <c r="M120" s="117"/>
      <c r="N120" s="198">
        <v>-131294.49</v>
      </c>
      <c r="O120" s="117">
        <f t="shared" si="4"/>
        <v>-131294.49</v>
      </c>
      <c r="P120" s="50"/>
      <c r="Q120" s="96"/>
      <c r="R120" s="199" t="s">
        <v>393</v>
      </c>
      <c r="S120" s="197" t="s">
        <v>950</v>
      </c>
      <c r="T120" s="117">
        <v>-85647.33</v>
      </c>
      <c r="U120" s="129">
        <v>-132652.07999999999</v>
      </c>
      <c r="V120" s="315">
        <v>-132652.07999999999</v>
      </c>
      <c r="AE120"/>
      <c r="AF120"/>
      <c r="AG120"/>
      <c r="AH120"/>
      <c r="AI120"/>
      <c r="AJ120"/>
      <c r="BA120" s="199" t="s">
        <v>393</v>
      </c>
      <c r="BB120" s="197" t="s">
        <v>950</v>
      </c>
      <c r="BC120" s="77">
        <f t="shared" si="5"/>
        <v>0</v>
      </c>
      <c r="BE120" s="50" t="s">
        <v>393</v>
      </c>
      <c r="BF120" s="50" t="s">
        <v>950</v>
      </c>
      <c r="BG120" s="376">
        <v>-187467.28</v>
      </c>
    </row>
    <row r="121" spans="1:59">
      <c r="A121" s="199" t="s">
        <v>395</v>
      </c>
      <c r="B121" s="197" t="s">
        <v>951</v>
      </c>
      <c r="C121" s="324">
        <v>-86397.99</v>
      </c>
      <c r="D121" s="198">
        <v>-92898.34</v>
      </c>
      <c r="E121" s="198">
        <v>-96948</v>
      </c>
      <c r="F121" s="378">
        <v>-122959.67</v>
      </c>
      <c r="G121" s="128">
        <f t="shared" si="3"/>
        <v>-399204</v>
      </c>
      <c r="I121" s="220"/>
      <c r="J121" s="221"/>
      <c r="K121" s="199" t="s">
        <v>395</v>
      </c>
      <c r="L121" s="197" t="s">
        <v>951</v>
      </c>
      <c r="M121" s="117"/>
      <c r="N121" s="198">
        <v>-92898.34</v>
      </c>
      <c r="O121" s="117">
        <f t="shared" si="4"/>
        <v>-92898.34</v>
      </c>
      <c r="P121" s="50"/>
      <c r="Q121" s="96"/>
      <c r="R121" s="199" t="s">
        <v>395</v>
      </c>
      <c r="S121" s="197" t="s">
        <v>951</v>
      </c>
      <c r="T121" s="117">
        <v>-65945.119999999995</v>
      </c>
      <c r="U121" s="129">
        <v>-86397.99</v>
      </c>
      <c r="V121" s="315">
        <v>-86397.99</v>
      </c>
      <c r="AE121"/>
      <c r="AF121"/>
      <c r="AG121"/>
      <c r="AH121"/>
      <c r="AI121"/>
      <c r="AJ121"/>
      <c r="BA121" s="199" t="s">
        <v>395</v>
      </c>
      <c r="BB121" s="197" t="s">
        <v>951</v>
      </c>
      <c r="BC121" s="77">
        <f t="shared" si="5"/>
        <v>0</v>
      </c>
      <c r="BE121" s="50" t="s">
        <v>395</v>
      </c>
      <c r="BF121" s="50" t="s">
        <v>951</v>
      </c>
      <c r="BG121" s="376">
        <v>-122959.67</v>
      </c>
    </row>
    <row r="122" spans="1:59">
      <c r="A122" s="199" t="s">
        <v>397</v>
      </c>
      <c r="B122" s="197" t="s">
        <v>952</v>
      </c>
      <c r="C122" s="324">
        <v>-57631.28</v>
      </c>
      <c r="D122" s="198">
        <v>-92391.8</v>
      </c>
      <c r="E122" s="198">
        <v>-96195.26</v>
      </c>
      <c r="F122" s="378">
        <v>-135007.18</v>
      </c>
      <c r="G122" s="128">
        <f t="shared" si="3"/>
        <v>-381225.52</v>
      </c>
      <c r="I122" s="220"/>
      <c r="J122" s="221"/>
      <c r="K122" s="199" t="s">
        <v>397</v>
      </c>
      <c r="L122" s="197" t="s">
        <v>952</v>
      </c>
      <c r="M122" s="117"/>
      <c r="N122" s="198">
        <v>-92391.8</v>
      </c>
      <c r="O122" s="117">
        <f t="shared" si="4"/>
        <v>-92391.8</v>
      </c>
      <c r="P122" s="50"/>
      <c r="Q122" s="96"/>
      <c r="R122" s="199" t="s">
        <v>397</v>
      </c>
      <c r="S122" s="197" t="s">
        <v>952</v>
      </c>
      <c r="T122" s="117">
        <v>-94524.95</v>
      </c>
      <c r="U122" s="129">
        <v>-57631.28</v>
      </c>
      <c r="V122" s="315">
        <v>-57631.28</v>
      </c>
      <c r="AE122"/>
      <c r="AF122"/>
      <c r="AG122"/>
      <c r="AH122"/>
      <c r="AI122"/>
      <c r="AJ122"/>
      <c r="BA122" s="199" t="s">
        <v>397</v>
      </c>
      <c r="BB122" s="197" t="s">
        <v>952</v>
      </c>
      <c r="BC122" s="77">
        <f t="shared" si="5"/>
        <v>0</v>
      </c>
      <c r="BE122" s="50" t="s">
        <v>397</v>
      </c>
      <c r="BF122" s="50" t="s">
        <v>952</v>
      </c>
      <c r="BG122" s="376">
        <v>-135007.18</v>
      </c>
    </row>
    <row r="123" spans="1:59">
      <c r="A123" s="199" t="s">
        <v>399</v>
      </c>
      <c r="B123" s="197" t="s">
        <v>953</v>
      </c>
      <c r="C123" s="324">
        <v>-51091.14</v>
      </c>
      <c r="D123" s="198">
        <v>-46749.73</v>
      </c>
      <c r="E123" s="198">
        <v>-41605.4</v>
      </c>
      <c r="F123" s="378">
        <v>-48157.14</v>
      </c>
      <c r="G123" s="128">
        <f t="shared" si="3"/>
        <v>-187603.40999999997</v>
      </c>
      <c r="I123" s="220"/>
      <c r="J123" s="221"/>
      <c r="K123" s="199" t="s">
        <v>399</v>
      </c>
      <c r="L123" s="197" t="s">
        <v>953</v>
      </c>
      <c r="M123" s="117"/>
      <c r="N123" s="198">
        <v>-46749.73</v>
      </c>
      <c r="O123" s="117">
        <f t="shared" si="4"/>
        <v>-46749.73</v>
      </c>
      <c r="P123" s="50"/>
      <c r="Q123" s="96"/>
      <c r="R123" s="199" t="s">
        <v>399</v>
      </c>
      <c r="S123" s="197" t="s">
        <v>953</v>
      </c>
      <c r="T123" s="117">
        <v>-49048.77</v>
      </c>
      <c r="U123" s="129">
        <v>-51091.14</v>
      </c>
      <c r="V123" s="315">
        <v>-51091.14</v>
      </c>
      <c r="AE123"/>
      <c r="AF123"/>
      <c r="AG123"/>
      <c r="AH123"/>
      <c r="AI123"/>
      <c r="AJ123"/>
      <c r="BA123" s="199" t="s">
        <v>399</v>
      </c>
      <c r="BB123" s="197" t="s">
        <v>953</v>
      </c>
      <c r="BC123" s="77">
        <f t="shared" si="5"/>
        <v>0</v>
      </c>
      <c r="BE123" s="50" t="s">
        <v>399</v>
      </c>
      <c r="BF123" s="50" t="s">
        <v>953</v>
      </c>
      <c r="BG123" s="376">
        <v>-48157.14</v>
      </c>
    </row>
    <row r="124" spans="1:59">
      <c r="A124" s="199" t="s">
        <v>403</v>
      </c>
      <c r="B124" s="197" t="s">
        <v>954</v>
      </c>
      <c r="C124" s="324">
        <v>-15564.15</v>
      </c>
      <c r="D124" s="198">
        <v>-21939.94</v>
      </c>
      <c r="E124" s="198">
        <v>-25163.200000000001</v>
      </c>
      <c r="F124" s="378">
        <v>-33096.379999999997</v>
      </c>
      <c r="G124" s="128">
        <f t="shared" si="3"/>
        <v>-95763.669999999984</v>
      </c>
      <c r="I124" s="220"/>
      <c r="J124" s="221"/>
      <c r="K124" s="199" t="s">
        <v>403</v>
      </c>
      <c r="L124" s="197" t="s">
        <v>954</v>
      </c>
      <c r="M124" s="117"/>
      <c r="N124" s="198">
        <v>-21939.94</v>
      </c>
      <c r="O124" s="117">
        <f t="shared" si="4"/>
        <v>-21939.94</v>
      </c>
      <c r="P124" s="50"/>
      <c r="Q124" s="96"/>
      <c r="R124" s="199" t="s">
        <v>403</v>
      </c>
      <c r="S124" s="197" t="s">
        <v>954</v>
      </c>
      <c r="T124" s="117">
        <v>-40246.410000000003</v>
      </c>
      <c r="U124" s="129">
        <v>-15564.15</v>
      </c>
      <c r="V124" s="315">
        <v>-15564.15</v>
      </c>
      <c r="AE124"/>
      <c r="AF124"/>
      <c r="AG124"/>
      <c r="AH124"/>
      <c r="AI124"/>
      <c r="AJ124"/>
      <c r="BA124" s="199" t="s">
        <v>403</v>
      </c>
      <c r="BB124" s="197" t="s">
        <v>954</v>
      </c>
      <c r="BC124" s="77">
        <f t="shared" si="5"/>
        <v>0</v>
      </c>
      <c r="BE124" s="50" t="s">
        <v>403</v>
      </c>
      <c r="BF124" s="50" t="s">
        <v>954</v>
      </c>
      <c r="BG124" s="376">
        <v>-33096.379999999997</v>
      </c>
    </row>
    <row r="125" spans="1:59">
      <c r="A125" s="199" t="s">
        <v>407</v>
      </c>
      <c r="B125" s="197" t="s">
        <v>955</v>
      </c>
      <c r="C125" s="324">
        <v>-70873.929999999993</v>
      </c>
      <c r="D125" s="198">
        <v>-73872.5</v>
      </c>
      <c r="E125" s="198">
        <v>-80722.259999999995</v>
      </c>
      <c r="F125" s="378">
        <v>-64017.39</v>
      </c>
      <c r="G125" s="128">
        <f t="shared" si="3"/>
        <v>-289486.08000000002</v>
      </c>
      <c r="I125" s="220"/>
      <c r="J125" s="221"/>
      <c r="K125" s="199" t="s">
        <v>407</v>
      </c>
      <c r="L125" s="197" t="s">
        <v>955</v>
      </c>
      <c r="M125" s="117"/>
      <c r="N125" s="198">
        <v>-73872.5</v>
      </c>
      <c r="O125" s="117">
        <f t="shared" si="4"/>
        <v>-73872.5</v>
      </c>
      <c r="P125" s="50"/>
      <c r="Q125" s="96"/>
      <c r="R125" s="199" t="s">
        <v>407</v>
      </c>
      <c r="S125" s="197" t="s">
        <v>955</v>
      </c>
      <c r="T125" s="117">
        <v>-96666.95</v>
      </c>
      <c r="U125" s="129">
        <v>-70873.929999999993</v>
      </c>
      <c r="V125" s="315">
        <v>-70873.929999999993</v>
      </c>
      <c r="AE125"/>
      <c r="AF125"/>
      <c r="AG125"/>
      <c r="AH125"/>
      <c r="AI125"/>
      <c r="AJ125"/>
      <c r="BA125" s="199" t="s">
        <v>407</v>
      </c>
      <c r="BB125" s="197" t="s">
        <v>955</v>
      </c>
      <c r="BC125" s="77">
        <f t="shared" si="5"/>
        <v>0</v>
      </c>
      <c r="BE125" s="50" t="s">
        <v>407</v>
      </c>
      <c r="BF125" s="50" t="s">
        <v>955</v>
      </c>
      <c r="BG125" s="376">
        <v>-64017.39</v>
      </c>
    </row>
    <row r="126" spans="1:59">
      <c r="A126" s="199" t="s">
        <v>409</v>
      </c>
      <c r="B126" s="197" t="s">
        <v>410</v>
      </c>
      <c r="C126" s="324">
        <v>-80287.570000000007</v>
      </c>
      <c r="D126" s="198">
        <v>-78426.92</v>
      </c>
      <c r="E126" s="198">
        <v>-89256.22</v>
      </c>
      <c r="F126" s="378">
        <v>-96378.98</v>
      </c>
      <c r="G126" s="128">
        <f t="shared" si="3"/>
        <v>-344349.69</v>
      </c>
      <c r="I126" s="220"/>
      <c r="J126" s="221"/>
      <c r="K126" s="199" t="s">
        <v>409</v>
      </c>
      <c r="L126" s="197" t="s">
        <v>410</v>
      </c>
      <c r="M126" s="117"/>
      <c r="N126" s="198">
        <v>-78426.92</v>
      </c>
      <c r="O126" s="117">
        <f t="shared" si="4"/>
        <v>-78426.92</v>
      </c>
      <c r="P126" s="50"/>
      <c r="Q126" s="96"/>
      <c r="R126" s="199" t="s">
        <v>409</v>
      </c>
      <c r="S126" s="197" t="s">
        <v>410</v>
      </c>
      <c r="T126" s="117">
        <v>-82581.03</v>
      </c>
      <c r="U126" s="129">
        <v>-80287.570000000007</v>
      </c>
      <c r="V126" s="315">
        <v>-80287.570000000007</v>
      </c>
      <c r="AE126"/>
      <c r="AF126"/>
      <c r="AG126"/>
      <c r="AH126"/>
      <c r="AI126"/>
      <c r="AJ126"/>
      <c r="BA126" s="199" t="s">
        <v>409</v>
      </c>
      <c r="BB126" s="197" t="s">
        <v>410</v>
      </c>
      <c r="BC126" s="77">
        <f t="shared" si="5"/>
        <v>0</v>
      </c>
      <c r="BE126" s="50" t="s">
        <v>409</v>
      </c>
      <c r="BF126" s="50" t="s">
        <v>410</v>
      </c>
      <c r="BG126" s="376">
        <v>-96378.98</v>
      </c>
    </row>
    <row r="127" spans="1:59">
      <c r="A127" s="199" t="s">
        <v>413</v>
      </c>
      <c r="B127" s="197" t="s">
        <v>956</v>
      </c>
      <c r="C127" s="326">
        <v>21674.67</v>
      </c>
      <c r="D127" s="198">
        <v>13916.01</v>
      </c>
      <c r="E127" s="198">
        <v>-14059.5</v>
      </c>
      <c r="F127" s="378">
        <v>-56026.44</v>
      </c>
      <c r="G127" s="128">
        <f t="shared" si="3"/>
        <v>-34495.26</v>
      </c>
      <c r="I127" s="220"/>
      <c r="J127" s="221"/>
      <c r="K127" s="199" t="s">
        <v>413</v>
      </c>
      <c r="L127" s="197" t="s">
        <v>956</v>
      </c>
      <c r="M127" s="117">
        <f>+C127</f>
        <v>21674.67</v>
      </c>
      <c r="N127" s="198">
        <v>13916.01</v>
      </c>
      <c r="O127" s="279">
        <f t="shared" si="4"/>
        <v>35590.68</v>
      </c>
      <c r="P127" s="50"/>
      <c r="Q127" s="96"/>
      <c r="R127" s="199" t="s">
        <v>413</v>
      </c>
      <c r="S127" s="197" t="s">
        <v>956</v>
      </c>
      <c r="T127" s="117">
        <v>0</v>
      </c>
      <c r="U127" s="129">
        <v>21674.67</v>
      </c>
      <c r="V127" s="320">
        <v>21674.67</v>
      </c>
      <c r="AE127"/>
      <c r="AF127"/>
      <c r="AG127"/>
      <c r="AH127"/>
      <c r="AI127"/>
      <c r="AJ127"/>
      <c r="BA127" s="199" t="s">
        <v>413</v>
      </c>
      <c r="BB127" s="197" t="s">
        <v>956</v>
      </c>
      <c r="BC127" s="77">
        <f t="shared" si="5"/>
        <v>0</v>
      </c>
      <c r="BE127" s="50" t="s">
        <v>413</v>
      </c>
      <c r="BF127" s="50" t="s">
        <v>956</v>
      </c>
      <c r="BG127" s="376">
        <v>-56026.44</v>
      </c>
    </row>
    <row r="128" spans="1:59">
      <c r="A128" s="199" t="s">
        <v>415</v>
      </c>
      <c r="B128" s="197" t="s">
        <v>957</v>
      </c>
      <c r="C128" s="324">
        <v>-53966.14</v>
      </c>
      <c r="D128" s="198">
        <v>-75737.179999999993</v>
      </c>
      <c r="E128" s="198">
        <v>-68443.98</v>
      </c>
      <c r="F128" s="378">
        <v>-107475.51</v>
      </c>
      <c r="G128" s="128">
        <f t="shared" si="3"/>
        <v>-305622.81</v>
      </c>
      <c r="I128" s="220"/>
      <c r="J128" s="221"/>
      <c r="K128" s="199" t="s">
        <v>415</v>
      </c>
      <c r="L128" s="197" t="s">
        <v>957</v>
      </c>
      <c r="M128" s="117"/>
      <c r="N128" s="198">
        <v>-75737.179999999993</v>
      </c>
      <c r="O128" s="117">
        <f t="shared" si="4"/>
        <v>-75737.179999999993</v>
      </c>
      <c r="P128" s="50"/>
      <c r="Q128" s="96"/>
      <c r="R128" s="199" t="s">
        <v>415</v>
      </c>
      <c r="S128" s="197" t="s">
        <v>957</v>
      </c>
      <c r="T128" s="117">
        <v>-81017.259999999995</v>
      </c>
      <c r="U128" s="129">
        <v>-53966.14</v>
      </c>
      <c r="V128" s="315">
        <v>-53966.14</v>
      </c>
      <c r="AE128"/>
      <c r="AF128"/>
      <c r="AG128"/>
      <c r="AH128"/>
      <c r="AI128"/>
      <c r="AJ128"/>
      <c r="BA128" s="199" t="s">
        <v>415</v>
      </c>
      <c r="BB128" s="197" t="s">
        <v>957</v>
      </c>
      <c r="BC128" s="77">
        <f t="shared" si="5"/>
        <v>0</v>
      </c>
      <c r="BE128" s="50" t="s">
        <v>415</v>
      </c>
      <c r="BF128" s="50" t="s">
        <v>957</v>
      </c>
      <c r="BG128" s="376">
        <v>-107475.51</v>
      </c>
    </row>
    <row r="129" spans="1:59">
      <c r="A129" s="199" t="s">
        <v>417</v>
      </c>
      <c r="B129" s="197" t="s">
        <v>958</v>
      </c>
      <c r="C129" s="324">
        <v>-104667.85</v>
      </c>
      <c r="D129" s="198">
        <v>-101114</v>
      </c>
      <c r="E129" s="198">
        <v>-111136.63</v>
      </c>
      <c r="F129" s="378">
        <v>-110457.66</v>
      </c>
      <c r="G129" s="128">
        <f t="shared" si="3"/>
        <v>-427376.14</v>
      </c>
      <c r="I129" s="220"/>
      <c r="J129" s="221"/>
      <c r="K129" s="199" t="s">
        <v>417</v>
      </c>
      <c r="L129" s="197" t="s">
        <v>958</v>
      </c>
      <c r="M129" s="117"/>
      <c r="N129" s="198">
        <v>-101114</v>
      </c>
      <c r="O129" s="117">
        <f t="shared" si="4"/>
        <v>-101114</v>
      </c>
      <c r="P129" s="50"/>
      <c r="Q129" s="96"/>
      <c r="R129" s="199" t="s">
        <v>417</v>
      </c>
      <c r="S129" s="197" t="s">
        <v>958</v>
      </c>
      <c r="T129" s="117">
        <v>-60819.86</v>
      </c>
      <c r="U129" s="129">
        <v>-104667.85</v>
      </c>
      <c r="V129" s="315">
        <v>-104667.85</v>
      </c>
      <c r="AE129"/>
      <c r="AF129"/>
      <c r="AG129"/>
      <c r="AH129"/>
      <c r="AI129"/>
      <c r="AJ129"/>
      <c r="BA129" s="199" t="s">
        <v>417</v>
      </c>
      <c r="BB129" s="197" t="s">
        <v>958</v>
      </c>
      <c r="BC129" s="77">
        <f t="shared" si="5"/>
        <v>0</v>
      </c>
      <c r="BE129" s="50" t="s">
        <v>417</v>
      </c>
      <c r="BF129" s="50" t="s">
        <v>958</v>
      </c>
      <c r="BG129" s="376">
        <v>-110457.66</v>
      </c>
    </row>
    <row r="130" spans="1:59">
      <c r="A130" s="199" t="s">
        <v>419</v>
      </c>
      <c r="B130" s="197" t="s">
        <v>959</v>
      </c>
      <c r="C130" s="324">
        <v>-28221.81</v>
      </c>
      <c r="D130" s="198">
        <v>-15133.75</v>
      </c>
      <c r="E130" s="198">
        <v>-34396.18</v>
      </c>
      <c r="F130" s="378">
        <v>-23175.78</v>
      </c>
      <c r="G130" s="128">
        <f t="shared" si="3"/>
        <v>-100927.51999999999</v>
      </c>
      <c r="I130" s="220"/>
      <c r="J130" s="221"/>
      <c r="K130" s="199" t="s">
        <v>419</v>
      </c>
      <c r="L130" s="197" t="s">
        <v>959</v>
      </c>
      <c r="M130" s="117"/>
      <c r="N130" s="198">
        <v>-15133.75</v>
      </c>
      <c r="O130" s="117">
        <f t="shared" si="4"/>
        <v>-15133.75</v>
      </c>
      <c r="P130" s="50"/>
      <c r="Q130" s="96"/>
      <c r="R130" s="199" t="s">
        <v>419</v>
      </c>
      <c r="S130" s="197" t="s">
        <v>959</v>
      </c>
      <c r="T130" s="117">
        <v>-15848.59</v>
      </c>
      <c r="U130" s="129">
        <v>-28221.81</v>
      </c>
      <c r="V130" s="315">
        <v>-28221.81</v>
      </c>
      <c r="AE130"/>
      <c r="AF130"/>
      <c r="AG130"/>
      <c r="AH130"/>
      <c r="AI130"/>
      <c r="AJ130"/>
      <c r="BA130" s="199" t="s">
        <v>419</v>
      </c>
      <c r="BB130" s="197" t="s">
        <v>959</v>
      </c>
      <c r="BC130" s="77">
        <f t="shared" si="5"/>
        <v>0</v>
      </c>
      <c r="BE130" s="50" t="s">
        <v>419</v>
      </c>
      <c r="BF130" s="50" t="s">
        <v>959</v>
      </c>
      <c r="BG130" s="376">
        <v>-23175.78</v>
      </c>
    </row>
    <row r="131" spans="1:59">
      <c r="A131" s="199" t="s">
        <v>423</v>
      </c>
      <c r="B131" s="197" t="s">
        <v>960</v>
      </c>
      <c r="C131" s="328">
        <v>0</v>
      </c>
      <c r="D131" s="198">
        <v>-14264.55</v>
      </c>
      <c r="E131" s="198">
        <v>-50759.82</v>
      </c>
      <c r="F131" s="378">
        <v>-6853.9</v>
      </c>
      <c r="G131" s="128">
        <f t="shared" ref="G131:G194" si="6">SUM(C131:F131)</f>
        <v>-71878.26999999999</v>
      </c>
      <c r="I131" s="220"/>
      <c r="J131" s="221"/>
      <c r="K131" s="199" t="s">
        <v>423</v>
      </c>
      <c r="L131" s="197" t="s">
        <v>960</v>
      </c>
      <c r="M131" s="117"/>
      <c r="N131" s="198">
        <v>-14264.55</v>
      </c>
      <c r="O131" s="117">
        <f t="shared" si="4"/>
        <v>-14264.55</v>
      </c>
      <c r="P131" s="50"/>
      <c r="Q131" s="96"/>
      <c r="R131" s="199" t="s">
        <v>423</v>
      </c>
      <c r="S131" s="197" t="s">
        <v>960</v>
      </c>
      <c r="T131" s="117">
        <v>-6043.92</v>
      </c>
      <c r="U131" s="129">
        <v>2335.61</v>
      </c>
      <c r="V131" s="321">
        <v>0</v>
      </c>
      <c r="AE131"/>
      <c r="AF131"/>
      <c r="AG131"/>
      <c r="AH131"/>
      <c r="AI131"/>
      <c r="AJ131"/>
      <c r="BA131" s="199" t="s">
        <v>423</v>
      </c>
      <c r="BB131" s="197" t="s">
        <v>960</v>
      </c>
      <c r="BC131" s="77">
        <f t="shared" si="5"/>
        <v>0</v>
      </c>
      <c r="BE131" s="50" t="s">
        <v>423</v>
      </c>
      <c r="BF131" s="50" t="s">
        <v>960</v>
      </c>
      <c r="BG131" s="376">
        <v>-6853.9</v>
      </c>
    </row>
    <row r="132" spans="1:59">
      <c r="A132" s="199" t="s">
        <v>425</v>
      </c>
      <c r="B132" s="197" t="s">
        <v>961</v>
      </c>
      <c r="C132" s="324">
        <v>-69018.490000000005</v>
      </c>
      <c r="D132" s="198">
        <v>-99421.62</v>
      </c>
      <c r="E132" s="198">
        <v>-101327.69</v>
      </c>
      <c r="F132" s="378">
        <v>-124166.91</v>
      </c>
      <c r="G132" s="128">
        <f t="shared" si="6"/>
        <v>-393934.70999999996</v>
      </c>
      <c r="I132" s="220"/>
      <c r="J132" s="221"/>
      <c r="K132" s="199" t="s">
        <v>425</v>
      </c>
      <c r="L132" s="197" t="s">
        <v>961</v>
      </c>
      <c r="M132" s="117"/>
      <c r="N132" s="198">
        <v>-99421.62</v>
      </c>
      <c r="O132" s="117">
        <f t="shared" si="4"/>
        <v>-99421.62</v>
      </c>
      <c r="P132" s="50"/>
      <c r="Q132" s="96"/>
      <c r="R132" s="199" t="s">
        <v>425</v>
      </c>
      <c r="S132" s="197" t="s">
        <v>961</v>
      </c>
      <c r="T132" s="117">
        <v>-79764.490000000005</v>
      </c>
      <c r="U132" s="129">
        <v>-69018.490000000005</v>
      </c>
      <c r="V132" s="315">
        <v>-69018.490000000005</v>
      </c>
      <c r="AE132"/>
      <c r="AF132"/>
      <c r="AG132"/>
      <c r="AH132"/>
      <c r="AI132"/>
      <c r="AJ132"/>
      <c r="BA132" s="199" t="s">
        <v>425</v>
      </c>
      <c r="BB132" s="197" t="s">
        <v>961</v>
      </c>
      <c r="BC132" s="77">
        <f t="shared" ref="BC132:BC195" si="7">+BE132-BA132</f>
        <v>0</v>
      </c>
      <c r="BE132" s="50" t="s">
        <v>425</v>
      </c>
      <c r="BF132" s="50" t="s">
        <v>961</v>
      </c>
      <c r="BG132" s="376">
        <v>-124166.91</v>
      </c>
    </row>
    <row r="133" spans="1:59">
      <c r="A133" s="199" t="s">
        <v>427</v>
      </c>
      <c r="B133" s="197" t="s">
        <v>962</v>
      </c>
      <c r="C133" s="324">
        <v>-28616.43</v>
      </c>
      <c r="D133" s="198">
        <v>-33825.699999999997</v>
      </c>
      <c r="E133" s="198">
        <v>-35133.589999999997</v>
      </c>
      <c r="F133" s="378">
        <v>-86102.080000000002</v>
      </c>
      <c r="G133" s="128">
        <f t="shared" si="6"/>
        <v>-183677.8</v>
      </c>
      <c r="I133" s="220"/>
      <c r="J133" s="221"/>
      <c r="K133" s="199" t="s">
        <v>427</v>
      </c>
      <c r="L133" s="197" t="s">
        <v>962</v>
      </c>
      <c r="M133" s="117"/>
      <c r="N133" s="198">
        <v>-33825.699999999997</v>
      </c>
      <c r="O133" s="117">
        <f t="shared" si="4"/>
        <v>-33825.699999999997</v>
      </c>
      <c r="P133" s="50"/>
      <c r="Q133" s="96"/>
      <c r="R133" s="199" t="s">
        <v>427</v>
      </c>
      <c r="S133" s="197" t="s">
        <v>962</v>
      </c>
      <c r="T133" s="117">
        <v>-48940.2</v>
      </c>
      <c r="U133" s="129">
        <v>-28616.43</v>
      </c>
      <c r="V133" s="315">
        <v>-28616.43</v>
      </c>
      <c r="AE133"/>
      <c r="AF133"/>
      <c r="AG133"/>
      <c r="AH133"/>
      <c r="AI133"/>
      <c r="AJ133"/>
      <c r="BA133" s="199" t="s">
        <v>427</v>
      </c>
      <c r="BB133" s="197" t="s">
        <v>962</v>
      </c>
      <c r="BC133" s="77">
        <f t="shared" si="7"/>
        <v>0</v>
      </c>
      <c r="BE133" s="50" t="s">
        <v>427</v>
      </c>
      <c r="BF133" s="50" t="s">
        <v>962</v>
      </c>
      <c r="BG133" s="376">
        <v>-86102.080000000002</v>
      </c>
    </row>
    <row r="134" spans="1:59">
      <c r="A134" s="199" t="s">
        <v>429</v>
      </c>
      <c r="B134" s="197" t="s">
        <v>963</v>
      </c>
      <c r="C134" s="324">
        <v>-39849.599999999999</v>
      </c>
      <c r="D134" s="198">
        <v>-30230.880000000001</v>
      </c>
      <c r="E134" s="198">
        <v>-107190.69</v>
      </c>
      <c r="F134" s="378">
        <v>-62438.5</v>
      </c>
      <c r="G134" s="128">
        <f t="shared" si="6"/>
        <v>-239709.66999999998</v>
      </c>
      <c r="I134" s="220"/>
      <c r="J134" s="221"/>
      <c r="K134" s="199" t="s">
        <v>429</v>
      </c>
      <c r="L134" s="197" t="s">
        <v>963</v>
      </c>
      <c r="M134" s="117"/>
      <c r="N134" s="198">
        <v>-30230.880000000001</v>
      </c>
      <c r="O134" s="117">
        <f t="shared" ref="O134:O197" si="8">+M134+N134</f>
        <v>-30230.880000000001</v>
      </c>
      <c r="P134" s="50"/>
      <c r="Q134" s="96"/>
      <c r="R134" s="199" t="s">
        <v>429</v>
      </c>
      <c r="S134" s="197" t="s">
        <v>963</v>
      </c>
      <c r="T134" s="117">
        <v>-22839.8</v>
      </c>
      <c r="U134" s="129">
        <v>-39849.599999999999</v>
      </c>
      <c r="V134" s="315">
        <v>-39849.599999999999</v>
      </c>
      <c r="AE134"/>
      <c r="AF134"/>
      <c r="AG134"/>
      <c r="AH134"/>
      <c r="AI134"/>
      <c r="AJ134"/>
      <c r="BA134" s="199" t="s">
        <v>429</v>
      </c>
      <c r="BB134" s="197" t="s">
        <v>963</v>
      </c>
      <c r="BC134" s="77">
        <f t="shared" si="7"/>
        <v>0</v>
      </c>
      <c r="BE134" s="50" t="s">
        <v>429</v>
      </c>
      <c r="BF134" s="50" t="s">
        <v>963</v>
      </c>
      <c r="BG134" s="376">
        <v>-62438.5</v>
      </c>
    </row>
    <row r="135" spans="1:59">
      <c r="A135" s="199" t="s">
        <v>431</v>
      </c>
      <c r="B135" s="197" t="s">
        <v>964</v>
      </c>
      <c r="C135" s="324">
        <v>-30453.35</v>
      </c>
      <c r="D135" s="198">
        <v>-43856.93</v>
      </c>
      <c r="E135" s="198">
        <v>-43526.47</v>
      </c>
      <c r="F135" s="378">
        <v>-58234.74</v>
      </c>
      <c r="G135" s="128">
        <f t="shared" si="6"/>
        <v>-176071.49</v>
      </c>
      <c r="I135" s="220"/>
      <c r="J135" s="221"/>
      <c r="K135" s="199" t="s">
        <v>431</v>
      </c>
      <c r="L135" s="197" t="s">
        <v>964</v>
      </c>
      <c r="M135" s="117"/>
      <c r="N135" s="198">
        <v>-43856.93</v>
      </c>
      <c r="O135" s="117">
        <f t="shared" si="8"/>
        <v>-43856.93</v>
      </c>
      <c r="P135" s="50"/>
      <c r="Q135" s="96"/>
      <c r="R135" s="199" t="s">
        <v>431</v>
      </c>
      <c r="S135" s="197" t="s">
        <v>964</v>
      </c>
      <c r="T135" s="117">
        <v>-33550.36</v>
      </c>
      <c r="U135" s="129">
        <v>-30453.35</v>
      </c>
      <c r="V135" s="315">
        <v>-30453.35</v>
      </c>
      <c r="AE135"/>
      <c r="AF135"/>
      <c r="AG135"/>
      <c r="AH135"/>
      <c r="AI135"/>
      <c r="AJ135"/>
      <c r="BA135" s="199" t="s">
        <v>431</v>
      </c>
      <c r="BB135" s="197" t="s">
        <v>964</v>
      </c>
      <c r="BC135" s="77">
        <f t="shared" si="7"/>
        <v>0</v>
      </c>
      <c r="BE135" s="50" t="s">
        <v>431</v>
      </c>
      <c r="BF135" s="50" t="s">
        <v>964</v>
      </c>
      <c r="BG135" s="376">
        <v>-58234.74</v>
      </c>
    </row>
    <row r="136" spans="1:59">
      <c r="A136" s="199" t="s">
        <v>433</v>
      </c>
      <c r="B136" s="197" t="s">
        <v>965</v>
      </c>
      <c r="C136" s="324">
        <v>-18477.11</v>
      </c>
      <c r="D136" s="198">
        <v>-40204.080000000002</v>
      </c>
      <c r="E136" s="198">
        <v>-32444.93</v>
      </c>
      <c r="F136" s="378">
        <v>-27669.4</v>
      </c>
      <c r="G136" s="128">
        <f t="shared" si="6"/>
        <v>-118795.51999999999</v>
      </c>
      <c r="I136" s="220"/>
      <c r="J136" s="221"/>
      <c r="K136" s="199" t="s">
        <v>433</v>
      </c>
      <c r="L136" s="197" t="s">
        <v>965</v>
      </c>
      <c r="M136" s="117"/>
      <c r="N136" s="198">
        <v>-40204.080000000002</v>
      </c>
      <c r="O136" s="117">
        <f t="shared" si="8"/>
        <v>-40204.080000000002</v>
      </c>
      <c r="P136" s="50"/>
      <c r="Q136" s="96"/>
      <c r="R136" s="199" t="s">
        <v>433</v>
      </c>
      <c r="S136" s="197" t="s">
        <v>965</v>
      </c>
      <c r="T136" s="117">
        <v>-18273.79</v>
      </c>
      <c r="U136" s="129">
        <v>-18477.11</v>
      </c>
      <c r="V136" s="315">
        <v>-18477.11</v>
      </c>
      <c r="AE136"/>
      <c r="AF136"/>
      <c r="AG136"/>
      <c r="AH136"/>
      <c r="AI136"/>
      <c r="AJ136"/>
      <c r="BA136" s="199" t="s">
        <v>433</v>
      </c>
      <c r="BB136" s="197" t="s">
        <v>965</v>
      </c>
      <c r="BC136" s="77">
        <f t="shared" si="7"/>
        <v>0</v>
      </c>
      <c r="BE136" s="50" t="s">
        <v>433</v>
      </c>
      <c r="BF136" s="50" t="s">
        <v>965</v>
      </c>
      <c r="BG136" s="376">
        <v>-27669.4</v>
      </c>
    </row>
    <row r="137" spans="1:59">
      <c r="A137" s="199" t="s">
        <v>435</v>
      </c>
      <c r="B137" s="197" t="s">
        <v>966</v>
      </c>
      <c r="C137" s="326">
        <v>54251.040000000001</v>
      </c>
      <c r="D137" s="198">
        <v>42563.62</v>
      </c>
      <c r="E137" s="198">
        <v>19258.12</v>
      </c>
      <c r="F137" s="378">
        <v>-2615.2399999999998</v>
      </c>
      <c r="G137" s="128">
        <f t="shared" si="6"/>
        <v>113457.54</v>
      </c>
      <c r="I137" s="220"/>
      <c r="J137" s="221"/>
      <c r="K137" s="199" t="s">
        <v>435</v>
      </c>
      <c r="L137" s="197" t="s">
        <v>966</v>
      </c>
      <c r="M137" s="117">
        <f>+C137</f>
        <v>54251.040000000001</v>
      </c>
      <c r="N137" s="198">
        <v>42563.62</v>
      </c>
      <c r="O137" s="279">
        <f t="shared" si="8"/>
        <v>96814.66</v>
      </c>
      <c r="P137" s="50"/>
      <c r="Q137" s="96"/>
      <c r="R137" s="199" t="s">
        <v>435</v>
      </c>
      <c r="S137" s="197" t="s">
        <v>966</v>
      </c>
      <c r="T137" s="117">
        <v>23557.64</v>
      </c>
      <c r="U137" s="129">
        <v>30693.4</v>
      </c>
      <c r="V137" s="320">
        <v>54251.040000000001</v>
      </c>
      <c r="AE137"/>
      <c r="AF137"/>
      <c r="AG137"/>
      <c r="AH137"/>
      <c r="AI137"/>
      <c r="AJ137"/>
      <c r="BA137" s="199" t="s">
        <v>435</v>
      </c>
      <c r="BB137" s="197" t="s">
        <v>966</v>
      </c>
      <c r="BC137" s="77">
        <f t="shared" si="7"/>
        <v>0</v>
      </c>
      <c r="BE137" s="50" t="s">
        <v>435</v>
      </c>
      <c r="BF137" s="50" t="s">
        <v>966</v>
      </c>
      <c r="BG137" s="376">
        <v>-2615.2399999999998</v>
      </c>
    </row>
    <row r="138" spans="1:59">
      <c r="A138" s="199" t="s">
        <v>437</v>
      </c>
      <c r="B138" s="197" t="s">
        <v>967</v>
      </c>
      <c r="C138" s="324">
        <v>-12940.73</v>
      </c>
      <c r="D138" s="198">
        <v>-24841.15</v>
      </c>
      <c r="E138" s="198">
        <v>-30035.86</v>
      </c>
      <c r="F138" s="378">
        <v>-48267.42</v>
      </c>
      <c r="G138" s="128">
        <f t="shared" si="6"/>
        <v>-116085.16</v>
      </c>
      <c r="I138" s="220"/>
      <c r="J138" s="221"/>
      <c r="K138" s="199" t="s">
        <v>437</v>
      </c>
      <c r="L138" s="197" t="s">
        <v>967</v>
      </c>
      <c r="M138" s="117"/>
      <c r="N138" s="198">
        <v>-24841.15</v>
      </c>
      <c r="O138" s="117">
        <f t="shared" si="8"/>
        <v>-24841.15</v>
      </c>
      <c r="P138" s="50"/>
      <c r="Q138" s="96"/>
      <c r="R138" s="199" t="s">
        <v>437</v>
      </c>
      <c r="S138" s="197" t="s">
        <v>967</v>
      </c>
      <c r="T138" s="117">
        <v>-20944.8</v>
      </c>
      <c r="U138" s="129">
        <v>-12940.73</v>
      </c>
      <c r="V138" s="315">
        <v>-12940.73</v>
      </c>
      <c r="AE138"/>
      <c r="AF138"/>
      <c r="AG138"/>
      <c r="AH138"/>
      <c r="AI138"/>
      <c r="AJ138"/>
      <c r="BA138" s="199" t="s">
        <v>437</v>
      </c>
      <c r="BB138" s="197" t="s">
        <v>967</v>
      </c>
      <c r="BC138" s="77">
        <f t="shared" si="7"/>
        <v>0</v>
      </c>
      <c r="BE138" s="50" t="s">
        <v>437</v>
      </c>
      <c r="BF138" s="50" t="s">
        <v>967</v>
      </c>
      <c r="BG138" s="376">
        <v>-48267.42</v>
      </c>
    </row>
    <row r="139" spans="1:59">
      <c r="A139" s="199" t="s">
        <v>439</v>
      </c>
      <c r="B139" s="197" t="s">
        <v>968</v>
      </c>
      <c r="C139" s="324">
        <v>-211007.07</v>
      </c>
      <c r="D139" s="198">
        <v>-143044.44</v>
      </c>
      <c r="E139" s="198">
        <v>-204860.84</v>
      </c>
      <c r="F139" s="378">
        <v>-206126.02</v>
      </c>
      <c r="G139" s="128">
        <f t="shared" si="6"/>
        <v>-765038.37</v>
      </c>
      <c r="I139" s="220"/>
      <c r="J139" s="221"/>
      <c r="K139" s="199" t="s">
        <v>439</v>
      </c>
      <c r="L139" s="197" t="s">
        <v>968</v>
      </c>
      <c r="M139" s="117"/>
      <c r="N139" s="198">
        <v>-143044.44</v>
      </c>
      <c r="O139" s="117">
        <f t="shared" si="8"/>
        <v>-143044.44</v>
      </c>
      <c r="P139" s="50"/>
      <c r="Q139" s="96"/>
      <c r="R139" s="199" t="s">
        <v>439</v>
      </c>
      <c r="S139" s="197" t="s">
        <v>968</v>
      </c>
      <c r="T139" s="117">
        <v>-156797.75</v>
      </c>
      <c r="U139" s="129">
        <v>-211007.07</v>
      </c>
      <c r="V139" s="315">
        <v>-211007.07</v>
      </c>
      <c r="AE139"/>
      <c r="AF139"/>
      <c r="AG139"/>
      <c r="AH139"/>
      <c r="AI139"/>
      <c r="AJ139"/>
      <c r="BA139" s="199" t="s">
        <v>439</v>
      </c>
      <c r="BB139" s="197" t="s">
        <v>968</v>
      </c>
      <c r="BC139" s="77">
        <f t="shared" si="7"/>
        <v>0</v>
      </c>
      <c r="BE139" s="50" t="s">
        <v>439</v>
      </c>
      <c r="BF139" s="50" t="s">
        <v>968</v>
      </c>
      <c r="BG139" s="376">
        <v>-206126.02</v>
      </c>
    </row>
    <row r="140" spans="1:59">
      <c r="A140" s="199" t="s">
        <v>441</v>
      </c>
      <c r="B140" s="197" t="s">
        <v>969</v>
      </c>
      <c r="C140" s="324">
        <v>-39817.39</v>
      </c>
      <c r="D140" s="198">
        <v>-48275.22</v>
      </c>
      <c r="E140" s="198">
        <v>-103362.36</v>
      </c>
      <c r="F140" s="378">
        <v>-46421.3</v>
      </c>
      <c r="G140" s="128">
        <f t="shared" si="6"/>
        <v>-237876.27000000002</v>
      </c>
      <c r="I140" s="220"/>
      <c r="J140" s="221"/>
      <c r="K140" s="199" t="s">
        <v>441</v>
      </c>
      <c r="L140" s="197" t="s">
        <v>969</v>
      </c>
      <c r="M140" s="117"/>
      <c r="N140" s="198">
        <v>-48275.22</v>
      </c>
      <c r="O140" s="117">
        <f t="shared" si="8"/>
        <v>-48275.22</v>
      </c>
      <c r="P140" s="50"/>
      <c r="Q140" s="96"/>
      <c r="R140" s="199" t="s">
        <v>441</v>
      </c>
      <c r="S140" s="197" t="s">
        <v>969</v>
      </c>
      <c r="T140" s="117">
        <v>-71338.320000000007</v>
      </c>
      <c r="U140" s="129">
        <v>-39817.39</v>
      </c>
      <c r="V140" s="315">
        <v>-39817.39</v>
      </c>
      <c r="AE140"/>
      <c r="AF140"/>
      <c r="AG140"/>
      <c r="AH140"/>
      <c r="AI140"/>
      <c r="AJ140"/>
      <c r="BA140" s="199" t="s">
        <v>441</v>
      </c>
      <c r="BB140" s="197" t="s">
        <v>969</v>
      </c>
      <c r="BC140" s="77">
        <f t="shared" si="7"/>
        <v>0</v>
      </c>
      <c r="BE140" s="50" t="s">
        <v>441</v>
      </c>
      <c r="BF140" s="50" t="s">
        <v>969</v>
      </c>
      <c r="BG140" s="376">
        <v>-46421.3</v>
      </c>
    </row>
    <row r="141" spans="1:59">
      <c r="A141" s="199" t="s">
        <v>443</v>
      </c>
      <c r="B141" s="197" t="s">
        <v>970</v>
      </c>
      <c r="C141" s="324">
        <v>-168966.64</v>
      </c>
      <c r="D141" s="198">
        <v>-92762.18</v>
      </c>
      <c r="E141" s="198">
        <v>-446011.59</v>
      </c>
      <c r="F141" s="378">
        <v>-437692.2</v>
      </c>
      <c r="G141" s="128">
        <f t="shared" si="6"/>
        <v>-1145432.6100000001</v>
      </c>
      <c r="I141" s="220"/>
      <c r="J141" s="221"/>
      <c r="K141" s="199" t="s">
        <v>443</v>
      </c>
      <c r="L141" s="197" t="s">
        <v>970</v>
      </c>
      <c r="M141" s="117"/>
      <c r="N141" s="198">
        <v>-92762.18</v>
      </c>
      <c r="O141" s="117">
        <f t="shared" si="8"/>
        <v>-92762.18</v>
      </c>
      <c r="P141" s="50"/>
      <c r="Q141" s="96"/>
      <c r="R141" s="199" t="s">
        <v>443</v>
      </c>
      <c r="S141" s="197" t="s">
        <v>970</v>
      </c>
      <c r="T141" s="117">
        <v>-444726.73</v>
      </c>
      <c r="U141" s="129">
        <v>-168966.64</v>
      </c>
      <c r="V141" s="315">
        <v>-168966.64</v>
      </c>
      <c r="AE141"/>
      <c r="AF141"/>
      <c r="AG141"/>
      <c r="AH141"/>
      <c r="AI141"/>
      <c r="AJ141"/>
      <c r="BA141" s="199" t="s">
        <v>443</v>
      </c>
      <c r="BB141" s="197" t="s">
        <v>970</v>
      </c>
      <c r="BC141" s="77">
        <f t="shared" si="7"/>
        <v>0</v>
      </c>
      <c r="BE141" s="50" t="s">
        <v>443</v>
      </c>
      <c r="BF141" s="50" t="s">
        <v>970</v>
      </c>
      <c r="BG141" s="376">
        <v>-437692.2</v>
      </c>
    </row>
    <row r="142" spans="1:59">
      <c r="A142" s="199" t="s">
        <v>445</v>
      </c>
      <c r="B142" s="197" t="s">
        <v>971</v>
      </c>
      <c r="C142" s="324">
        <v>-37170.410000000003</v>
      </c>
      <c r="D142" s="198">
        <v>-58506.16</v>
      </c>
      <c r="E142" s="198">
        <v>-59664.84</v>
      </c>
      <c r="F142" s="378">
        <v>-71516.570000000007</v>
      </c>
      <c r="G142" s="128">
        <f t="shared" si="6"/>
        <v>-226857.98</v>
      </c>
      <c r="I142" s="220"/>
      <c r="J142" s="221"/>
      <c r="K142" s="199" t="s">
        <v>445</v>
      </c>
      <c r="L142" s="197" t="s">
        <v>971</v>
      </c>
      <c r="M142" s="117"/>
      <c r="N142" s="198">
        <v>-58506.16</v>
      </c>
      <c r="O142" s="117">
        <f t="shared" si="8"/>
        <v>-58506.16</v>
      </c>
      <c r="P142" s="50"/>
      <c r="Q142" s="96"/>
      <c r="R142" s="199" t="s">
        <v>445</v>
      </c>
      <c r="S142" s="197" t="s">
        <v>971</v>
      </c>
      <c r="T142" s="117">
        <v>-41221.279999999999</v>
      </c>
      <c r="U142" s="129">
        <v>-37170.410000000003</v>
      </c>
      <c r="V142" s="315">
        <v>-37170.410000000003</v>
      </c>
      <c r="AE142"/>
      <c r="AF142"/>
      <c r="AG142"/>
      <c r="AH142"/>
      <c r="AI142"/>
      <c r="AJ142"/>
      <c r="BA142" s="199" t="s">
        <v>445</v>
      </c>
      <c r="BB142" s="197" t="s">
        <v>971</v>
      </c>
      <c r="BC142" s="77">
        <f t="shared" si="7"/>
        <v>0</v>
      </c>
      <c r="BE142" s="50" t="s">
        <v>445</v>
      </c>
      <c r="BF142" s="50" t="s">
        <v>971</v>
      </c>
      <c r="BG142" s="376">
        <v>-71516.570000000007</v>
      </c>
    </row>
    <row r="143" spans="1:59">
      <c r="A143" s="199" t="s">
        <v>447</v>
      </c>
      <c r="B143" s="197" t="s">
        <v>972</v>
      </c>
      <c r="C143" s="324">
        <v>-58623.13</v>
      </c>
      <c r="D143" s="198">
        <v>-84925.95</v>
      </c>
      <c r="E143" s="198">
        <v>-84890.1</v>
      </c>
      <c r="F143" s="378">
        <v>-92663.38</v>
      </c>
      <c r="G143" s="128">
        <f t="shared" si="6"/>
        <v>-321102.56</v>
      </c>
      <c r="I143" s="220"/>
      <c r="J143" s="221"/>
      <c r="K143" s="199" t="s">
        <v>447</v>
      </c>
      <c r="L143" s="197" t="s">
        <v>972</v>
      </c>
      <c r="M143" s="117"/>
      <c r="N143" s="198">
        <v>-84925.95</v>
      </c>
      <c r="O143" s="117">
        <f t="shared" si="8"/>
        <v>-84925.95</v>
      </c>
      <c r="P143" s="50"/>
      <c r="Q143" s="96"/>
      <c r="R143" s="199" t="s">
        <v>447</v>
      </c>
      <c r="S143" s="197" t="s">
        <v>972</v>
      </c>
      <c r="T143" s="117">
        <v>-62595.35</v>
      </c>
      <c r="U143" s="129">
        <v>-58623.13</v>
      </c>
      <c r="V143" s="315">
        <v>-58623.13</v>
      </c>
      <c r="AE143"/>
      <c r="AF143"/>
      <c r="AG143"/>
      <c r="AH143"/>
      <c r="AI143"/>
      <c r="AJ143"/>
      <c r="BA143" s="199" t="s">
        <v>447</v>
      </c>
      <c r="BB143" s="197" t="s">
        <v>972</v>
      </c>
      <c r="BC143" s="77">
        <f t="shared" si="7"/>
        <v>0</v>
      </c>
      <c r="BE143" s="50" t="s">
        <v>447</v>
      </c>
      <c r="BF143" s="50" t="s">
        <v>972</v>
      </c>
      <c r="BG143" s="376">
        <v>-92663.38</v>
      </c>
    </row>
    <row r="144" spans="1:59">
      <c r="A144" s="199" t="s">
        <v>449</v>
      </c>
      <c r="B144" s="197" t="s">
        <v>973</v>
      </c>
      <c r="C144" s="324">
        <v>-52986.559999999998</v>
      </c>
      <c r="D144" s="198">
        <v>-59046.7</v>
      </c>
      <c r="E144" s="198">
        <v>-80580.98</v>
      </c>
      <c r="F144" s="378">
        <v>-77510.17</v>
      </c>
      <c r="G144" s="128">
        <f t="shared" si="6"/>
        <v>-270124.40999999997</v>
      </c>
      <c r="I144" s="220"/>
      <c r="J144" s="221"/>
      <c r="K144" s="199" t="s">
        <v>449</v>
      </c>
      <c r="L144" s="197" t="s">
        <v>973</v>
      </c>
      <c r="M144" s="117"/>
      <c r="N144" s="198">
        <v>-59046.7</v>
      </c>
      <c r="O144" s="117">
        <f t="shared" si="8"/>
        <v>-59046.7</v>
      </c>
      <c r="P144" s="50"/>
      <c r="Q144" s="96"/>
      <c r="R144" s="199" t="s">
        <v>449</v>
      </c>
      <c r="S144" s="197" t="s">
        <v>973</v>
      </c>
      <c r="T144" s="117">
        <v>-39220.53</v>
      </c>
      <c r="U144" s="129">
        <v>-52986.559999999998</v>
      </c>
      <c r="V144" s="315">
        <v>-52986.559999999998</v>
      </c>
      <c r="AE144"/>
      <c r="AF144"/>
      <c r="AG144"/>
      <c r="AH144"/>
      <c r="AI144"/>
      <c r="AJ144"/>
      <c r="BA144" s="199" t="s">
        <v>449</v>
      </c>
      <c r="BB144" s="197" t="s">
        <v>973</v>
      </c>
      <c r="BC144" s="77">
        <f t="shared" si="7"/>
        <v>0</v>
      </c>
      <c r="BE144" s="50" t="s">
        <v>449</v>
      </c>
      <c r="BF144" s="50" t="s">
        <v>973</v>
      </c>
      <c r="BG144" s="376">
        <v>-77510.17</v>
      </c>
    </row>
    <row r="145" spans="1:59">
      <c r="A145" s="199" t="s">
        <v>451</v>
      </c>
      <c r="B145" s="197" t="s">
        <v>974</v>
      </c>
      <c r="C145" s="324">
        <v>-44799.49</v>
      </c>
      <c r="D145" s="198">
        <v>-42883.99</v>
      </c>
      <c r="E145" s="198">
        <v>-58124.75</v>
      </c>
      <c r="F145" s="378">
        <v>-62398.45</v>
      </c>
      <c r="G145" s="128">
        <f t="shared" si="6"/>
        <v>-208206.68</v>
      </c>
      <c r="I145" s="220"/>
      <c r="J145" s="221"/>
      <c r="K145" s="199" t="s">
        <v>451</v>
      </c>
      <c r="L145" s="197" t="s">
        <v>974</v>
      </c>
      <c r="M145" s="117"/>
      <c r="N145" s="198">
        <v>-42883.99</v>
      </c>
      <c r="O145" s="117">
        <f t="shared" si="8"/>
        <v>-42883.99</v>
      </c>
      <c r="P145" s="50"/>
      <c r="Q145" s="96"/>
      <c r="R145" s="199" t="s">
        <v>451</v>
      </c>
      <c r="S145" s="197" t="s">
        <v>974</v>
      </c>
      <c r="T145" s="117">
        <v>-41807.53</v>
      </c>
      <c r="U145" s="129">
        <v>-44799.49</v>
      </c>
      <c r="V145" s="315">
        <v>-44799.49</v>
      </c>
      <c r="AE145"/>
      <c r="AF145"/>
      <c r="AG145"/>
      <c r="AH145"/>
      <c r="AI145"/>
      <c r="AJ145"/>
      <c r="BA145" s="199" t="s">
        <v>451</v>
      </c>
      <c r="BB145" s="197" t="s">
        <v>974</v>
      </c>
      <c r="BC145" s="77">
        <f t="shared" si="7"/>
        <v>0</v>
      </c>
      <c r="BE145" s="50" t="s">
        <v>451</v>
      </c>
      <c r="BF145" s="50" t="s">
        <v>974</v>
      </c>
      <c r="BG145" s="376">
        <v>-62398.45</v>
      </c>
    </row>
    <row r="146" spans="1:59">
      <c r="A146" s="199" t="s">
        <v>453</v>
      </c>
      <c r="B146" s="197" t="s">
        <v>975</v>
      </c>
      <c r="C146" s="324">
        <v>-40831.480000000003</v>
      </c>
      <c r="D146" s="198">
        <v>-37100.1</v>
      </c>
      <c r="E146" s="198">
        <v>-37244.730000000003</v>
      </c>
      <c r="F146" s="378">
        <v>-48084.28</v>
      </c>
      <c r="G146" s="128">
        <f t="shared" si="6"/>
        <v>-163260.59</v>
      </c>
      <c r="I146" s="220"/>
      <c r="J146" s="221"/>
      <c r="K146" s="199" t="s">
        <v>453</v>
      </c>
      <c r="L146" s="197" t="s">
        <v>975</v>
      </c>
      <c r="M146" s="117"/>
      <c r="N146" s="198">
        <v>-37100.1</v>
      </c>
      <c r="O146" s="117">
        <f t="shared" si="8"/>
        <v>-37100.1</v>
      </c>
      <c r="P146" s="50"/>
      <c r="Q146" s="96"/>
      <c r="R146" s="199" t="s">
        <v>453</v>
      </c>
      <c r="S146" s="197" t="s">
        <v>975</v>
      </c>
      <c r="T146" s="117">
        <v>-41133.72</v>
      </c>
      <c r="U146" s="129">
        <v>-40831.480000000003</v>
      </c>
      <c r="V146" s="315">
        <v>-40831.480000000003</v>
      </c>
      <c r="AE146"/>
      <c r="AF146"/>
      <c r="AG146"/>
      <c r="AH146"/>
      <c r="AI146"/>
      <c r="AJ146"/>
      <c r="BA146" s="199" t="s">
        <v>453</v>
      </c>
      <c r="BB146" s="197" t="s">
        <v>975</v>
      </c>
      <c r="BC146" s="77">
        <f t="shared" si="7"/>
        <v>0</v>
      </c>
      <c r="BE146" s="50" t="s">
        <v>453</v>
      </c>
      <c r="BF146" s="50" t="s">
        <v>975</v>
      </c>
      <c r="BG146" s="376">
        <v>-48084.28</v>
      </c>
    </row>
    <row r="147" spans="1:59">
      <c r="A147" s="199" t="s">
        <v>455</v>
      </c>
      <c r="B147" s="197" t="s">
        <v>976</v>
      </c>
      <c r="C147" s="324">
        <v>-47443.29</v>
      </c>
      <c r="D147" s="198">
        <v>-72231.740000000005</v>
      </c>
      <c r="E147" s="198">
        <v>-70614.3</v>
      </c>
      <c r="F147" s="378">
        <v>-76093.259999999995</v>
      </c>
      <c r="G147" s="128">
        <f t="shared" si="6"/>
        <v>-266382.59000000003</v>
      </c>
      <c r="I147" s="220"/>
      <c r="J147" s="221"/>
      <c r="K147" s="199" t="s">
        <v>455</v>
      </c>
      <c r="L147" s="197" t="s">
        <v>976</v>
      </c>
      <c r="M147" s="117"/>
      <c r="N147" s="198">
        <v>-72231.740000000005</v>
      </c>
      <c r="O147" s="117">
        <f t="shared" si="8"/>
        <v>-72231.740000000005</v>
      </c>
      <c r="P147" s="50"/>
      <c r="Q147" s="96"/>
      <c r="R147" s="199" t="s">
        <v>455</v>
      </c>
      <c r="S147" s="197" t="s">
        <v>976</v>
      </c>
      <c r="T147" s="117">
        <v>-59649.19</v>
      </c>
      <c r="U147" s="129">
        <v>-47443.29</v>
      </c>
      <c r="V147" s="315">
        <v>-47443.29</v>
      </c>
      <c r="AE147"/>
      <c r="AF147"/>
      <c r="AG147"/>
      <c r="AH147"/>
      <c r="AI147"/>
      <c r="AJ147"/>
      <c r="BA147" s="199" t="s">
        <v>455</v>
      </c>
      <c r="BB147" s="197" t="s">
        <v>976</v>
      </c>
      <c r="BC147" s="77">
        <f t="shared" si="7"/>
        <v>0</v>
      </c>
      <c r="BE147" s="50" t="s">
        <v>455</v>
      </c>
      <c r="BF147" s="50" t="s">
        <v>976</v>
      </c>
      <c r="BG147" s="376">
        <v>-76093.259999999995</v>
      </c>
    </row>
    <row r="148" spans="1:59">
      <c r="A148" s="199" t="s">
        <v>457</v>
      </c>
      <c r="B148" s="197" t="s">
        <v>977</v>
      </c>
      <c r="C148" s="329">
        <v>-107227.87</v>
      </c>
      <c r="D148" s="198">
        <v>-67468.84</v>
      </c>
      <c r="E148" s="198">
        <v>-86614.74</v>
      </c>
      <c r="F148" s="378">
        <v>-94905.32</v>
      </c>
      <c r="G148" s="128">
        <f t="shared" si="6"/>
        <v>-356216.77</v>
      </c>
      <c r="I148" s="220"/>
      <c r="J148" s="221"/>
      <c r="K148" s="199" t="s">
        <v>457</v>
      </c>
      <c r="L148" s="197" t="s">
        <v>977</v>
      </c>
      <c r="M148" s="117"/>
      <c r="N148" s="198">
        <v>-67468.84</v>
      </c>
      <c r="O148" s="117">
        <f t="shared" si="8"/>
        <v>-67468.84</v>
      </c>
      <c r="P148" s="50"/>
      <c r="Q148" s="91"/>
      <c r="R148" s="199" t="s">
        <v>457</v>
      </c>
      <c r="S148" s="197" t="s">
        <v>977</v>
      </c>
      <c r="T148" s="117">
        <v>-79682.25</v>
      </c>
      <c r="U148" s="129">
        <v>-107227.87</v>
      </c>
      <c r="V148" s="317">
        <v>-107227.87</v>
      </c>
      <c r="AE148"/>
      <c r="AF148"/>
      <c r="AG148"/>
      <c r="AH148"/>
      <c r="AI148"/>
      <c r="AJ148"/>
      <c r="BA148" s="199" t="s">
        <v>457</v>
      </c>
      <c r="BB148" s="197" t="s">
        <v>977</v>
      </c>
      <c r="BC148" s="77">
        <f t="shared" si="7"/>
        <v>0</v>
      </c>
      <c r="BE148" s="50" t="s">
        <v>457</v>
      </c>
      <c r="BF148" s="50" t="s">
        <v>977</v>
      </c>
      <c r="BG148" s="376">
        <v>-94905.32</v>
      </c>
    </row>
    <row r="149" spans="1:59">
      <c r="A149" s="199" t="s">
        <v>459</v>
      </c>
      <c r="B149" s="197" t="s">
        <v>978</v>
      </c>
      <c r="C149" s="324">
        <v>-27297.91</v>
      </c>
      <c r="D149" s="198">
        <v>-47582.59</v>
      </c>
      <c r="E149" s="198">
        <v>-47365.56</v>
      </c>
      <c r="F149" s="378">
        <v>-51747.71</v>
      </c>
      <c r="G149" s="128">
        <f t="shared" si="6"/>
        <v>-173993.77</v>
      </c>
      <c r="I149" s="220"/>
      <c r="J149" s="221"/>
      <c r="K149" s="199" t="s">
        <v>459</v>
      </c>
      <c r="L149" s="197" t="s">
        <v>978</v>
      </c>
      <c r="M149" s="117"/>
      <c r="N149" s="198">
        <v>-47582.59</v>
      </c>
      <c r="O149" s="117">
        <f t="shared" si="8"/>
        <v>-47582.59</v>
      </c>
      <c r="P149" s="50"/>
      <c r="Q149" s="96"/>
      <c r="R149" s="199" t="s">
        <v>459</v>
      </c>
      <c r="S149" s="197" t="s">
        <v>978</v>
      </c>
      <c r="T149" s="117">
        <v>-40245.360000000001</v>
      </c>
      <c r="U149" s="129">
        <v>-27297.91</v>
      </c>
      <c r="V149" s="315">
        <v>-27297.91</v>
      </c>
      <c r="AE149"/>
      <c r="AF149"/>
      <c r="AG149"/>
      <c r="AH149"/>
      <c r="AI149"/>
      <c r="AJ149"/>
      <c r="BA149" s="199" t="s">
        <v>459</v>
      </c>
      <c r="BB149" s="197" t="s">
        <v>978</v>
      </c>
      <c r="BC149" s="77">
        <f t="shared" si="7"/>
        <v>0</v>
      </c>
      <c r="BE149" s="50" t="s">
        <v>459</v>
      </c>
      <c r="BF149" s="50" t="s">
        <v>978</v>
      </c>
      <c r="BG149" s="376">
        <v>-51747.71</v>
      </c>
    </row>
    <row r="150" spans="1:59">
      <c r="A150" s="199" t="s">
        <v>461</v>
      </c>
      <c r="B150" s="197" t="s">
        <v>979</v>
      </c>
      <c r="C150" s="324">
        <v>-13400.81</v>
      </c>
      <c r="D150" s="198">
        <v>-12505.32</v>
      </c>
      <c r="E150" s="198">
        <v>-9203.19</v>
      </c>
      <c r="F150" s="378">
        <v>-9744.06</v>
      </c>
      <c r="G150" s="128">
        <f t="shared" si="6"/>
        <v>-44853.38</v>
      </c>
      <c r="I150" s="220"/>
      <c r="J150" s="221"/>
      <c r="K150" s="199" t="s">
        <v>461</v>
      </c>
      <c r="L150" s="197" t="s">
        <v>979</v>
      </c>
      <c r="M150" s="117"/>
      <c r="N150" s="198">
        <v>-12505.32</v>
      </c>
      <c r="O150" s="117">
        <f t="shared" si="8"/>
        <v>-12505.32</v>
      </c>
      <c r="P150" s="50"/>
      <c r="Q150" s="96"/>
      <c r="R150" s="199" t="s">
        <v>461</v>
      </c>
      <c r="S150" s="197" t="s">
        <v>979</v>
      </c>
      <c r="T150" s="117">
        <v>-8219.5400000000009</v>
      </c>
      <c r="U150" s="129">
        <v>-13400.81</v>
      </c>
      <c r="V150" s="315">
        <v>-13400.81</v>
      </c>
      <c r="AE150"/>
      <c r="AF150"/>
      <c r="AG150"/>
      <c r="AH150"/>
      <c r="AI150"/>
      <c r="AJ150"/>
      <c r="BA150" s="199" t="s">
        <v>461</v>
      </c>
      <c r="BB150" s="197" t="s">
        <v>979</v>
      </c>
      <c r="BC150" s="77">
        <f t="shared" si="7"/>
        <v>0</v>
      </c>
      <c r="BE150" s="50" t="s">
        <v>461</v>
      </c>
      <c r="BF150" s="50" t="s">
        <v>979</v>
      </c>
      <c r="BG150" s="376">
        <v>-9744.06</v>
      </c>
    </row>
    <row r="151" spans="1:59">
      <c r="A151" s="199" t="s">
        <v>463</v>
      </c>
      <c r="B151" s="197" t="s">
        <v>980</v>
      </c>
      <c r="C151" s="324">
        <v>-17677.84</v>
      </c>
      <c r="D151" s="198">
        <v>-16327.83</v>
      </c>
      <c r="E151" s="198">
        <v>-5697.19</v>
      </c>
      <c r="F151" s="378">
        <v>-34173.93</v>
      </c>
      <c r="G151" s="128">
        <f t="shared" si="6"/>
        <v>-73876.790000000008</v>
      </c>
      <c r="I151" s="220"/>
      <c r="J151" s="221"/>
      <c r="K151" s="199" t="s">
        <v>463</v>
      </c>
      <c r="L151" s="197" t="s">
        <v>980</v>
      </c>
      <c r="M151" s="117"/>
      <c r="N151" s="198">
        <v>-16327.83</v>
      </c>
      <c r="O151" s="117">
        <f t="shared" si="8"/>
        <v>-16327.83</v>
      </c>
      <c r="P151" s="50"/>
      <c r="Q151" s="96"/>
      <c r="R151" s="199" t="s">
        <v>463</v>
      </c>
      <c r="S151" s="197" t="s">
        <v>980</v>
      </c>
      <c r="T151" s="117">
        <v>-4865.45</v>
      </c>
      <c r="U151" s="129">
        <v>-17677.84</v>
      </c>
      <c r="V151" s="315">
        <v>-17677.84</v>
      </c>
      <c r="AE151"/>
      <c r="AF151"/>
      <c r="AG151"/>
      <c r="AH151"/>
      <c r="AI151"/>
      <c r="AJ151"/>
      <c r="BA151" s="199" t="s">
        <v>463</v>
      </c>
      <c r="BB151" s="197" t="s">
        <v>980</v>
      </c>
      <c r="BC151" s="77">
        <f t="shared" si="7"/>
        <v>0</v>
      </c>
      <c r="BE151" s="50" t="s">
        <v>463</v>
      </c>
      <c r="BF151" s="50" t="s">
        <v>980</v>
      </c>
      <c r="BG151" s="376">
        <v>-34173.93</v>
      </c>
    </row>
    <row r="152" spans="1:59">
      <c r="A152" s="199" t="s">
        <v>465</v>
      </c>
      <c r="B152" s="197" t="s">
        <v>981</v>
      </c>
      <c r="C152" s="326">
        <v>711849.7300000001</v>
      </c>
      <c r="D152" s="198">
        <v>55180.28</v>
      </c>
      <c r="E152" s="198">
        <v>41162.959999999999</v>
      </c>
      <c r="F152" s="378">
        <v>15055.81</v>
      </c>
      <c r="G152" s="128">
        <f t="shared" si="6"/>
        <v>823248.78000000014</v>
      </c>
      <c r="I152" s="220"/>
      <c r="J152" s="221"/>
      <c r="K152" s="199" t="s">
        <v>465</v>
      </c>
      <c r="L152" s="197" t="s">
        <v>981</v>
      </c>
      <c r="M152" s="117">
        <f>+C152</f>
        <v>711849.7300000001</v>
      </c>
      <c r="N152" s="198">
        <v>55180.28</v>
      </c>
      <c r="O152" s="279">
        <f t="shared" si="8"/>
        <v>767030.01000000013</v>
      </c>
      <c r="P152" s="50"/>
      <c r="Q152" s="96"/>
      <c r="R152" s="199" t="s">
        <v>465</v>
      </c>
      <c r="S152" s="197" t="s">
        <v>981</v>
      </c>
      <c r="T152" s="117">
        <v>628123.18000000005</v>
      </c>
      <c r="U152" s="129">
        <v>83726.55</v>
      </c>
      <c r="V152" s="320">
        <v>711849.7300000001</v>
      </c>
      <c r="AE152"/>
      <c r="AF152"/>
      <c r="AG152"/>
      <c r="AH152"/>
      <c r="AI152"/>
      <c r="AJ152"/>
      <c r="BA152" s="199" t="s">
        <v>465</v>
      </c>
      <c r="BB152" s="197" t="s">
        <v>981</v>
      </c>
      <c r="BC152" s="77">
        <f t="shared" si="7"/>
        <v>0</v>
      </c>
      <c r="BE152" s="50" t="s">
        <v>465</v>
      </c>
      <c r="BF152" s="50" t="s">
        <v>981</v>
      </c>
      <c r="BG152" s="376">
        <v>15055.81</v>
      </c>
    </row>
    <row r="153" spans="1:59">
      <c r="A153" s="199" t="s">
        <v>467</v>
      </c>
      <c r="B153" s="197" t="s">
        <v>982</v>
      </c>
      <c r="C153" s="324">
        <v>-83410.66</v>
      </c>
      <c r="D153" s="198">
        <v>-83782.39</v>
      </c>
      <c r="E153" s="198">
        <v>-76370.2</v>
      </c>
      <c r="F153" s="378">
        <v>-77723.13</v>
      </c>
      <c r="G153" s="128">
        <f t="shared" si="6"/>
        <v>-321286.38</v>
      </c>
      <c r="I153" s="220"/>
      <c r="J153" s="221"/>
      <c r="K153" s="199" t="s">
        <v>467</v>
      </c>
      <c r="L153" s="197" t="s">
        <v>982</v>
      </c>
      <c r="M153" s="117"/>
      <c r="N153" s="198">
        <v>-83782.39</v>
      </c>
      <c r="O153" s="117">
        <f t="shared" si="8"/>
        <v>-83782.39</v>
      </c>
      <c r="P153" s="50"/>
      <c r="Q153" s="96"/>
      <c r="R153" s="199" t="s">
        <v>467</v>
      </c>
      <c r="S153" s="197" t="s">
        <v>982</v>
      </c>
      <c r="T153" s="117">
        <v>-78899.12</v>
      </c>
      <c r="U153" s="129">
        <v>-83410.66</v>
      </c>
      <c r="V153" s="315">
        <v>-83410.66</v>
      </c>
      <c r="AE153"/>
      <c r="AF153"/>
      <c r="AG153"/>
      <c r="AH153"/>
      <c r="AI153"/>
      <c r="AJ153"/>
      <c r="BA153" s="199" t="s">
        <v>467</v>
      </c>
      <c r="BB153" s="197" t="s">
        <v>982</v>
      </c>
      <c r="BC153" s="77">
        <f t="shared" si="7"/>
        <v>0</v>
      </c>
      <c r="BE153" s="50" t="s">
        <v>467</v>
      </c>
      <c r="BF153" s="50" t="s">
        <v>982</v>
      </c>
      <c r="BG153" s="376">
        <v>-77723.13</v>
      </c>
    </row>
    <row r="154" spans="1:59">
      <c r="A154" s="199" t="s">
        <v>469</v>
      </c>
      <c r="B154" s="197" t="s">
        <v>983</v>
      </c>
      <c r="C154" s="324">
        <v>-31046.31</v>
      </c>
      <c r="D154" s="198">
        <v>-48334.85</v>
      </c>
      <c r="E154" s="198">
        <v>-32855.75</v>
      </c>
      <c r="F154" s="378">
        <v>-25386.43</v>
      </c>
      <c r="G154" s="128">
        <f t="shared" si="6"/>
        <v>-137623.34</v>
      </c>
      <c r="I154" s="220"/>
      <c r="J154" s="221"/>
      <c r="K154" s="199" t="s">
        <v>469</v>
      </c>
      <c r="L154" s="197" t="s">
        <v>983</v>
      </c>
      <c r="M154" s="117"/>
      <c r="N154" s="198">
        <v>-48334.85</v>
      </c>
      <c r="O154" s="117">
        <f t="shared" si="8"/>
        <v>-48334.85</v>
      </c>
      <c r="P154" s="50"/>
      <c r="Q154" s="96"/>
      <c r="R154" s="199" t="s">
        <v>469</v>
      </c>
      <c r="S154" s="197" t="s">
        <v>983</v>
      </c>
      <c r="T154" s="117">
        <v>-37363.85</v>
      </c>
      <c r="U154" s="129">
        <v>-31046.31</v>
      </c>
      <c r="V154" s="315">
        <v>-31046.31</v>
      </c>
      <c r="AE154"/>
      <c r="AF154"/>
      <c r="AG154"/>
      <c r="AH154"/>
      <c r="AI154"/>
      <c r="AJ154"/>
      <c r="BA154" s="199" t="s">
        <v>469</v>
      </c>
      <c r="BB154" s="197" t="s">
        <v>983</v>
      </c>
      <c r="BC154" s="77">
        <f t="shared" si="7"/>
        <v>0</v>
      </c>
      <c r="BE154" s="50" t="s">
        <v>469</v>
      </c>
      <c r="BF154" s="50" t="s">
        <v>983</v>
      </c>
      <c r="BG154" s="376">
        <v>-25386.43</v>
      </c>
    </row>
    <row r="155" spans="1:59">
      <c r="A155" s="199" t="s">
        <v>471</v>
      </c>
      <c r="B155" s="197" t="s">
        <v>984</v>
      </c>
      <c r="C155" s="324">
        <v>-104466.6</v>
      </c>
      <c r="D155" s="198">
        <v>-95192.74</v>
      </c>
      <c r="E155" s="198">
        <v>-157213.54</v>
      </c>
      <c r="F155" s="378">
        <v>-87380.33</v>
      </c>
      <c r="G155" s="128">
        <f t="shared" si="6"/>
        <v>-444253.21</v>
      </c>
      <c r="I155" s="220"/>
      <c r="J155" s="221"/>
      <c r="K155" s="199" t="s">
        <v>471</v>
      </c>
      <c r="L155" s="197" t="s">
        <v>984</v>
      </c>
      <c r="M155" s="117"/>
      <c r="N155" s="198">
        <v>-95192.74</v>
      </c>
      <c r="O155" s="117">
        <f t="shared" si="8"/>
        <v>-95192.74</v>
      </c>
      <c r="P155" s="50"/>
      <c r="Q155" s="96"/>
      <c r="R155" s="199" t="s">
        <v>471</v>
      </c>
      <c r="S155" s="197" t="s">
        <v>984</v>
      </c>
      <c r="T155" s="117">
        <v>-70097.31</v>
      </c>
      <c r="U155" s="129">
        <v>-104466.6</v>
      </c>
      <c r="V155" s="315">
        <v>-104466.6</v>
      </c>
      <c r="AE155"/>
      <c r="AF155"/>
      <c r="AG155"/>
      <c r="AH155"/>
      <c r="AI155"/>
      <c r="AJ155"/>
      <c r="BA155" s="199" t="s">
        <v>471</v>
      </c>
      <c r="BB155" s="197" t="s">
        <v>984</v>
      </c>
      <c r="BC155" s="77">
        <f t="shared" si="7"/>
        <v>0</v>
      </c>
      <c r="BE155" s="50" t="s">
        <v>471</v>
      </c>
      <c r="BF155" s="50" t="s">
        <v>984</v>
      </c>
      <c r="BG155" s="376">
        <v>-87380.33</v>
      </c>
    </row>
    <row r="156" spans="1:59">
      <c r="A156" s="199" t="s">
        <v>473</v>
      </c>
      <c r="B156" s="197" t="s">
        <v>985</v>
      </c>
      <c r="C156" s="324">
        <v>-37114.959999999999</v>
      </c>
      <c r="D156" s="198">
        <v>-51768.57</v>
      </c>
      <c r="E156" s="198">
        <v>-61354.879999999997</v>
      </c>
      <c r="F156" s="378">
        <v>-99219.46</v>
      </c>
      <c r="G156" s="128">
        <f t="shared" si="6"/>
        <v>-249457.87</v>
      </c>
      <c r="I156" s="220"/>
      <c r="J156" s="221"/>
      <c r="K156" s="199" t="s">
        <v>473</v>
      </c>
      <c r="L156" s="197" t="s">
        <v>985</v>
      </c>
      <c r="M156" s="117"/>
      <c r="N156" s="198">
        <v>-51768.57</v>
      </c>
      <c r="O156" s="117">
        <f t="shared" si="8"/>
        <v>-51768.57</v>
      </c>
      <c r="P156" s="50"/>
      <c r="Q156" s="96"/>
      <c r="R156" s="199" t="s">
        <v>473</v>
      </c>
      <c r="S156" s="197" t="s">
        <v>985</v>
      </c>
      <c r="T156" s="117">
        <v>-49517.17</v>
      </c>
      <c r="U156" s="129">
        <v>-37114.959999999999</v>
      </c>
      <c r="V156" s="315">
        <v>-37114.959999999999</v>
      </c>
      <c r="AE156"/>
      <c r="AF156"/>
      <c r="AG156"/>
      <c r="AH156"/>
      <c r="AI156"/>
      <c r="AJ156"/>
      <c r="BA156" s="199" t="s">
        <v>473</v>
      </c>
      <c r="BB156" s="197" t="s">
        <v>985</v>
      </c>
      <c r="BC156" s="77">
        <f t="shared" si="7"/>
        <v>0</v>
      </c>
      <c r="BE156" s="50" t="s">
        <v>473</v>
      </c>
      <c r="BF156" s="50" t="s">
        <v>985</v>
      </c>
      <c r="BG156" s="376">
        <v>-99219.46</v>
      </c>
    </row>
    <row r="157" spans="1:59">
      <c r="A157" s="199" t="s">
        <v>475</v>
      </c>
      <c r="B157" s="197" t="s">
        <v>986</v>
      </c>
      <c r="C157" s="324">
        <v>-114361.25</v>
      </c>
      <c r="D157" s="198">
        <v>-94217.91</v>
      </c>
      <c r="E157" s="198">
        <v>-104505.38</v>
      </c>
      <c r="F157" s="378">
        <v>-92664.5</v>
      </c>
      <c r="G157" s="128">
        <f t="shared" si="6"/>
        <v>-405749.04000000004</v>
      </c>
      <c r="I157" s="220"/>
      <c r="J157" s="221"/>
      <c r="K157" s="199" t="s">
        <v>475</v>
      </c>
      <c r="L157" s="197" t="s">
        <v>986</v>
      </c>
      <c r="M157" s="117"/>
      <c r="N157" s="198">
        <v>-94217.91</v>
      </c>
      <c r="O157" s="117">
        <f t="shared" si="8"/>
        <v>-94217.91</v>
      </c>
      <c r="P157" s="50"/>
      <c r="Q157" s="96"/>
      <c r="R157" s="199" t="s">
        <v>475</v>
      </c>
      <c r="S157" s="197" t="s">
        <v>986</v>
      </c>
      <c r="T157" s="117">
        <v>-75669.45</v>
      </c>
      <c r="U157" s="129">
        <v>-114361.25</v>
      </c>
      <c r="V157" s="315">
        <v>-114361.25</v>
      </c>
      <c r="AE157"/>
      <c r="AF157"/>
      <c r="AG157"/>
      <c r="AH157"/>
      <c r="AI157"/>
      <c r="AJ157"/>
      <c r="BA157" s="199" t="s">
        <v>475</v>
      </c>
      <c r="BB157" s="197" t="s">
        <v>986</v>
      </c>
      <c r="BC157" s="77">
        <f t="shared" si="7"/>
        <v>0</v>
      </c>
      <c r="BE157" s="50" t="s">
        <v>475</v>
      </c>
      <c r="BF157" s="50" t="s">
        <v>986</v>
      </c>
      <c r="BG157" s="376">
        <v>-92664.5</v>
      </c>
    </row>
    <row r="158" spans="1:59">
      <c r="A158" s="199" t="s">
        <v>477</v>
      </c>
      <c r="B158" s="197" t="s">
        <v>987</v>
      </c>
      <c r="C158" s="324">
        <v>-53061.67</v>
      </c>
      <c r="D158" s="198">
        <v>-46704.69</v>
      </c>
      <c r="E158" s="198">
        <v>-175658.9</v>
      </c>
      <c r="F158" s="378">
        <v>-194322.58</v>
      </c>
      <c r="G158" s="128">
        <f t="shared" si="6"/>
        <v>-469747.83999999997</v>
      </c>
      <c r="I158" s="220"/>
      <c r="J158" s="221"/>
      <c r="K158" s="199" t="s">
        <v>477</v>
      </c>
      <c r="L158" s="197" t="s">
        <v>987</v>
      </c>
      <c r="M158" s="117"/>
      <c r="N158" s="198">
        <v>-46704.69</v>
      </c>
      <c r="O158" s="117">
        <f t="shared" si="8"/>
        <v>-46704.69</v>
      </c>
      <c r="P158" s="50"/>
      <c r="Q158" s="96"/>
      <c r="R158" s="199" t="s">
        <v>477</v>
      </c>
      <c r="S158" s="197" t="s">
        <v>987</v>
      </c>
      <c r="T158" s="117">
        <v>-36920.31</v>
      </c>
      <c r="U158" s="129">
        <v>-53061.67</v>
      </c>
      <c r="V158" s="315">
        <v>-53061.67</v>
      </c>
      <c r="AE158"/>
      <c r="AF158"/>
      <c r="AG158"/>
      <c r="AH158"/>
      <c r="AI158"/>
      <c r="AJ158"/>
      <c r="BA158" s="199" t="s">
        <v>477</v>
      </c>
      <c r="BB158" s="197" t="s">
        <v>987</v>
      </c>
      <c r="BC158" s="77">
        <f t="shared" si="7"/>
        <v>0</v>
      </c>
      <c r="BE158" s="50" t="s">
        <v>477</v>
      </c>
      <c r="BF158" s="50" t="s">
        <v>987</v>
      </c>
      <c r="BG158" s="376">
        <v>-194322.58</v>
      </c>
    </row>
    <row r="159" spans="1:59">
      <c r="A159" s="199" t="s">
        <v>479</v>
      </c>
      <c r="B159" s="197" t="s">
        <v>988</v>
      </c>
      <c r="C159" s="324">
        <v>-108302.16</v>
      </c>
      <c r="D159" s="198">
        <v>-94031.13</v>
      </c>
      <c r="E159" s="198">
        <v>-123251.81</v>
      </c>
      <c r="F159" s="378">
        <v>-116383.67</v>
      </c>
      <c r="G159" s="128">
        <f t="shared" si="6"/>
        <v>-441968.76999999996</v>
      </c>
      <c r="I159" s="220"/>
      <c r="J159" s="221"/>
      <c r="K159" s="199" t="s">
        <v>479</v>
      </c>
      <c r="L159" s="197" t="s">
        <v>988</v>
      </c>
      <c r="M159" s="117"/>
      <c r="N159" s="198">
        <v>-94031.13</v>
      </c>
      <c r="O159" s="117">
        <f t="shared" si="8"/>
        <v>-94031.13</v>
      </c>
      <c r="P159" s="50"/>
      <c r="Q159" s="96"/>
      <c r="R159" s="199" t="s">
        <v>479</v>
      </c>
      <c r="S159" s="197" t="s">
        <v>988</v>
      </c>
      <c r="T159" s="117">
        <v>-110388.12</v>
      </c>
      <c r="U159" s="129">
        <v>-108302.16</v>
      </c>
      <c r="V159" s="315">
        <v>-108302.16</v>
      </c>
      <c r="AE159"/>
      <c r="AF159"/>
      <c r="AG159"/>
      <c r="AH159"/>
      <c r="AI159"/>
      <c r="AJ159"/>
      <c r="BA159" s="199" t="s">
        <v>479</v>
      </c>
      <c r="BB159" s="197" t="s">
        <v>988</v>
      </c>
      <c r="BC159" s="77">
        <f t="shared" si="7"/>
        <v>0</v>
      </c>
      <c r="BE159" s="50" t="s">
        <v>479</v>
      </c>
      <c r="BF159" s="50" t="s">
        <v>988</v>
      </c>
      <c r="BG159" s="376">
        <v>-116383.67</v>
      </c>
    </row>
    <row r="160" spans="1:59">
      <c r="A160" s="199" t="s">
        <v>481</v>
      </c>
      <c r="B160" s="197" t="s">
        <v>989</v>
      </c>
      <c r="C160" s="324">
        <v>-44694.03</v>
      </c>
      <c r="D160" s="198">
        <v>-53213.31</v>
      </c>
      <c r="E160" s="198">
        <v>-103231.64</v>
      </c>
      <c r="F160" s="378">
        <v>-103835.11</v>
      </c>
      <c r="G160" s="128">
        <f t="shared" si="6"/>
        <v>-304974.08999999997</v>
      </c>
      <c r="I160" s="220"/>
      <c r="J160" s="221"/>
      <c r="K160" s="199" t="s">
        <v>481</v>
      </c>
      <c r="L160" s="197" t="s">
        <v>989</v>
      </c>
      <c r="M160" s="117"/>
      <c r="N160" s="198">
        <v>-53213.31</v>
      </c>
      <c r="O160" s="117">
        <f t="shared" si="8"/>
        <v>-53213.31</v>
      </c>
      <c r="P160" s="50"/>
      <c r="Q160" s="96"/>
      <c r="R160" s="199" t="s">
        <v>481</v>
      </c>
      <c r="S160" s="197" t="s">
        <v>989</v>
      </c>
      <c r="T160" s="117">
        <v>-27770.09</v>
      </c>
      <c r="U160" s="129">
        <v>-44694.03</v>
      </c>
      <c r="V160" s="315">
        <v>-44694.03</v>
      </c>
      <c r="AE160"/>
      <c r="AF160"/>
      <c r="AG160"/>
      <c r="AH160"/>
      <c r="AI160"/>
      <c r="AJ160"/>
      <c r="BA160" s="199" t="s">
        <v>481</v>
      </c>
      <c r="BB160" s="197" t="s">
        <v>989</v>
      </c>
      <c r="BC160" s="77">
        <f t="shared" si="7"/>
        <v>0</v>
      </c>
      <c r="BE160" s="50" t="s">
        <v>481</v>
      </c>
      <c r="BF160" s="50" t="s">
        <v>989</v>
      </c>
      <c r="BG160" s="376">
        <v>-103835.11</v>
      </c>
    </row>
    <row r="161" spans="1:59">
      <c r="A161" s="199" t="s">
        <v>483</v>
      </c>
      <c r="B161" s="197" t="s">
        <v>990</v>
      </c>
      <c r="C161" s="324">
        <v>-61891.19</v>
      </c>
      <c r="D161" s="198">
        <v>-49615.28</v>
      </c>
      <c r="E161" s="198">
        <v>-82365.06</v>
      </c>
      <c r="F161" s="378">
        <v>-79857.740000000005</v>
      </c>
      <c r="G161" s="128">
        <f t="shared" si="6"/>
        <v>-273729.27</v>
      </c>
      <c r="I161" s="220"/>
      <c r="J161" s="221"/>
      <c r="K161" s="199" t="s">
        <v>483</v>
      </c>
      <c r="L161" s="197" t="s">
        <v>990</v>
      </c>
      <c r="M161" s="117"/>
      <c r="N161" s="198">
        <v>-49615.28</v>
      </c>
      <c r="O161" s="117">
        <f t="shared" si="8"/>
        <v>-49615.28</v>
      </c>
      <c r="P161" s="50"/>
      <c r="Q161" s="96"/>
      <c r="R161" s="199" t="s">
        <v>483</v>
      </c>
      <c r="S161" s="197" t="s">
        <v>990</v>
      </c>
      <c r="T161" s="117">
        <v>-45081.16</v>
      </c>
      <c r="U161" s="129">
        <v>-61891.19</v>
      </c>
      <c r="V161" s="315">
        <v>-61891.19</v>
      </c>
      <c r="AE161"/>
      <c r="AF161"/>
      <c r="AG161"/>
      <c r="AH161"/>
      <c r="AI161"/>
      <c r="AJ161"/>
      <c r="BA161" s="199" t="s">
        <v>483</v>
      </c>
      <c r="BB161" s="197" t="s">
        <v>990</v>
      </c>
      <c r="BC161" s="77">
        <f t="shared" si="7"/>
        <v>0</v>
      </c>
      <c r="BE161" s="50" t="s">
        <v>483</v>
      </c>
      <c r="BF161" s="50" t="s">
        <v>990</v>
      </c>
      <c r="BG161" s="376">
        <v>-79857.740000000005</v>
      </c>
    </row>
    <row r="162" spans="1:59">
      <c r="A162" s="199" t="s">
        <v>485</v>
      </c>
      <c r="B162" s="197" t="s">
        <v>991</v>
      </c>
      <c r="C162" s="324">
        <v>-129828.75</v>
      </c>
      <c r="D162" s="198">
        <v>-134873.34</v>
      </c>
      <c r="E162" s="198">
        <v>-119349.14</v>
      </c>
      <c r="F162" s="378">
        <v>-111519.57</v>
      </c>
      <c r="G162" s="128">
        <f t="shared" si="6"/>
        <v>-495570.8</v>
      </c>
      <c r="I162" s="220"/>
      <c r="J162" s="221"/>
      <c r="K162" s="199" t="s">
        <v>485</v>
      </c>
      <c r="L162" s="197" t="s">
        <v>991</v>
      </c>
      <c r="M162" s="117"/>
      <c r="N162" s="198">
        <v>-134873.34</v>
      </c>
      <c r="O162" s="117">
        <f t="shared" si="8"/>
        <v>-134873.34</v>
      </c>
      <c r="P162" s="50"/>
      <c r="Q162" s="96"/>
      <c r="R162" s="199" t="s">
        <v>485</v>
      </c>
      <c r="S162" s="197" t="s">
        <v>991</v>
      </c>
      <c r="T162" s="117">
        <v>-105961.69</v>
      </c>
      <c r="U162" s="129">
        <v>-129828.75</v>
      </c>
      <c r="V162" s="315">
        <v>-129828.75</v>
      </c>
      <c r="AE162"/>
      <c r="AF162"/>
      <c r="AG162"/>
      <c r="AH162"/>
      <c r="AI162"/>
      <c r="AJ162"/>
      <c r="BA162" s="199" t="s">
        <v>485</v>
      </c>
      <c r="BB162" s="197" t="s">
        <v>991</v>
      </c>
      <c r="BC162" s="77">
        <f t="shared" si="7"/>
        <v>0</v>
      </c>
      <c r="BE162" s="50" t="s">
        <v>485</v>
      </c>
      <c r="BF162" s="50" t="s">
        <v>991</v>
      </c>
      <c r="BG162" s="376">
        <v>-111519.57</v>
      </c>
    </row>
    <row r="163" spans="1:59">
      <c r="A163" s="199" t="s">
        <v>487</v>
      </c>
      <c r="B163" s="197" t="s">
        <v>992</v>
      </c>
      <c r="C163" s="324">
        <v>-31679.45</v>
      </c>
      <c r="D163" s="198">
        <v>-57110.21</v>
      </c>
      <c r="E163" s="198">
        <v>-77738.12</v>
      </c>
      <c r="F163" s="378">
        <v>-107616.34</v>
      </c>
      <c r="G163" s="128">
        <f t="shared" si="6"/>
        <v>-274144.12</v>
      </c>
      <c r="I163" s="220"/>
      <c r="J163" s="221"/>
      <c r="K163" s="199" t="s">
        <v>487</v>
      </c>
      <c r="L163" s="197" t="s">
        <v>992</v>
      </c>
      <c r="M163" s="117"/>
      <c r="N163" s="198">
        <v>-57110.21</v>
      </c>
      <c r="O163" s="117">
        <f t="shared" si="8"/>
        <v>-57110.21</v>
      </c>
      <c r="P163" s="50"/>
      <c r="Q163" s="96"/>
      <c r="R163" s="199" t="s">
        <v>487</v>
      </c>
      <c r="S163" s="197" t="s">
        <v>992</v>
      </c>
      <c r="T163" s="117">
        <v>-3391.07</v>
      </c>
      <c r="U163" s="129">
        <v>-31679.45</v>
      </c>
      <c r="V163" s="315">
        <v>-31679.45</v>
      </c>
      <c r="AE163"/>
      <c r="AF163"/>
      <c r="AG163"/>
      <c r="AH163"/>
      <c r="AI163"/>
      <c r="AJ163"/>
      <c r="BA163" s="199" t="s">
        <v>487</v>
      </c>
      <c r="BB163" s="197" t="s">
        <v>992</v>
      </c>
      <c r="BC163" s="77">
        <f t="shared" si="7"/>
        <v>0</v>
      </c>
      <c r="BE163" s="50" t="s">
        <v>487</v>
      </c>
      <c r="BF163" s="50" t="s">
        <v>992</v>
      </c>
      <c r="BG163" s="376">
        <v>-107616.34</v>
      </c>
    </row>
    <row r="164" spans="1:59">
      <c r="A164" s="199" t="s">
        <v>489</v>
      </c>
      <c r="B164" s="197" t="s">
        <v>993</v>
      </c>
      <c r="C164" s="324">
        <v>-108928.15</v>
      </c>
      <c r="D164" s="198">
        <v>-77717.69</v>
      </c>
      <c r="E164" s="198">
        <v>-70106.14</v>
      </c>
      <c r="F164" s="378">
        <v>-82992.289999999994</v>
      </c>
      <c r="G164" s="128">
        <f t="shared" si="6"/>
        <v>-339744.26999999996</v>
      </c>
      <c r="I164" s="220"/>
      <c r="J164" s="221"/>
      <c r="K164" s="199" t="s">
        <v>489</v>
      </c>
      <c r="L164" s="197" t="s">
        <v>993</v>
      </c>
      <c r="M164" s="117"/>
      <c r="N164" s="198">
        <v>-77717.69</v>
      </c>
      <c r="O164" s="117">
        <f t="shared" si="8"/>
        <v>-77717.69</v>
      </c>
      <c r="P164" s="50"/>
      <c r="Q164" s="96"/>
      <c r="R164" s="199" t="s">
        <v>489</v>
      </c>
      <c r="S164" s="197" t="s">
        <v>993</v>
      </c>
      <c r="T164" s="117">
        <v>-78938.66</v>
      </c>
      <c r="U164" s="129">
        <v>-108928.15</v>
      </c>
      <c r="V164" s="315">
        <v>-108928.15</v>
      </c>
      <c r="AE164"/>
      <c r="AF164"/>
      <c r="AG164"/>
      <c r="AH164"/>
      <c r="AI164"/>
      <c r="AJ164"/>
      <c r="BA164" s="199" t="s">
        <v>489</v>
      </c>
      <c r="BB164" s="197" t="s">
        <v>993</v>
      </c>
      <c r="BC164" s="77">
        <f t="shared" si="7"/>
        <v>0</v>
      </c>
      <c r="BE164" s="50" t="s">
        <v>489</v>
      </c>
      <c r="BF164" s="50" t="s">
        <v>993</v>
      </c>
      <c r="BG164" s="376">
        <v>-82992.289999999994</v>
      </c>
    </row>
    <row r="165" spans="1:59">
      <c r="A165" s="199" t="s">
        <v>491</v>
      </c>
      <c r="B165" s="197" t="s">
        <v>994</v>
      </c>
      <c r="C165" s="329">
        <v>-37751.82</v>
      </c>
      <c r="D165" s="198">
        <v>-96861.5</v>
      </c>
      <c r="E165" s="198">
        <v>-30247.91</v>
      </c>
      <c r="F165" s="378">
        <v>-97071.69</v>
      </c>
      <c r="G165" s="128">
        <f t="shared" si="6"/>
        <v>-261932.92</v>
      </c>
      <c r="I165" s="220"/>
      <c r="J165" s="221"/>
      <c r="K165" s="199" t="s">
        <v>491</v>
      </c>
      <c r="L165" s="197" t="s">
        <v>994</v>
      </c>
      <c r="M165" s="117"/>
      <c r="N165" s="198">
        <v>-96861.5</v>
      </c>
      <c r="O165" s="117">
        <f t="shared" si="8"/>
        <v>-96861.5</v>
      </c>
      <c r="P165" s="50"/>
      <c r="Q165" s="91"/>
      <c r="R165" s="199" t="s">
        <v>491</v>
      </c>
      <c r="S165" s="197" t="s">
        <v>994</v>
      </c>
      <c r="T165" s="117">
        <v>-49712.69</v>
      </c>
      <c r="U165" s="129">
        <v>-37751.82</v>
      </c>
      <c r="V165" s="317">
        <v>-37751.82</v>
      </c>
      <c r="AE165"/>
      <c r="AF165"/>
      <c r="AG165"/>
      <c r="AH165"/>
      <c r="AI165"/>
      <c r="AJ165"/>
      <c r="BA165" s="199" t="s">
        <v>491</v>
      </c>
      <c r="BB165" s="197" t="s">
        <v>994</v>
      </c>
      <c r="BC165" s="77">
        <f t="shared" si="7"/>
        <v>0</v>
      </c>
      <c r="BE165" s="50" t="s">
        <v>491</v>
      </c>
      <c r="BF165" s="50" t="s">
        <v>994</v>
      </c>
      <c r="BG165" s="376">
        <v>-97071.69</v>
      </c>
    </row>
    <row r="166" spans="1:59">
      <c r="A166" s="199" t="s">
        <v>493</v>
      </c>
      <c r="B166" s="197" t="s">
        <v>995</v>
      </c>
      <c r="C166" s="324">
        <v>-42199.86</v>
      </c>
      <c r="D166" s="198">
        <v>-19859.29</v>
      </c>
      <c r="E166" s="198">
        <v>-73111.37</v>
      </c>
      <c r="F166" s="378">
        <v>-103201.19</v>
      </c>
      <c r="G166" s="128">
        <f t="shared" si="6"/>
        <v>-238371.71</v>
      </c>
      <c r="I166" s="220"/>
      <c r="J166" s="221"/>
      <c r="K166" s="199" t="s">
        <v>493</v>
      </c>
      <c r="L166" s="197" t="s">
        <v>995</v>
      </c>
      <c r="M166" s="117"/>
      <c r="N166" s="198">
        <v>-19859.29</v>
      </c>
      <c r="O166" s="117">
        <f t="shared" si="8"/>
        <v>-19859.29</v>
      </c>
      <c r="P166" s="50"/>
      <c r="Q166" s="96"/>
      <c r="R166" s="199" t="s">
        <v>493</v>
      </c>
      <c r="S166" s="197" t="s">
        <v>995</v>
      </c>
      <c r="T166" s="117">
        <v>-66669.59</v>
      </c>
      <c r="U166" s="129">
        <v>-42199.86</v>
      </c>
      <c r="V166" s="315">
        <v>-42199.86</v>
      </c>
      <c r="AE166"/>
      <c r="AF166"/>
      <c r="AG166"/>
      <c r="AH166"/>
      <c r="AI166"/>
      <c r="AJ166"/>
      <c r="BA166" s="199" t="s">
        <v>493</v>
      </c>
      <c r="BB166" s="197" t="s">
        <v>995</v>
      </c>
      <c r="BC166" s="77">
        <f t="shared" si="7"/>
        <v>0</v>
      </c>
      <c r="BE166" s="50" t="s">
        <v>493</v>
      </c>
      <c r="BF166" s="50" t="s">
        <v>995</v>
      </c>
      <c r="BG166" s="376">
        <v>-103201.19</v>
      </c>
    </row>
    <row r="167" spans="1:59">
      <c r="A167" s="199" t="s">
        <v>495</v>
      </c>
      <c r="B167" s="197" t="s">
        <v>996</v>
      </c>
      <c r="C167" s="324">
        <v>-69307.240000000005</v>
      </c>
      <c r="D167" s="198">
        <v>-48036.51</v>
      </c>
      <c r="E167" s="198">
        <v>-98720.41</v>
      </c>
      <c r="F167" s="378">
        <v>-47492.41</v>
      </c>
      <c r="G167" s="128">
        <f t="shared" si="6"/>
        <v>-263556.57</v>
      </c>
      <c r="I167" s="220"/>
      <c r="J167" s="221"/>
      <c r="K167" s="199" t="s">
        <v>495</v>
      </c>
      <c r="L167" s="197" t="s">
        <v>996</v>
      </c>
      <c r="M167" s="117"/>
      <c r="N167" s="198">
        <v>-48036.51</v>
      </c>
      <c r="O167" s="117">
        <f t="shared" si="8"/>
        <v>-48036.51</v>
      </c>
      <c r="P167" s="50"/>
      <c r="Q167" s="96"/>
      <c r="R167" s="199" t="s">
        <v>495</v>
      </c>
      <c r="S167" s="197" t="s">
        <v>996</v>
      </c>
      <c r="T167" s="117">
        <v>-43320.76</v>
      </c>
      <c r="U167" s="129">
        <v>-69307.240000000005</v>
      </c>
      <c r="V167" s="315">
        <v>-69307.240000000005</v>
      </c>
      <c r="AE167"/>
      <c r="AF167"/>
      <c r="AG167"/>
      <c r="AH167"/>
      <c r="AI167"/>
      <c r="AJ167"/>
      <c r="BA167" s="199" t="s">
        <v>495</v>
      </c>
      <c r="BB167" s="197" t="s">
        <v>996</v>
      </c>
      <c r="BC167" s="77">
        <f t="shared" si="7"/>
        <v>0</v>
      </c>
      <c r="BE167" s="50" t="s">
        <v>495</v>
      </c>
      <c r="BF167" s="50" t="s">
        <v>996</v>
      </c>
      <c r="BG167" s="376">
        <v>-47492.41</v>
      </c>
    </row>
    <row r="168" spans="1:59">
      <c r="A168" s="199" t="s">
        <v>497</v>
      </c>
      <c r="B168" s="197" t="s">
        <v>997</v>
      </c>
      <c r="C168" s="324">
        <v>-3820.58</v>
      </c>
      <c r="D168" s="198">
        <v>-31562.9</v>
      </c>
      <c r="E168" s="198">
        <v>-50025.78</v>
      </c>
      <c r="F168" s="378">
        <v>-52960.71</v>
      </c>
      <c r="G168" s="128">
        <f t="shared" si="6"/>
        <v>-138369.97</v>
      </c>
      <c r="I168" s="220"/>
      <c r="J168" s="221"/>
      <c r="K168" s="199" t="s">
        <v>497</v>
      </c>
      <c r="L168" s="197" t="s">
        <v>997</v>
      </c>
      <c r="M168" s="117"/>
      <c r="N168" s="198">
        <v>-31562.9</v>
      </c>
      <c r="O168" s="117">
        <f t="shared" si="8"/>
        <v>-31562.9</v>
      </c>
      <c r="P168" s="50"/>
      <c r="Q168" s="96"/>
      <c r="R168" s="199" t="s">
        <v>497</v>
      </c>
      <c r="S168" s="197" t="s">
        <v>997</v>
      </c>
      <c r="T168" s="117">
        <v>-33607.230000000003</v>
      </c>
      <c r="U168" s="129">
        <v>-3820.58</v>
      </c>
      <c r="V168" s="315">
        <v>-3820.58</v>
      </c>
      <c r="AE168"/>
      <c r="AF168"/>
      <c r="AG168"/>
      <c r="AH168"/>
      <c r="AI168"/>
      <c r="AJ168"/>
      <c r="BA168" s="199" t="s">
        <v>497</v>
      </c>
      <c r="BB168" s="197" t="s">
        <v>997</v>
      </c>
      <c r="BC168" s="77">
        <f t="shared" si="7"/>
        <v>0</v>
      </c>
      <c r="BE168" s="50" t="s">
        <v>497</v>
      </c>
      <c r="BF168" s="50" t="s">
        <v>997</v>
      </c>
      <c r="BG168" s="376">
        <v>-52960.71</v>
      </c>
    </row>
    <row r="169" spans="1:59">
      <c r="A169" s="199" t="s">
        <v>498</v>
      </c>
      <c r="B169" s="197" t="s">
        <v>998</v>
      </c>
      <c r="C169" s="324">
        <v>-111982.9</v>
      </c>
      <c r="D169" s="198">
        <v>31446.21</v>
      </c>
      <c r="E169" s="198">
        <v>-41655.050000000003</v>
      </c>
      <c r="F169" s="378">
        <v>-105432.14</v>
      </c>
      <c r="G169" s="128">
        <f t="shared" si="6"/>
        <v>-227623.88</v>
      </c>
      <c r="I169" s="220"/>
      <c r="J169" s="221"/>
      <c r="K169" s="199" t="s">
        <v>498</v>
      </c>
      <c r="L169" s="197" t="s">
        <v>998</v>
      </c>
      <c r="M169" s="117">
        <f>+C169</f>
        <v>-111982.9</v>
      </c>
      <c r="N169" s="198">
        <v>31446.21</v>
      </c>
      <c r="O169" s="313">
        <f>IF(+M169+N169&lt;0,0,(+M169+N169))</f>
        <v>0</v>
      </c>
      <c r="P169" s="50"/>
      <c r="Q169" s="96"/>
      <c r="R169" s="199" t="s">
        <v>498</v>
      </c>
      <c r="S169" s="197" t="s">
        <v>998</v>
      </c>
      <c r="T169" s="117">
        <v>-29304.400000000001</v>
      </c>
      <c r="U169" s="129">
        <v>-111982.9</v>
      </c>
      <c r="V169" s="315">
        <v>-111982.9</v>
      </c>
      <c r="AE169"/>
      <c r="AF169"/>
      <c r="AG169"/>
      <c r="AH169"/>
      <c r="AI169"/>
      <c r="AJ169"/>
      <c r="BA169" s="199" t="s">
        <v>498</v>
      </c>
      <c r="BB169" s="197" t="s">
        <v>998</v>
      </c>
      <c r="BC169" s="77">
        <f t="shared" si="7"/>
        <v>0</v>
      </c>
      <c r="BE169" s="50" t="s">
        <v>498</v>
      </c>
      <c r="BF169" s="50" t="s">
        <v>998</v>
      </c>
      <c r="BG169" s="376">
        <v>-105432.14</v>
      </c>
    </row>
    <row r="170" spans="1:59">
      <c r="A170" s="199" t="s">
        <v>500</v>
      </c>
      <c r="B170" s="197" t="s">
        <v>999</v>
      </c>
      <c r="C170" s="324">
        <v>-78532.539999999994</v>
      </c>
      <c r="D170" s="198">
        <v>-41948.89</v>
      </c>
      <c r="E170" s="198">
        <v>-70178.14</v>
      </c>
      <c r="F170" s="378">
        <v>-81249.600000000006</v>
      </c>
      <c r="G170" s="128">
        <f t="shared" si="6"/>
        <v>-271909.17000000004</v>
      </c>
      <c r="I170" s="220"/>
      <c r="J170" s="221"/>
      <c r="K170" s="199" t="s">
        <v>500</v>
      </c>
      <c r="L170" s="197" t="s">
        <v>999</v>
      </c>
      <c r="M170" s="117"/>
      <c r="N170" s="198">
        <v>-41948.89</v>
      </c>
      <c r="O170" s="117">
        <f t="shared" si="8"/>
        <v>-41948.89</v>
      </c>
      <c r="P170" s="50"/>
      <c r="Q170" s="96"/>
      <c r="R170" s="199" t="s">
        <v>500</v>
      </c>
      <c r="S170" s="197" t="s">
        <v>999</v>
      </c>
      <c r="T170" s="117">
        <v>-48192.61</v>
      </c>
      <c r="U170" s="129">
        <v>-78532.539999999994</v>
      </c>
      <c r="V170" s="315">
        <v>-78532.539999999994</v>
      </c>
      <c r="AE170"/>
      <c r="AF170"/>
      <c r="AG170"/>
      <c r="AH170"/>
      <c r="AI170"/>
      <c r="AJ170"/>
      <c r="BA170" s="199" t="s">
        <v>500</v>
      </c>
      <c r="BB170" s="197" t="s">
        <v>999</v>
      </c>
      <c r="BC170" s="77">
        <f t="shared" si="7"/>
        <v>0</v>
      </c>
      <c r="BE170" s="50" t="s">
        <v>500</v>
      </c>
      <c r="BF170" s="50" t="s">
        <v>999</v>
      </c>
      <c r="BG170" s="376">
        <v>-81249.600000000006</v>
      </c>
    </row>
    <row r="171" spans="1:59">
      <c r="A171" s="199" t="s">
        <v>502</v>
      </c>
      <c r="B171" s="197" t="s">
        <v>1000</v>
      </c>
      <c r="C171" s="324">
        <v>-122460.03</v>
      </c>
      <c r="D171" s="198">
        <v>-115176.54</v>
      </c>
      <c r="E171" s="198">
        <v>-168149.85</v>
      </c>
      <c r="F171" s="378">
        <v>-187329.27</v>
      </c>
      <c r="G171" s="128">
        <f t="shared" si="6"/>
        <v>-593115.69000000006</v>
      </c>
      <c r="I171" s="220"/>
      <c r="J171" s="221"/>
      <c r="K171" s="199" t="s">
        <v>502</v>
      </c>
      <c r="L171" s="197" t="s">
        <v>1000</v>
      </c>
      <c r="M171" s="117"/>
      <c r="N171" s="198">
        <v>-115176.54</v>
      </c>
      <c r="O171" s="117">
        <f t="shared" si="8"/>
        <v>-115176.54</v>
      </c>
      <c r="P171" s="50"/>
      <c r="Q171" s="96"/>
      <c r="R171" s="199" t="s">
        <v>502</v>
      </c>
      <c r="S171" s="197" t="s">
        <v>1000</v>
      </c>
      <c r="T171" s="117">
        <v>-203956.53</v>
      </c>
      <c r="U171" s="129">
        <v>-122460.03</v>
      </c>
      <c r="V171" s="315">
        <v>-122460.03</v>
      </c>
      <c r="AE171"/>
      <c r="AF171"/>
      <c r="AG171"/>
      <c r="AH171"/>
      <c r="AI171"/>
      <c r="AJ171"/>
      <c r="BA171" s="199" t="s">
        <v>502</v>
      </c>
      <c r="BB171" s="197" t="s">
        <v>1000</v>
      </c>
      <c r="BC171" s="77">
        <f t="shared" si="7"/>
        <v>0</v>
      </c>
      <c r="BE171" s="50" t="s">
        <v>502</v>
      </c>
      <c r="BF171" s="50" t="s">
        <v>1000</v>
      </c>
      <c r="BG171" s="376">
        <v>-187329.27</v>
      </c>
    </row>
    <row r="172" spans="1:59">
      <c r="A172" s="199" t="s">
        <v>504</v>
      </c>
      <c r="B172" s="197" t="s">
        <v>1001</v>
      </c>
      <c r="C172" s="324">
        <v>-65500.35</v>
      </c>
      <c r="D172" s="198">
        <v>-49903.54</v>
      </c>
      <c r="E172" s="198">
        <v>-70526.59</v>
      </c>
      <c r="F172" s="378">
        <v>-73833.460000000006</v>
      </c>
      <c r="G172" s="128">
        <f t="shared" si="6"/>
        <v>-259763.94</v>
      </c>
      <c r="I172" s="220"/>
      <c r="J172" s="221"/>
      <c r="K172" s="199" t="s">
        <v>504</v>
      </c>
      <c r="L172" s="197" t="s">
        <v>1001</v>
      </c>
      <c r="M172" s="117"/>
      <c r="N172" s="198">
        <v>-49903.54</v>
      </c>
      <c r="O172" s="117">
        <f t="shared" si="8"/>
        <v>-49903.54</v>
      </c>
      <c r="P172" s="50"/>
      <c r="Q172" s="96"/>
      <c r="R172" s="199" t="s">
        <v>504</v>
      </c>
      <c r="S172" s="197" t="s">
        <v>1001</v>
      </c>
      <c r="T172" s="117">
        <v>-74118.98</v>
      </c>
      <c r="U172" s="129">
        <v>-65500.35</v>
      </c>
      <c r="V172" s="315">
        <v>-65500.35</v>
      </c>
      <c r="AE172"/>
      <c r="AF172"/>
      <c r="AG172"/>
      <c r="AH172"/>
      <c r="AI172"/>
      <c r="AJ172"/>
      <c r="BA172" s="199" t="s">
        <v>504</v>
      </c>
      <c r="BB172" s="197" t="s">
        <v>1001</v>
      </c>
      <c r="BC172" s="77">
        <f t="shared" si="7"/>
        <v>0</v>
      </c>
      <c r="BE172" s="50" t="s">
        <v>504</v>
      </c>
      <c r="BF172" s="50" t="s">
        <v>1001</v>
      </c>
      <c r="BG172" s="376">
        <v>-73833.460000000006</v>
      </c>
    </row>
    <row r="173" spans="1:59">
      <c r="A173" s="199" t="s">
        <v>506</v>
      </c>
      <c r="B173" s="197" t="s">
        <v>1002</v>
      </c>
      <c r="C173" s="324">
        <v>-95842.48</v>
      </c>
      <c r="D173" s="198">
        <v>-91355.16</v>
      </c>
      <c r="E173" s="198">
        <v>-107024.93</v>
      </c>
      <c r="F173" s="378">
        <v>-101605.46</v>
      </c>
      <c r="G173" s="128">
        <f t="shared" si="6"/>
        <v>-395828.03</v>
      </c>
      <c r="I173" s="220"/>
      <c r="J173" s="221"/>
      <c r="K173" s="199" t="s">
        <v>506</v>
      </c>
      <c r="L173" s="197" t="s">
        <v>1002</v>
      </c>
      <c r="M173" s="117"/>
      <c r="N173" s="198">
        <v>-91355.16</v>
      </c>
      <c r="O173" s="117">
        <f t="shared" si="8"/>
        <v>-91355.16</v>
      </c>
      <c r="P173" s="50"/>
      <c r="Q173" s="96"/>
      <c r="R173" s="199" t="s">
        <v>506</v>
      </c>
      <c r="S173" s="197" t="s">
        <v>1002</v>
      </c>
      <c r="T173" s="117">
        <v>-88188.05</v>
      </c>
      <c r="U173" s="129">
        <v>-95842.48</v>
      </c>
      <c r="V173" s="315">
        <v>-95842.48</v>
      </c>
      <c r="AE173"/>
      <c r="AF173"/>
      <c r="AG173"/>
      <c r="AH173"/>
      <c r="AI173"/>
      <c r="AJ173"/>
      <c r="BA173" s="199" t="s">
        <v>506</v>
      </c>
      <c r="BB173" s="197" t="s">
        <v>1002</v>
      </c>
      <c r="BC173" s="77">
        <f t="shared" si="7"/>
        <v>0</v>
      </c>
      <c r="BE173" s="50" t="s">
        <v>506</v>
      </c>
      <c r="BF173" s="50" t="s">
        <v>1002</v>
      </c>
      <c r="BG173" s="376">
        <v>-101605.46</v>
      </c>
    </row>
    <row r="174" spans="1:59">
      <c r="A174" s="199" t="s">
        <v>508</v>
      </c>
      <c r="B174" s="197" t="s">
        <v>1003</v>
      </c>
      <c r="C174" s="324">
        <v>-136503.06</v>
      </c>
      <c r="D174" s="198">
        <v>-137993.67000000001</v>
      </c>
      <c r="E174" s="198">
        <v>-168832.81</v>
      </c>
      <c r="F174" s="378">
        <v>-139809.19</v>
      </c>
      <c r="G174" s="128">
        <f t="shared" si="6"/>
        <v>-583138.73</v>
      </c>
      <c r="I174" s="220"/>
      <c r="J174" s="221"/>
      <c r="K174" s="199" t="s">
        <v>508</v>
      </c>
      <c r="L174" s="197" t="s">
        <v>1003</v>
      </c>
      <c r="M174" s="117"/>
      <c r="N174" s="198">
        <v>-137993.67000000001</v>
      </c>
      <c r="O174" s="117">
        <f t="shared" si="8"/>
        <v>-137993.67000000001</v>
      </c>
      <c r="P174" s="50"/>
      <c r="Q174" s="96"/>
      <c r="R174" s="199" t="s">
        <v>508</v>
      </c>
      <c r="S174" s="197" t="s">
        <v>1003</v>
      </c>
      <c r="T174" s="117">
        <v>-166703.32999999999</v>
      </c>
      <c r="U174" s="129">
        <v>-136503.06</v>
      </c>
      <c r="V174" s="315">
        <v>-136503.06</v>
      </c>
      <c r="AE174"/>
      <c r="AF174"/>
      <c r="AG174"/>
      <c r="AH174"/>
      <c r="AI174"/>
      <c r="AJ174"/>
      <c r="BA174" s="199" t="s">
        <v>508</v>
      </c>
      <c r="BB174" s="197" t="s">
        <v>1003</v>
      </c>
      <c r="BC174" s="77">
        <f t="shared" si="7"/>
        <v>0</v>
      </c>
      <c r="BE174" s="50" t="s">
        <v>508</v>
      </c>
      <c r="BF174" s="50" t="s">
        <v>1003</v>
      </c>
      <c r="BG174" s="376">
        <v>-139809.19</v>
      </c>
    </row>
    <row r="175" spans="1:59">
      <c r="A175" s="199" t="s">
        <v>510</v>
      </c>
      <c r="B175" s="197" t="s">
        <v>1004</v>
      </c>
      <c r="C175" s="324">
        <v>-634926.76</v>
      </c>
      <c r="D175" s="198">
        <v>-402142.63</v>
      </c>
      <c r="E175" s="198">
        <v>-600555.44999999995</v>
      </c>
      <c r="F175" s="378">
        <v>-921780</v>
      </c>
      <c r="G175" s="128">
        <f t="shared" si="6"/>
        <v>-2559404.84</v>
      </c>
      <c r="I175" s="220"/>
      <c r="J175" s="221"/>
      <c r="K175" s="199" t="s">
        <v>510</v>
      </c>
      <c r="L175" s="197" t="s">
        <v>1004</v>
      </c>
      <c r="M175" s="117"/>
      <c r="N175" s="198">
        <v>-402142.63</v>
      </c>
      <c r="O175" s="117">
        <f t="shared" si="8"/>
        <v>-402142.63</v>
      </c>
      <c r="P175" s="50"/>
      <c r="Q175" s="96"/>
      <c r="R175" s="199" t="s">
        <v>510</v>
      </c>
      <c r="S175" s="197" t="s">
        <v>1004</v>
      </c>
      <c r="T175" s="117">
        <v>-599763.65</v>
      </c>
      <c r="U175" s="129">
        <v>-634926.76</v>
      </c>
      <c r="V175" s="315">
        <v>-634926.76</v>
      </c>
      <c r="AE175"/>
      <c r="AF175"/>
      <c r="AG175"/>
      <c r="AH175"/>
      <c r="AI175"/>
      <c r="AJ175"/>
      <c r="BA175" s="199" t="s">
        <v>510</v>
      </c>
      <c r="BB175" s="197" t="s">
        <v>1004</v>
      </c>
      <c r="BC175" s="77">
        <f t="shared" si="7"/>
        <v>0</v>
      </c>
      <c r="BE175" s="50" t="s">
        <v>510</v>
      </c>
      <c r="BF175" s="50" t="s">
        <v>1004</v>
      </c>
      <c r="BG175" s="376">
        <v>-921780</v>
      </c>
    </row>
    <row r="176" spans="1:59">
      <c r="A176" s="199" t="s">
        <v>512</v>
      </c>
      <c r="B176" s="197" t="s">
        <v>1005</v>
      </c>
      <c r="C176" s="324">
        <v>-786489.63</v>
      </c>
      <c r="D176" s="198">
        <v>-1710146.23</v>
      </c>
      <c r="E176" s="198">
        <v>-2397619.56</v>
      </c>
      <c r="F176" s="378">
        <v>-3413987.49</v>
      </c>
      <c r="G176" s="128">
        <f t="shared" si="6"/>
        <v>-8308242.9100000001</v>
      </c>
      <c r="I176" s="220"/>
      <c r="J176" s="221"/>
      <c r="K176" s="199" t="s">
        <v>512</v>
      </c>
      <c r="L176" s="197" t="s">
        <v>1005</v>
      </c>
      <c r="M176" s="117"/>
      <c r="N176" s="198">
        <v>-1710146.23</v>
      </c>
      <c r="O176" s="117">
        <f t="shared" si="8"/>
        <v>-1710146.23</v>
      </c>
      <c r="P176" s="50"/>
      <c r="Q176" s="96"/>
      <c r="R176" s="199" t="s">
        <v>512</v>
      </c>
      <c r="S176" s="197" t="s">
        <v>1005</v>
      </c>
      <c r="T176" s="117">
        <v>-669130.62</v>
      </c>
      <c r="U176" s="129">
        <v>-786489.63</v>
      </c>
      <c r="V176" s="315">
        <v>-786489.63</v>
      </c>
      <c r="AE176"/>
      <c r="AF176"/>
      <c r="AG176"/>
      <c r="AH176"/>
      <c r="AI176"/>
      <c r="AJ176"/>
      <c r="BA176" s="199" t="s">
        <v>512</v>
      </c>
      <c r="BB176" s="197" t="s">
        <v>1005</v>
      </c>
      <c r="BC176" s="77">
        <f t="shared" si="7"/>
        <v>0</v>
      </c>
      <c r="BE176" s="50" t="s">
        <v>512</v>
      </c>
      <c r="BF176" s="50" t="s">
        <v>1005</v>
      </c>
      <c r="BG176" s="376">
        <v>-3413987.49</v>
      </c>
    </row>
    <row r="177" spans="1:59">
      <c r="A177" s="199" t="s">
        <v>514</v>
      </c>
      <c r="B177" s="197" t="s">
        <v>1006</v>
      </c>
      <c r="C177" s="324">
        <v>-39617.31</v>
      </c>
      <c r="D177" s="198">
        <v>-41070.06</v>
      </c>
      <c r="E177" s="198">
        <v>-35283.56</v>
      </c>
      <c r="F177" s="378">
        <v>-39473.82</v>
      </c>
      <c r="G177" s="128">
        <f t="shared" si="6"/>
        <v>-155444.75</v>
      </c>
      <c r="I177" s="220"/>
      <c r="J177" s="221"/>
      <c r="K177" s="199" t="s">
        <v>514</v>
      </c>
      <c r="L177" s="197" t="s">
        <v>1006</v>
      </c>
      <c r="M177" s="117"/>
      <c r="N177" s="198">
        <v>-41070.06</v>
      </c>
      <c r="O177" s="117">
        <f t="shared" si="8"/>
        <v>-41070.06</v>
      </c>
      <c r="P177" s="50"/>
      <c r="Q177" s="96"/>
      <c r="R177" s="199" t="s">
        <v>514</v>
      </c>
      <c r="S177" s="197" t="s">
        <v>1006</v>
      </c>
      <c r="T177" s="117">
        <v>-23163.1</v>
      </c>
      <c r="U177" s="129">
        <v>-39617.31</v>
      </c>
      <c r="V177" s="315">
        <v>-39617.31</v>
      </c>
      <c r="AE177"/>
      <c r="AF177"/>
      <c r="AG177"/>
      <c r="AH177"/>
      <c r="AI177"/>
      <c r="AJ177"/>
      <c r="BA177" s="199" t="s">
        <v>514</v>
      </c>
      <c r="BB177" s="197" t="s">
        <v>1006</v>
      </c>
      <c r="BC177" s="77">
        <f t="shared" si="7"/>
        <v>0</v>
      </c>
      <c r="BE177" s="50" t="s">
        <v>514</v>
      </c>
      <c r="BF177" s="50" t="s">
        <v>1006</v>
      </c>
      <c r="BG177" s="376">
        <v>-39473.82</v>
      </c>
    </row>
    <row r="178" spans="1:59">
      <c r="A178" s="199" t="s">
        <v>516</v>
      </c>
      <c r="B178" s="197" t="s">
        <v>1007</v>
      </c>
      <c r="C178" s="324">
        <v>-450692.68</v>
      </c>
      <c r="D178" s="198">
        <v>-280756.47999999998</v>
      </c>
      <c r="E178" s="198">
        <v>-340386.16</v>
      </c>
      <c r="F178" s="378">
        <v>-529026.01</v>
      </c>
      <c r="G178" s="128">
        <f t="shared" si="6"/>
        <v>-1600861.3299999998</v>
      </c>
      <c r="I178" s="220"/>
      <c r="J178" s="221"/>
      <c r="K178" s="199" t="s">
        <v>516</v>
      </c>
      <c r="L178" s="197" t="s">
        <v>1007</v>
      </c>
      <c r="M178" s="117"/>
      <c r="N178" s="198">
        <v>-280756.47999999998</v>
      </c>
      <c r="O178" s="117">
        <f t="shared" si="8"/>
        <v>-280756.47999999998</v>
      </c>
      <c r="P178" s="50"/>
      <c r="Q178" s="96"/>
      <c r="R178" s="199" t="s">
        <v>516</v>
      </c>
      <c r="S178" s="197" t="s">
        <v>1007</v>
      </c>
      <c r="T178" s="117">
        <v>-312384.15000000002</v>
      </c>
      <c r="U178" s="129">
        <v>-450692.68</v>
      </c>
      <c r="V178" s="315">
        <v>-450692.68</v>
      </c>
      <c r="AE178"/>
      <c r="AF178"/>
      <c r="AG178"/>
      <c r="AH178"/>
      <c r="AI178"/>
      <c r="AJ178"/>
      <c r="BA178" s="199" t="s">
        <v>516</v>
      </c>
      <c r="BB178" s="197" t="s">
        <v>1007</v>
      </c>
      <c r="BC178" s="77">
        <f t="shared" si="7"/>
        <v>0</v>
      </c>
      <c r="BE178" s="50" t="s">
        <v>516</v>
      </c>
      <c r="BF178" s="50" t="s">
        <v>1007</v>
      </c>
      <c r="BG178" s="376">
        <v>-529026.01</v>
      </c>
    </row>
    <row r="179" spans="1:59">
      <c r="A179" s="199" t="s">
        <v>518</v>
      </c>
      <c r="B179" s="197" t="s">
        <v>1008</v>
      </c>
      <c r="C179" s="324">
        <v>-248238.66</v>
      </c>
      <c r="D179" s="198">
        <v>-222698.16</v>
      </c>
      <c r="E179" s="198">
        <v>-254570.48</v>
      </c>
      <c r="F179" s="378">
        <v>88187.79</v>
      </c>
      <c r="G179" s="128">
        <f t="shared" si="6"/>
        <v>-637319.51</v>
      </c>
      <c r="I179" s="220"/>
      <c r="J179" s="221"/>
      <c r="K179" s="199" t="s">
        <v>518</v>
      </c>
      <c r="L179" s="197" t="s">
        <v>1008</v>
      </c>
      <c r="M179" s="117"/>
      <c r="N179" s="198">
        <v>-222698.16</v>
      </c>
      <c r="O179" s="117">
        <f t="shared" si="8"/>
        <v>-222698.16</v>
      </c>
      <c r="P179" s="50"/>
      <c r="Q179" s="96"/>
      <c r="R179" s="199" t="s">
        <v>518</v>
      </c>
      <c r="S179" s="197" t="s">
        <v>1008</v>
      </c>
      <c r="T179" s="117">
        <v>-337838.84</v>
      </c>
      <c r="U179" s="129">
        <v>-248238.66</v>
      </c>
      <c r="V179" s="315">
        <v>-248238.66</v>
      </c>
      <c r="AE179"/>
      <c r="AF179"/>
      <c r="AG179"/>
      <c r="AH179"/>
      <c r="AI179"/>
      <c r="AJ179"/>
      <c r="BA179" s="199" t="s">
        <v>518</v>
      </c>
      <c r="BB179" s="197" t="s">
        <v>1008</v>
      </c>
      <c r="BC179" s="77">
        <f t="shared" si="7"/>
        <v>0</v>
      </c>
      <c r="BE179" s="50" t="s">
        <v>518</v>
      </c>
      <c r="BF179" s="50" t="s">
        <v>1008</v>
      </c>
      <c r="BG179" s="376">
        <v>88187.79</v>
      </c>
    </row>
    <row r="180" spans="1:59">
      <c r="A180" s="199" t="s">
        <v>520</v>
      </c>
      <c r="B180" s="197" t="s">
        <v>1009</v>
      </c>
      <c r="C180" s="326">
        <v>-20597.439999999995</v>
      </c>
      <c r="D180" s="198">
        <v>-72451.38</v>
      </c>
      <c r="E180" s="198">
        <v>-41398.79</v>
      </c>
      <c r="F180" s="378">
        <v>-35529.370000000003</v>
      </c>
      <c r="G180" s="128">
        <f t="shared" si="6"/>
        <v>-169976.98</v>
      </c>
      <c r="I180" s="220"/>
      <c r="J180" s="221"/>
      <c r="K180" s="199" t="s">
        <v>520</v>
      </c>
      <c r="L180" s="197" t="s">
        <v>1009</v>
      </c>
      <c r="M180" s="117"/>
      <c r="N180" s="198">
        <v>-72451.38</v>
      </c>
      <c r="O180" s="279">
        <f t="shared" si="8"/>
        <v>-72451.38</v>
      </c>
      <c r="P180" s="50"/>
      <c r="Q180" s="96"/>
      <c r="R180" s="199" t="s">
        <v>520</v>
      </c>
      <c r="S180" s="197" t="s">
        <v>1009</v>
      </c>
      <c r="T180" s="117">
        <v>2396.5600000000049</v>
      </c>
      <c r="U180" s="129">
        <v>-22994</v>
      </c>
      <c r="V180" s="320">
        <v>-20597.439999999995</v>
      </c>
      <c r="AE180"/>
      <c r="AF180"/>
      <c r="AG180"/>
      <c r="AH180"/>
      <c r="AI180"/>
      <c r="AJ180"/>
      <c r="BA180" s="199" t="s">
        <v>520</v>
      </c>
      <c r="BB180" s="197" t="s">
        <v>1009</v>
      </c>
      <c r="BC180" s="77">
        <f t="shared" si="7"/>
        <v>0</v>
      </c>
      <c r="BE180" s="50" t="s">
        <v>520</v>
      </c>
      <c r="BF180" s="50" t="s">
        <v>1009</v>
      </c>
      <c r="BG180" s="376">
        <v>-35529.370000000003</v>
      </c>
    </row>
    <row r="181" spans="1:59">
      <c r="A181" s="199" t="s">
        <v>522</v>
      </c>
      <c r="B181" s="197" t="s">
        <v>1010</v>
      </c>
      <c r="C181" s="324">
        <v>-151132.49</v>
      </c>
      <c r="D181" s="198">
        <v>-140103.38</v>
      </c>
      <c r="E181" s="198">
        <v>-171840.12</v>
      </c>
      <c r="F181" s="378">
        <v>-242789.27</v>
      </c>
      <c r="G181" s="128">
        <f t="shared" si="6"/>
        <v>-705865.26</v>
      </c>
      <c r="I181" s="220"/>
      <c r="J181" s="221"/>
      <c r="K181" s="199" t="s">
        <v>522</v>
      </c>
      <c r="L181" s="197" t="s">
        <v>1010</v>
      </c>
      <c r="M181" s="117"/>
      <c r="N181" s="198">
        <v>-140103.38</v>
      </c>
      <c r="O181" s="117">
        <f t="shared" si="8"/>
        <v>-140103.38</v>
      </c>
      <c r="P181" s="50"/>
      <c r="Q181" s="96"/>
      <c r="R181" s="199" t="s">
        <v>522</v>
      </c>
      <c r="S181" s="197" t="s">
        <v>1010</v>
      </c>
      <c r="T181" s="117">
        <v>-94404.63</v>
      </c>
      <c r="U181" s="129">
        <v>-151132.49</v>
      </c>
      <c r="V181" s="315">
        <v>-151132.49</v>
      </c>
      <c r="AE181"/>
      <c r="AF181"/>
      <c r="AG181"/>
      <c r="AH181"/>
      <c r="AI181"/>
      <c r="AJ181"/>
      <c r="BA181" s="199" t="s">
        <v>522</v>
      </c>
      <c r="BB181" s="197" t="s">
        <v>1010</v>
      </c>
      <c r="BC181" s="77">
        <f t="shared" si="7"/>
        <v>0</v>
      </c>
      <c r="BE181" s="50" t="s">
        <v>522</v>
      </c>
      <c r="BF181" s="50" t="s">
        <v>1010</v>
      </c>
      <c r="BG181" s="376">
        <v>-242789.27</v>
      </c>
    </row>
    <row r="182" spans="1:59">
      <c r="A182" s="199" t="s">
        <v>524</v>
      </c>
      <c r="B182" s="197" t="s">
        <v>1011</v>
      </c>
      <c r="C182" s="324">
        <v>-579118.16</v>
      </c>
      <c r="D182" s="198">
        <v>-605720.81999999995</v>
      </c>
      <c r="E182" s="198">
        <v>-724823.93</v>
      </c>
      <c r="F182" s="378">
        <v>-877466.15</v>
      </c>
      <c r="G182" s="128">
        <f t="shared" si="6"/>
        <v>-2787129.06</v>
      </c>
      <c r="I182" s="220"/>
      <c r="J182" s="221"/>
      <c r="K182" s="199" t="s">
        <v>524</v>
      </c>
      <c r="L182" s="197" t="s">
        <v>1011</v>
      </c>
      <c r="M182" s="117"/>
      <c r="N182" s="198">
        <v>-605720.81999999995</v>
      </c>
      <c r="O182" s="117">
        <f t="shared" si="8"/>
        <v>-605720.81999999995</v>
      </c>
      <c r="P182" s="50"/>
      <c r="Q182" s="96"/>
      <c r="R182" s="199" t="s">
        <v>524</v>
      </c>
      <c r="S182" s="197" t="s">
        <v>1011</v>
      </c>
      <c r="T182" s="117">
        <v>-512330.65</v>
      </c>
      <c r="U182" s="129">
        <v>-579118.16</v>
      </c>
      <c r="V182" s="315">
        <v>-579118.16</v>
      </c>
      <c r="AE182"/>
      <c r="AF182"/>
      <c r="AG182"/>
      <c r="AH182"/>
      <c r="AI182"/>
      <c r="AJ182"/>
      <c r="BA182" s="199" t="s">
        <v>524</v>
      </c>
      <c r="BB182" s="197" t="s">
        <v>1011</v>
      </c>
      <c r="BC182" s="77">
        <f t="shared" si="7"/>
        <v>0</v>
      </c>
      <c r="BE182" s="50" t="s">
        <v>524</v>
      </c>
      <c r="BF182" s="50" t="s">
        <v>1011</v>
      </c>
      <c r="BG182" s="376">
        <v>-877466.15</v>
      </c>
    </row>
    <row r="183" spans="1:59">
      <c r="A183" s="199" t="s">
        <v>526</v>
      </c>
      <c r="B183" s="197" t="s">
        <v>1012</v>
      </c>
      <c r="C183" s="324">
        <v>-210323.57</v>
      </c>
      <c r="D183" s="198">
        <v>-140196.65</v>
      </c>
      <c r="E183" s="198">
        <v>-280617.68</v>
      </c>
      <c r="F183" s="378">
        <v>-232701.42</v>
      </c>
      <c r="G183" s="128">
        <f t="shared" si="6"/>
        <v>-863839.32</v>
      </c>
      <c r="I183" s="220"/>
      <c r="J183" s="221"/>
      <c r="K183" s="199" t="s">
        <v>526</v>
      </c>
      <c r="L183" s="197" t="s">
        <v>1012</v>
      </c>
      <c r="M183" s="117"/>
      <c r="N183" s="198">
        <v>-140196.65</v>
      </c>
      <c r="O183" s="117">
        <f t="shared" si="8"/>
        <v>-140196.65</v>
      </c>
      <c r="P183" s="50"/>
      <c r="Q183" s="96"/>
      <c r="R183" s="199" t="s">
        <v>526</v>
      </c>
      <c r="S183" s="197" t="s">
        <v>1012</v>
      </c>
      <c r="T183" s="117">
        <v>-154810.72</v>
      </c>
      <c r="U183" s="129">
        <v>-210323.57</v>
      </c>
      <c r="V183" s="315">
        <v>-210323.57</v>
      </c>
      <c r="AE183"/>
      <c r="AF183"/>
      <c r="AG183"/>
      <c r="AH183"/>
      <c r="AI183"/>
      <c r="AJ183"/>
      <c r="BA183" s="199" t="s">
        <v>526</v>
      </c>
      <c r="BB183" s="197" t="s">
        <v>1012</v>
      </c>
      <c r="BC183" s="77">
        <f t="shared" si="7"/>
        <v>0</v>
      </c>
      <c r="BE183" s="50" t="s">
        <v>526</v>
      </c>
      <c r="BF183" s="50" t="s">
        <v>1012</v>
      </c>
      <c r="BG183" s="376">
        <v>-232701.42</v>
      </c>
    </row>
    <row r="184" spans="1:59">
      <c r="A184" s="199" t="s">
        <v>528</v>
      </c>
      <c r="B184" s="197" t="s">
        <v>1013</v>
      </c>
      <c r="C184" s="326">
        <v>421328.06999999995</v>
      </c>
      <c r="D184" s="198">
        <v>-131551.32999999999</v>
      </c>
      <c r="E184" s="198">
        <v>48162.27</v>
      </c>
      <c r="F184" s="378">
        <v>11962.9</v>
      </c>
      <c r="G184" s="128">
        <f t="shared" si="6"/>
        <v>349901.91000000003</v>
      </c>
      <c r="I184" s="220"/>
      <c r="J184" s="221"/>
      <c r="K184" s="199" t="s">
        <v>528</v>
      </c>
      <c r="L184" s="197" t="s">
        <v>1013</v>
      </c>
      <c r="M184" s="117">
        <f t="shared" ref="M184:M185" si="9">+C184</f>
        <v>421328.06999999995</v>
      </c>
      <c r="N184" s="198">
        <v>-131551.32999999999</v>
      </c>
      <c r="O184" s="279">
        <f t="shared" si="8"/>
        <v>289776.74</v>
      </c>
      <c r="P184" s="50"/>
      <c r="Q184" s="96"/>
      <c r="R184" s="199" t="s">
        <v>528</v>
      </c>
      <c r="S184" s="197" t="s">
        <v>1013</v>
      </c>
      <c r="T184" s="117">
        <v>248818.39999999991</v>
      </c>
      <c r="U184" s="129">
        <v>172509.67</v>
      </c>
      <c r="V184" s="320">
        <v>421328.06999999995</v>
      </c>
      <c r="AE184"/>
      <c r="AF184"/>
      <c r="AG184"/>
      <c r="AH184"/>
      <c r="AI184"/>
      <c r="AJ184"/>
      <c r="BA184" s="199" t="s">
        <v>528</v>
      </c>
      <c r="BB184" s="197" t="s">
        <v>1013</v>
      </c>
      <c r="BC184" s="77">
        <f t="shared" si="7"/>
        <v>0</v>
      </c>
      <c r="BE184" s="50" t="s">
        <v>528</v>
      </c>
      <c r="BF184" s="50" t="s">
        <v>1013</v>
      </c>
      <c r="BG184" s="376">
        <v>11962.9</v>
      </c>
    </row>
    <row r="185" spans="1:59">
      <c r="A185" s="199" t="s">
        <v>530</v>
      </c>
      <c r="B185" s="197" t="s">
        <v>1014</v>
      </c>
      <c r="C185" s="326">
        <v>331407.5</v>
      </c>
      <c r="D185" s="198">
        <v>-104996.62</v>
      </c>
      <c r="E185" s="198">
        <v>-264721.21999999997</v>
      </c>
      <c r="F185" s="378">
        <v>-61290.12</v>
      </c>
      <c r="G185" s="128">
        <f t="shared" si="6"/>
        <v>-99600.459999999963</v>
      </c>
      <c r="I185" s="220"/>
      <c r="J185" s="221"/>
      <c r="K185" s="199" t="s">
        <v>530</v>
      </c>
      <c r="L185" s="197" t="s">
        <v>1014</v>
      </c>
      <c r="M185" s="117">
        <f t="shared" si="9"/>
        <v>331407.5</v>
      </c>
      <c r="N185" s="198">
        <v>-104996.62</v>
      </c>
      <c r="O185" s="279">
        <f t="shared" si="8"/>
        <v>226410.88</v>
      </c>
      <c r="P185" s="50"/>
      <c r="Q185" s="96"/>
      <c r="R185" s="199" t="s">
        <v>530</v>
      </c>
      <c r="S185" s="197" t="s">
        <v>1014</v>
      </c>
      <c r="T185" s="117">
        <v>438628.58999999997</v>
      </c>
      <c r="U185" s="129">
        <v>-107221.09</v>
      </c>
      <c r="V185" s="320">
        <v>331407.5</v>
      </c>
      <c r="AE185"/>
      <c r="AF185"/>
      <c r="AG185"/>
      <c r="AH185"/>
      <c r="AI185"/>
      <c r="AJ185"/>
      <c r="BA185" s="199" t="s">
        <v>530</v>
      </c>
      <c r="BB185" s="197" t="s">
        <v>1014</v>
      </c>
      <c r="BC185" s="77">
        <f t="shared" si="7"/>
        <v>0</v>
      </c>
      <c r="BE185" s="50" t="s">
        <v>530</v>
      </c>
      <c r="BF185" s="50" t="s">
        <v>1014</v>
      </c>
      <c r="BG185" s="376">
        <v>-61290.12</v>
      </c>
    </row>
    <row r="186" spans="1:59">
      <c r="A186" s="199" t="s">
        <v>532</v>
      </c>
      <c r="B186" s="197" t="s">
        <v>1015</v>
      </c>
      <c r="C186" s="324">
        <v>-324771.61</v>
      </c>
      <c r="D186" s="198">
        <v>-386263.82</v>
      </c>
      <c r="E186" s="198">
        <v>-354511.78</v>
      </c>
      <c r="F186" s="378">
        <v>-568094.68000000005</v>
      </c>
      <c r="G186" s="128">
        <f t="shared" si="6"/>
        <v>-1633641.8900000001</v>
      </c>
      <c r="I186" s="220"/>
      <c r="J186" s="221"/>
      <c r="K186" s="199" t="s">
        <v>532</v>
      </c>
      <c r="L186" s="197" t="s">
        <v>1015</v>
      </c>
      <c r="M186" s="117"/>
      <c r="N186" s="198">
        <v>-386263.82</v>
      </c>
      <c r="O186" s="117">
        <f t="shared" si="8"/>
        <v>-386263.82</v>
      </c>
      <c r="P186" s="50"/>
      <c r="Q186" s="96"/>
      <c r="R186" s="199" t="s">
        <v>532</v>
      </c>
      <c r="S186" s="197" t="s">
        <v>1015</v>
      </c>
      <c r="T186" s="117">
        <v>-270428.21000000002</v>
      </c>
      <c r="U186" s="129">
        <v>-324771.61</v>
      </c>
      <c r="V186" s="315">
        <v>-324771.61</v>
      </c>
      <c r="AE186"/>
      <c r="AF186"/>
      <c r="AG186"/>
      <c r="AH186"/>
      <c r="AI186"/>
      <c r="AJ186"/>
      <c r="BA186" s="199" t="s">
        <v>532</v>
      </c>
      <c r="BB186" s="197" t="s">
        <v>1015</v>
      </c>
      <c r="BC186" s="77">
        <f t="shared" si="7"/>
        <v>0</v>
      </c>
      <c r="BE186" s="50" t="s">
        <v>532</v>
      </c>
      <c r="BF186" s="50" t="s">
        <v>1015</v>
      </c>
      <c r="BG186" s="376">
        <v>-568094.68000000005</v>
      </c>
    </row>
    <row r="187" spans="1:59">
      <c r="A187" s="199" t="s">
        <v>534</v>
      </c>
      <c r="B187" s="197" t="s">
        <v>1016</v>
      </c>
      <c r="C187" s="329">
        <v>-238048.42</v>
      </c>
      <c r="D187" s="198">
        <v>-325980.40999999997</v>
      </c>
      <c r="E187" s="198">
        <v>-296176.90999999997</v>
      </c>
      <c r="F187" s="378">
        <v>-283061.59999999998</v>
      </c>
      <c r="G187" s="128">
        <f t="shared" si="6"/>
        <v>-1143267.3399999999</v>
      </c>
      <c r="I187" s="220"/>
      <c r="J187" s="222"/>
      <c r="K187" s="199" t="s">
        <v>534</v>
      </c>
      <c r="L187" s="197" t="s">
        <v>1016</v>
      </c>
      <c r="M187" s="117"/>
      <c r="N187" s="198">
        <v>-325980.40999999997</v>
      </c>
      <c r="O187" s="117">
        <f t="shared" si="8"/>
        <v>-325980.40999999997</v>
      </c>
      <c r="P187" s="50"/>
      <c r="Q187" s="91"/>
      <c r="R187" s="199" t="s">
        <v>534</v>
      </c>
      <c r="S187" s="197" t="s">
        <v>1016</v>
      </c>
      <c r="T187" s="117">
        <v>-172438.47</v>
      </c>
      <c r="U187" s="129">
        <v>-238048.42</v>
      </c>
      <c r="V187" s="317">
        <v>-238048.42</v>
      </c>
      <c r="AE187"/>
      <c r="AF187"/>
      <c r="AG187"/>
      <c r="AH187"/>
      <c r="AI187"/>
      <c r="AJ187"/>
      <c r="BA187" s="199" t="s">
        <v>534</v>
      </c>
      <c r="BB187" s="197" t="s">
        <v>1016</v>
      </c>
      <c r="BC187" s="77">
        <f t="shared" si="7"/>
        <v>0</v>
      </c>
      <c r="BE187" s="50" t="s">
        <v>534</v>
      </c>
      <c r="BF187" s="50" t="s">
        <v>1016</v>
      </c>
      <c r="BG187" s="376">
        <v>-283061.59999999998</v>
      </c>
    </row>
    <row r="188" spans="1:59">
      <c r="A188" s="199" t="s">
        <v>536</v>
      </c>
      <c r="B188" s="197" t="s">
        <v>1017</v>
      </c>
      <c r="C188" s="330">
        <v>200613.31</v>
      </c>
      <c r="D188" s="198">
        <v>-69396</v>
      </c>
      <c r="E188" s="198">
        <v>-221529.72</v>
      </c>
      <c r="F188" s="378">
        <v>-142713.78</v>
      </c>
      <c r="G188" s="128">
        <f t="shared" si="6"/>
        <v>-233026.19</v>
      </c>
      <c r="I188" s="220"/>
      <c r="J188" s="222"/>
      <c r="K188" s="199" t="s">
        <v>536</v>
      </c>
      <c r="L188" s="197" t="s">
        <v>1017</v>
      </c>
      <c r="M188" s="117">
        <f>+C188</f>
        <v>200613.31</v>
      </c>
      <c r="N188" s="198">
        <v>-69396</v>
      </c>
      <c r="O188" s="279">
        <f t="shared" si="8"/>
        <v>131217.31</v>
      </c>
      <c r="P188" s="50"/>
      <c r="Q188" s="91"/>
      <c r="R188" s="199" t="s">
        <v>536</v>
      </c>
      <c r="S188" s="197" t="s">
        <v>1017</v>
      </c>
      <c r="T188" s="117">
        <v>141959.07</v>
      </c>
      <c r="U188" s="129">
        <v>58654.239999999998</v>
      </c>
      <c r="V188" s="322">
        <v>200613.31</v>
      </c>
      <c r="AE188"/>
      <c r="AF188"/>
      <c r="AG188"/>
      <c r="AH188"/>
      <c r="AI188"/>
      <c r="AJ188"/>
      <c r="BA188" s="199" t="s">
        <v>536</v>
      </c>
      <c r="BB188" s="197" t="s">
        <v>1017</v>
      </c>
      <c r="BC188" s="77">
        <f t="shared" si="7"/>
        <v>0</v>
      </c>
      <c r="BE188" s="50" t="s">
        <v>536</v>
      </c>
      <c r="BF188" s="50" t="s">
        <v>1017</v>
      </c>
      <c r="BG188" s="376">
        <v>-142713.78</v>
      </c>
    </row>
    <row r="189" spans="1:59">
      <c r="A189" s="200" t="s">
        <v>1369</v>
      </c>
      <c r="B189" s="201" t="s">
        <v>1664</v>
      </c>
      <c r="C189" s="329">
        <v>0</v>
      </c>
      <c r="D189" s="202">
        <v>-132598.57</v>
      </c>
      <c r="E189" s="202">
        <v>-140259.35999999999</v>
      </c>
      <c r="F189" s="378">
        <v>-52893.07</v>
      </c>
      <c r="G189" s="128">
        <f t="shared" si="6"/>
        <v>-325751</v>
      </c>
      <c r="I189" s="220"/>
      <c r="J189" s="222"/>
      <c r="K189" s="200" t="s">
        <v>1369</v>
      </c>
      <c r="L189" s="201" t="s">
        <v>1664</v>
      </c>
      <c r="M189" s="117"/>
      <c r="N189" s="202">
        <v>-132598.57</v>
      </c>
      <c r="O189" s="117">
        <f t="shared" si="8"/>
        <v>-132598.57</v>
      </c>
      <c r="P189" s="50"/>
      <c r="Q189" s="91"/>
      <c r="R189" s="200" t="s">
        <v>1369</v>
      </c>
      <c r="S189" s="201" t="s">
        <v>1664</v>
      </c>
      <c r="T189" s="117">
        <v>0</v>
      </c>
      <c r="U189" s="129"/>
      <c r="V189" s="317">
        <v>0</v>
      </c>
      <c r="AE189"/>
      <c r="AF189"/>
      <c r="AG189"/>
      <c r="AH189"/>
      <c r="AI189"/>
      <c r="AJ189"/>
      <c r="BA189" s="200" t="s">
        <v>1369</v>
      </c>
      <c r="BB189" s="201" t="s">
        <v>1664</v>
      </c>
      <c r="BC189" s="77">
        <f t="shared" si="7"/>
        <v>0</v>
      </c>
      <c r="BE189" s="50" t="s">
        <v>1369</v>
      </c>
      <c r="BF189" s="50" t="s">
        <v>1664</v>
      </c>
      <c r="BG189" s="376">
        <v>-52893.07</v>
      </c>
    </row>
    <row r="190" spans="1:59">
      <c r="A190" s="200" t="s">
        <v>1544</v>
      </c>
      <c r="B190" s="201" t="s">
        <v>1665</v>
      </c>
      <c r="C190" s="324">
        <v>0</v>
      </c>
      <c r="D190" s="202">
        <v>-42078.93</v>
      </c>
      <c r="E190" s="202">
        <v>-31215.4</v>
      </c>
      <c r="F190" s="378">
        <v>-35736.42</v>
      </c>
      <c r="G190" s="128">
        <f t="shared" si="6"/>
        <v>-109030.75</v>
      </c>
      <c r="I190" s="220"/>
      <c r="J190" s="221"/>
      <c r="K190" s="200" t="s">
        <v>1544</v>
      </c>
      <c r="L190" s="201" t="s">
        <v>1665</v>
      </c>
      <c r="M190" s="117"/>
      <c r="N190" s="202">
        <v>-42078.93</v>
      </c>
      <c r="O190" s="117">
        <f t="shared" si="8"/>
        <v>-42078.93</v>
      </c>
      <c r="P190" s="50"/>
      <c r="Q190" s="96"/>
      <c r="R190" s="200" t="s">
        <v>1544</v>
      </c>
      <c r="S190" s="201" t="s">
        <v>1665</v>
      </c>
      <c r="T190" s="117">
        <v>0</v>
      </c>
      <c r="U190" s="129"/>
      <c r="V190" s="315">
        <v>0</v>
      </c>
      <c r="AE190"/>
      <c r="AF190"/>
      <c r="AG190"/>
      <c r="AH190"/>
      <c r="AI190"/>
      <c r="AJ190"/>
      <c r="BA190" s="200" t="s">
        <v>1544</v>
      </c>
      <c r="BB190" s="201" t="s">
        <v>1665</v>
      </c>
      <c r="BC190" s="77">
        <f t="shared" si="7"/>
        <v>0</v>
      </c>
      <c r="BE190" s="50" t="s">
        <v>1544</v>
      </c>
      <c r="BF190" s="50" t="s">
        <v>1665</v>
      </c>
      <c r="BG190" s="376">
        <v>-35736.42</v>
      </c>
    </row>
    <row r="191" spans="1:59">
      <c r="A191" s="200" t="s">
        <v>1524</v>
      </c>
      <c r="B191" s="201" t="s">
        <v>1666</v>
      </c>
      <c r="C191" s="324">
        <v>0</v>
      </c>
      <c r="D191" s="202">
        <v>-14206.44</v>
      </c>
      <c r="E191" s="202">
        <v>-51813.98</v>
      </c>
      <c r="F191" s="378">
        <v>-107737.38</v>
      </c>
      <c r="G191" s="128">
        <f t="shared" si="6"/>
        <v>-173757.8</v>
      </c>
      <c r="I191" s="220"/>
      <c r="J191" s="221"/>
      <c r="K191" s="200" t="s">
        <v>1524</v>
      </c>
      <c r="L191" s="201" t="s">
        <v>1666</v>
      </c>
      <c r="M191" s="117"/>
      <c r="N191" s="202">
        <v>-14206.44</v>
      </c>
      <c r="O191" s="117">
        <f t="shared" si="8"/>
        <v>-14206.44</v>
      </c>
      <c r="P191" s="50"/>
      <c r="Q191" s="96"/>
      <c r="R191" s="200" t="s">
        <v>1524</v>
      </c>
      <c r="S191" s="201" t="s">
        <v>1666</v>
      </c>
      <c r="T191" s="117">
        <v>0</v>
      </c>
      <c r="U191" s="129"/>
      <c r="V191" s="315">
        <v>0</v>
      </c>
      <c r="AE191"/>
      <c r="AF191"/>
      <c r="AG191"/>
      <c r="AH191"/>
      <c r="AI191"/>
      <c r="AJ191"/>
      <c r="BA191" s="200" t="s">
        <v>1524</v>
      </c>
      <c r="BB191" s="201" t="s">
        <v>1666</v>
      </c>
      <c r="BC191" s="77">
        <f t="shared" si="7"/>
        <v>0</v>
      </c>
      <c r="BE191" s="50" t="s">
        <v>1524</v>
      </c>
      <c r="BF191" s="50" t="s">
        <v>1666</v>
      </c>
      <c r="BG191" s="376">
        <v>-107737.38</v>
      </c>
    </row>
    <row r="192" spans="1:59">
      <c r="A192" s="199" t="s">
        <v>540</v>
      </c>
      <c r="B192" s="197" t="s">
        <v>1018</v>
      </c>
      <c r="C192" s="324">
        <v>-92879.61</v>
      </c>
      <c r="D192" s="198">
        <v>-91043.3</v>
      </c>
      <c r="E192" s="198">
        <v>-94465.61</v>
      </c>
      <c r="F192" s="378">
        <v>-49483.35</v>
      </c>
      <c r="G192" s="128">
        <f t="shared" si="6"/>
        <v>-327871.87</v>
      </c>
      <c r="I192" s="220"/>
      <c r="J192" s="221"/>
      <c r="K192" s="199" t="s">
        <v>540</v>
      </c>
      <c r="L192" s="197" t="s">
        <v>1018</v>
      </c>
      <c r="M192" s="117"/>
      <c r="N192" s="198">
        <v>-91043.3</v>
      </c>
      <c r="O192" s="117">
        <f t="shared" si="8"/>
        <v>-91043.3</v>
      </c>
      <c r="P192" s="50"/>
      <c r="Q192" s="96"/>
      <c r="R192" s="199" t="s">
        <v>540</v>
      </c>
      <c r="S192" s="197" t="s">
        <v>1018</v>
      </c>
      <c r="T192" s="117">
        <v>-68738.600000000006</v>
      </c>
      <c r="U192" s="129">
        <v>-92879.61</v>
      </c>
      <c r="V192" s="315">
        <v>-92879.61</v>
      </c>
      <c r="AE192"/>
      <c r="AF192"/>
      <c r="AG192"/>
      <c r="AH192"/>
      <c r="AI192"/>
      <c r="AJ192"/>
      <c r="BA192" s="199" t="s">
        <v>540</v>
      </c>
      <c r="BB192" s="197" t="s">
        <v>1018</v>
      </c>
      <c r="BC192" s="77">
        <f t="shared" si="7"/>
        <v>0</v>
      </c>
      <c r="BE192" s="50" t="s">
        <v>540</v>
      </c>
      <c r="BF192" s="50" t="s">
        <v>1018</v>
      </c>
      <c r="BG192" s="376">
        <v>-49483.35</v>
      </c>
    </row>
    <row r="193" spans="1:59">
      <c r="A193" s="199" t="s">
        <v>542</v>
      </c>
      <c r="B193" s="197" t="s">
        <v>1019</v>
      </c>
      <c r="C193" s="324">
        <v>-72741.95</v>
      </c>
      <c r="D193" s="198">
        <v>-70582.98</v>
      </c>
      <c r="E193" s="198">
        <v>-88474.5</v>
      </c>
      <c r="F193" s="378">
        <v>-121919.19</v>
      </c>
      <c r="G193" s="128">
        <f t="shared" si="6"/>
        <v>-353718.62</v>
      </c>
      <c r="I193" s="220"/>
      <c r="J193" s="221"/>
      <c r="K193" s="199" t="s">
        <v>542</v>
      </c>
      <c r="L193" s="197" t="s">
        <v>1019</v>
      </c>
      <c r="M193" s="117"/>
      <c r="N193" s="198">
        <v>-70582.98</v>
      </c>
      <c r="O193" s="117">
        <f t="shared" si="8"/>
        <v>-70582.98</v>
      </c>
      <c r="P193" s="50"/>
      <c r="Q193" s="96"/>
      <c r="R193" s="199" t="s">
        <v>542</v>
      </c>
      <c r="S193" s="197" t="s">
        <v>1019</v>
      </c>
      <c r="T193" s="117">
        <v>-99937.57</v>
      </c>
      <c r="U193" s="129">
        <v>-72741.95</v>
      </c>
      <c r="V193" s="315">
        <v>-72741.95</v>
      </c>
      <c r="AE193"/>
      <c r="AF193"/>
      <c r="AG193"/>
      <c r="AH193"/>
      <c r="AI193"/>
      <c r="AJ193"/>
      <c r="BA193" s="199" t="s">
        <v>542</v>
      </c>
      <c r="BB193" s="197" t="s">
        <v>1019</v>
      </c>
      <c r="BC193" s="77">
        <f t="shared" si="7"/>
        <v>0</v>
      </c>
      <c r="BE193" s="50" t="s">
        <v>542</v>
      </c>
      <c r="BF193" s="50" t="s">
        <v>1019</v>
      </c>
      <c r="BG193" s="376">
        <v>-121919.19</v>
      </c>
    </row>
    <row r="194" spans="1:59">
      <c r="A194" s="199" t="s">
        <v>544</v>
      </c>
      <c r="B194" s="197" t="s">
        <v>1020</v>
      </c>
      <c r="C194" s="324">
        <v>-92990.09</v>
      </c>
      <c r="D194" s="198">
        <v>-143082.22</v>
      </c>
      <c r="E194" s="198">
        <v>-138517.84</v>
      </c>
      <c r="F194" s="378">
        <v>-203289.85</v>
      </c>
      <c r="G194" s="128">
        <f t="shared" si="6"/>
        <v>-577880</v>
      </c>
      <c r="I194" s="220"/>
      <c r="J194" s="221"/>
      <c r="K194" s="199" t="s">
        <v>544</v>
      </c>
      <c r="L194" s="197" t="s">
        <v>1020</v>
      </c>
      <c r="M194" s="117"/>
      <c r="N194" s="198">
        <v>-143082.22</v>
      </c>
      <c r="O194" s="117">
        <f t="shared" si="8"/>
        <v>-143082.22</v>
      </c>
      <c r="P194" s="50"/>
      <c r="Q194" s="96"/>
      <c r="R194" s="199" t="s">
        <v>544</v>
      </c>
      <c r="S194" s="197" t="s">
        <v>1020</v>
      </c>
      <c r="T194" s="117">
        <v>-96950.96</v>
      </c>
      <c r="U194" s="129">
        <v>-92990.09</v>
      </c>
      <c r="V194" s="315">
        <v>-92990.09</v>
      </c>
      <c r="AE194"/>
      <c r="AF194"/>
      <c r="AG194"/>
      <c r="AH194"/>
      <c r="AI194"/>
      <c r="AJ194"/>
      <c r="BA194" s="199" t="s">
        <v>544</v>
      </c>
      <c r="BB194" s="197" t="s">
        <v>1020</v>
      </c>
      <c r="BC194" s="77">
        <f t="shared" si="7"/>
        <v>0</v>
      </c>
      <c r="BE194" s="50" t="s">
        <v>544</v>
      </c>
      <c r="BF194" s="50" t="s">
        <v>1020</v>
      </c>
      <c r="BG194" s="376">
        <v>-203289.85</v>
      </c>
    </row>
    <row r="195" spans="1:59">
      <c r="A195" s="199" t="s">
        <v>546</v>
      </c>
      <c r="B195" s="197" t="s">
        <v>1021</v>
      </c>
      <c r="C195" s="324">
        <v>-73466.02</v>
      </c>
      <c r="D195" s="198">
        <v>-65483.05</v>
      </c>
      <c r="E195" s="198">
        <v>-66641.710000000006</v>
      </c>
      <c r="F195" s="378">
        <v>-113225.39</v>
      </c>
      <c r="G195" s="128">
        <f t="shared" ref="G195:G258" si="10">SUM(C195:F195)</f>
        <v>-318816.17000000004</v>
      </c>
      <c r="I195" s="220"/>
      <c r="J195" s="221"/>
      <c r="K195" s="199" t="s">
        <v>546</v>
      </c>
      <c r="L195" s="197" t="s">
        <v>1021</v>
      </c>
      <c r="M195" s="117"/>
      <c r="N195" s="198">
        <v>-65483.05</v>
      </c>
      <c r="O195" s="117">
        <f t="shared" si="8"/>
        <v>-65483.05</v>
      </c>
      <c r="P195" s="50"/>
      <c r="Q195" s="96"/>
      <c r="R195" s="199" t="s">
        <v>546</v>
      </c>
      <c r="S195" s="197" t="s">
        <v>1021</v>
      </c>
      <c r="T195" s="117">
        <v>-87330.16</v>
      </c>
      <c r="U195" s="129">
        <v>-73466.02</v>
      </c>
      <c r="V195" s="315">
        <v>-73466.02</v>
      </c>
      <c r="AE195"/>
      <c r="AF195"/>
      <c r="AG195"/>
      <c r="AH195"/>
      <c r="AI195"/>
      <c r="AJ195"/>
      <c r="BA195" s="199" t="s">
        <v>546</v>
      </c>
      <c r="BB195" s="197" t="s">
        <v>1021</v>
      </c>
      <c r="BC195" s="77">
        <f t="shared" si="7"/>
        <v>0</v>
      </c>
      <c r="BE195" s="50" t="s">
        <v>546</v>
      </c>
      <c r="BF195" s="50" t="s">
        <v>1021</v>
      </c>
      <c r="BG195" s="376">
        <v>-113225.39</v>
      </c>
    </row>
    <row r="196" spans="1:59">
      <c r="A196" s="199" t="s">
        <v>548</v>
      </c>
      <c r="B196" s="197" t="s">
        <v>1022</v>
      </c>
      <c r="C196" s="324">
        <v>-131668.04999999999</v>
      </c>
      <c r="D196" s="198">
        <v>-182214.85</v>
      </c>
      <c r="E196" s="198">
        <v>-342519.2</v>
      </c>
      <c r="F196" s="378">
        <v>-409365.68</v>
      </c>
      <c r="G196" s="128">
        <f t="shared" si="10"/>
        <v>-1065767.78</v>
      </c>
      <c r="I196" s="220"/>
      <c r="J196" s="221"/>
      <c r="K196" s="199" t="s">
        <v>548</v>
      </c>
      <c r="L196" s="197" t="s">
        <v>1022</v>
      </c>
      <c r="M196" s="117"/>
      <c r="N196" s="198">
        <v>-182214.85</v>
      </c>
      <c r="O196" s="117">
        <f t="shared" si="8"/>
        <v>-182214.85</v>
      </c>
      <c r="P196" s="50"/>
      <c r="Q196" s="96"/>
      <c r="R196" s="199" t="s">
        <v>548</v>
      </c>
      <c r="S196" s="197" t="s">
        <v>1022</v>
      </c>
      <c r="T196" s="117">
        <v>-285973.88</v>
      </c>
      <c r="U196" s="129">
        <v>-131668.04999999999</v>
      </c>
      <c r="V196" s="315">
        <v>-131668.04999999999</v>
      </c>
      <c r="AE196"/>
      <c r="AF196"/>
      <c r="AG196"/>
      <c r="AH196"/>
      <c r="AI196"/>
      <c r="AJ196"/>
      <c r="BA196" s="199" t="s">
        <v>548</v>
      </c>
      <c r="BB196" s="197" t="s">
        <v>1022</v>
      </c>
      <c r="BC196" s="77">
        <f t="shared" ref="BC196:BC259" si="11">+BE196-BA196</f>
        <v>0</v>
      </c>
      <c r="BE196" s="50" t="s">
        <v>548</v>
      </c>
      <c r="BF196" s="50" t="s">
        <v>1022</v>
      </c>
      <c r="BG196" s="376">
        <v>-409365.68</v>
      </c>
    </row>
    <row r="197" spans="1:59">
      <c r="A197" s="199" t="s">
        <v>549</v>
      </c>
      <c r="B197" s="197" t="s">
        <v>1023</v>
      </c>
      <c r="C197" s="324">
        <v>-246033.23</v>
      </c>
      <c r="D197" s="198">
        <v>-154511.93</v>
      </c>
      <c r="E197" s="198">
        <v>-202128.56</v>
      </c>
      <c r="F197" s="378">
        <v>-176657.56</v>
      </c>
      <c r="G197" s="128">
        <f t="shared" si="10"/>
        <v>-779331.28</v>
      </c>
      <c r="I197" s="220"/>
      <c r="J197" s="221"/>
      <c r="K197" s="199" t="s">
        <v>549</v>
      </c>
      <c r="L197" s="197" t="s">
        <v>1023</v>
      </c>
      <c r="M197" s="117"/>
      <c r="N197" s="198">
        <v>-154511.93</v>
      </c>
      <c r="O197" s="117">
        <f t="shared" si="8"/>
        <v>-154511.93</v>
      </c>
      <c r="P197" s="50"/>
      <c r="Q197" s="96"/>
      <c r="R197" s="199" t="s">
        <v>549</v>
      </c>
      <c r="S197" s="197" t="s">
        <v>1023</v>
      </c>
      <c r="T197" s="117">
        <v>-172475.12</v>
      </c>
      <c r="U197" s="129">
        <v>-246033.23</v>
      </c>
      <c r="V197" s="315">
        <v>-246033.23</v>
      </c>
      <c r="AE197"/>
      <c r="AF197"/>
      <c r="AG197"/>
      <c r="AH197"/>
      <c r="AI197"/>
      <c r="AJ197"/>
      <c r="BA197" s="199" t="s">
        <v>549</v>
      </c>
      <c r="BB197" s="197" t="s">
        <v>1023</v>
      </c>
      <c r="BC197" s="77">
        <f t="shared" si="11"/>
        <v>0</v>
      </c>
      <c r="BE197" s="50" t="s">
        <v>549</v>
      </c>
      <c r="BF197" s="50" t="s">
        <v>1023</v>
      </c>
      <c r="BG197" s="376">
        <v>-176657.56</v>
      </c>
    </row>
    <row r="198" spans="1:59">
      <c r="A198" s="199" t="s">
        <v>551</v>
      </c>
      <c r="B198" s="197" t="s">
        <v>1024</v>
      </c>
      <c r="C198" s="324">
        <v>-194285.72</v>
      </c>
      <c r="D198" s="198">
        <v>-147470.5</v>
      </c>
      <c r="E198" s="198">
        <v>-168132.27</v>
      </c>
      <c r="F198" s="378">
        <v>-243297.15</v>
      </c>
      <c r="G198" s="128">
        <f t="shared" si="10"/>
        <v>-753185.64</v>
      </c>
      <c r="I198" s="220"/>
      <c r="J198" s="221"/>
      <c r="K198" s="199" t="s">
        <v>551</v>
      </c>
      <c r="L198" s="197" t="s">
        <v>1024</v>
      </c>
      <c r="M198" s="117"/>
      <c r="N198" s="198">
        <v>-147470.5</v>
      </c>
      <c r="O198" s="117">
        <f t="shared" ref="O198:O262" si="12">+M198+N198</f>
        <v>-147470.5</v>
      </c>
      <c r="P198" s="50"/>
      <c r="Q198" s="96"/>
      <c r="R198" s="199" t="s">
        <v>551</v>
      </c>
      <c r="S198" s="197" t="s">
        <v>1024</v>
      </c>
      <c r="T198" s="117">
        <v>-121350.41</v>
      </c>
      <c r="U198" s="129">
        <v>-194285.72</v>
      </c>
      <c r="V198" s="315">
        <v>-194285.72</v>
      </c>
      <c r="AE198"/>
      <c r="AF198"/>
      <c r="AG198"/>
      <c r="AH198"/>
      <c r="AI198"/>
      <c r="AJ198"/>
      <c r="BA198" s="199" t="s">
        <v>551</v>
      </c>
      <c r="BB198" s="197" t="s">
        <v>1024</v>
      </c>
      <c r="BC198" s="77">
        <f t="shared" si="11"/>
        <v>0</v>
      </c>
      <c r="BE198" s="50" t="s">
        <v>551</v>
      </c>
      <c r="BF198" s="50" t="s">
        <v>1024</v>
      </c>
      <c r="BG198" s="376">
        <v>-243297.15</v>
      </c>
    </row>
    <row r="199" spans="1:59">
      <c r="A199" s="199" t="s">
        <v>553</v>
      </c>
      <c r="B199" s="197" t="s">
        <v>1025</v>
      </c>
      <c r="C199" s="324">
        <v>-194702.1</v>
      </c>
      <c r="D199" s="198">
        <v>-178585.75</v>
      </c>
      <c r="E199" s="198">
        <v>-183561.18</v>
      </c>
      <c r="F199" s="378">
        <v>-245059.43</v>
      </c>
      <c r="G199" s="128">
        <f t="shared" si="10"/>
        <v>-801908.46</v>
      </c>
      <c r="I199" s="220"/>
      <c r="J199" s="221"/>
      <c r="K199" s="199" t="s">
        <v>553</v>
      </c>
      <c r="L199" s="197" t="s">
        <v>1025</v>
      </c>
      <c r="M199" s="117"/>
      <c r="N199" s="198">
        <v>-178585.75</v>
      </c>
      <c r="O199" s="117">
        <f t="shared" si="12"/>
        <v>-178585.75</v>
      </c>
      <c r="P199" s="50"/>
      <c r="Q199" s="96"/>
      <c r="R199" s="199" t="s">
        <v>553</v>
      </c>
      <c r="S199" s="197" t="s">
        <v>1025</v>
      </c>
      <c r="T199" s="117">
        <v>-165872.49</v>
      </c>
      <c r="U199" s="129">
        <v>-194702.1</v>
      </c>
      <c r="V199" s="315">
        <v>-194702.1</v>
      </c>
      <c r="AE199"/>
      <c r="AF199"/>
      <c r="AG199"/>
      <c r="AH199"/>
      <c r="AI199"/>
      <c r="AJ199"/>
      <c r="BA199" s="199" t="s">
        <v>553</v>
      </c>
      <c r="BB199" s="197" t="s">
        <v>1025</v>
      </c>
      <c r="BC199" s="77">
        <f t="shared" si="11"/>
        <v>0</v>
      </c>
      <c r="BE199" s="50" t="s">
        <v>553</v>
      </c>
      <c r="BF199" s="50" t="s">
        <v>1025</v>
      </c>
      <c r="BG199" s="376">
        <v>-245059.43</v>
      </c>
    </row>
    <row r="200" spans="1:59">
      <c r="A200" s="199" t="s">
        <v>555</v>
      </c>
      <c r="B200" s="197" t="s">
        <v>1026</v>
      </c>
      <c r="C200" s="324">
        <v>-38124.699999999997</v>
      </c>
      <c r="D200" s="198">
        <v>-48918.29</v>
      </c>
      <c r="E200" s="198">
        <v>-71150.12</v>
      </c>
      <c r="F200" s="378">
        <v>-75883.3</v>
      </c>
      <c r="G200" s="128">
        <f t="shared" si="10"/>
        <v>-234076.40999999997</v>
      </c>
      <c r="I200" s="220"/>
      <c r="J200" s="221"/>
      <c r="K200" s="199" t="s">
        <v>555</v>
      </c>
      <c r="L200" s="197" t="s">
        <v>1026</v>
      </c>
      <c r="M200" s="117"/>
      <c r="N200" s="198">
        <v>-48918.29</v>
      </c>
      <c r="O200" s="117">
        <f t="shared" si="12"/>
        <v>-48918.29</v>
      </c>
      <c r="P200" s="50"/>
      <c r="Q200" s="96"/>
      <c r="R200" s="199" t="s">
        <v>555</v>
      </c>
      <c r="S200" s="197" t="s">
        <v>1026</v>
      </c>
      <c r="T200" s="117">
        <v>-35335.08</v>
      </c>
      <c r="U200" s="129">
        <v>-38124.699999999997</v>
      </c>
      <c r="V200" s="315">
        <v>-38124.699999999997</v>
      </c>
      <c r="AE200"/>
      <c r="AF200"/>
      <c r="AG200"/>
      <c r="AH200"/>
      <c r="AI200"/>
      <c r="AJ200"/>
      <c r="BA200" s="199" t="s">
        <v>555</v>
      </c>
      <c r="BB200" s="197" t="s">
        <v>1026</v>
      </c>
      <c r="BC200" s="77">
        <f t="shared" si="11"/>
        <v>0</v>
      </c>
      <c r="BE200" s="50" t="s">
        <v>555</v>
      </c>
      <c r="BF200" s="50" t="s">
        <v>1026</v>
      </c>
      <c r="BG200" s="376">
        <v>-75883.3</v>
      </c>
    </row>
    <row r="201" spans="1:59">
      <c r="A201" s="199" t="s">
        <v>557</v>
      </c>
      <c r="B201" s="197" t="s">
        <v>1027</v>
      </c>
      <c r="C201" s="324">
        <v>-218269.33</v>
      </c>
      <c r="D201" s="198">
        <v>-226605.37</v>
      </c>
      <c r="E201" s="198">
        <v>-290005.59999999998</v>
      </c>
      <c r="F201" s="378">
        <v>-300500.92</v>
      </c>
      <c r="G201" s="128">
        <f t="shared" si="10"/>
        <v>-1035381.22</v>
      </c>
      <c r="I201" s="220"/>
      <c r="J201" s="221"/>
      <c r="K201" s="199" t="s">
        <v>557</v>
      </c>
      <c r="L201" s="197" t="s">
        <v>1027</v>
      </c>
      <c r="M201" s="117"/>
      <c r="N201" s="198">
        <v>-226605.37</v>
      </c>
      <c r="O201" s="117">
        <f t="shared" si="12"/>
        <v>-226605.37</v>
      </c>
      <c r="P201" s="50"/>
      <c r="Q201" s="96"/>
      <c r="R201" s="199" t="s">
        <v>557</v>
      </c>
      <c r="S201" s="197" t="s">
        <v>1027</v>
      </c>
      <c r="T201" s="117">
        <v>-4920.45</v>
      </c>
      <c r="U201" s="129">
        <v>-218269.33</v>
      </c>
      <c r="V201" s="315">
        <v>-218269.33</v>
      </c>
      <c r="AE201"/>
      <c r="AF201"/>
      <c r="AG201"/>
      <c r="AH201"/>
      <c r="AI201"/>
      <c r="AJ201"/>
      <c r="BA201" s="199" t="s">
        <v>557</v>
      </c>
      <c r="BB201" s="197" t="s">
        <v>1027</v>
      </c>
      <c r="BC201" s="77">
        <f t="shared" si="11"/>
        <v>0</v>
      </c>
      <c r="BE201" s="50" t="s">
        <v>557</v>
      </c>
      <c r="BF201" s="50" t="s">
        <v>1027</v>
      </c>
      <c r="BG201" s="376">
        <v>-300500.92</v>
      </c>
    </row>
    <row r="202" spans="1:59">
      <c r="A202" s="199" t="s">
        <v>559</v>
      </c>
      <c r="B202" s="197" t="s">
        <v>1028</v>
      </c>
      <c r="C202" s="324">
        <v>-29183.77</v>
      </c>
      <c r="D202" s="198">
        <v>-56779</v>
      </c>
      <c r="E202" s="198">
        <v>-72878.45</v>
      </c>
      <c r="F202" s="378">
        <v>-25995.29</v>
      </c>
      <c r="G202" s="128">
        <f t="shared" si="10"/>
        <v>-184836.51</v>
      </c>
      <c r="I202" s="220"/>
      <c r="J202" s="221"/>
      <c r="K202" s="199" t="s">
        <v>559</v>
      </c>
      <c r="L202" s="197" t="s">
        <v>1028</v>
      </c>
      <c r="M202" s="117"/>
      <c r="N202" s="198">
        <v>-56779</v>
      </c>
      <c r="O202" s="117">
        <f t="shared" si="12"/>
        <v>-56779</v>
      </c>
      <c r="P202" s="50"/>
      <c r="Q202" s="96"/>
      <c r="R202" s="199" t="s">
        <v>559</v>
      </c>
      <c r="S202" s="197" t="s">
        <v>1028</v>
      </c>
      <c r="T202" s="117">
        <v>-34663.730000000003</v>
      </c>
      <c r="U202" s="129">
        <v>-29183.77</v>
      </c>
      <c r="V202" s="315">
        <v>-29183.77</v>
      </c>
      <c r="AE202"/>
      <c r="AF202"/>
      <c r="AG202"/>
      <c r="AH202"/>
      <c r="AI202"/>
      <c r="AJ202"/>
      <c r="BA202" s="199" t="s">
        <v>559</v>
      </c>
      <c r="BB202" s="197" t="s">
        <v>1028</v>
      </c>
      <c r="BC202" s="77">
        <f t="shared" si="11"/>
        <v>0</v>
      </c>
      <c r="BE202" s="50" t="s">
        <v>559</v>
      </c>
      <c r="BF202" s="50" t="s">
        <v>1028</v>
      </c>
      <c r="BG202" s="376">
        <v>-25995.29</v>
      </c>
    </row>
    <row r="203" spans="1:59">
      <c r="A203" s="199" t="s">
        <v>563</v>
      </c>
      <c r="B203" s="197" t="s">
        <v>1029</v>
      </c>
      <c r="C203" s="324">
        <v>-28604.880000000001</v>
      </c>
      <c r="D203" s="198">
        <v>-35715.89</v>
      </c>
      <c r="E203" s="198">
        <v>-43093.14</v>
      </c>
      <c r="F203" s="378">
        <v>-49181.599999999999</v>
      </c>
      <c r="G203" s="128">
        <f t="shared" si="10"/>
        <v>-156595.51</v>
      </c>
      <c r="I203" s="220"/>
      <c r="J203" s="221"/>
      <c r="K203" s="199" t="s">
        <v>563</v>
      </c>
      <c r="L203" s="197" t="s">
        <v>1029</v>
      </c>
      <c r="M203" s="117"/>
      <c r="N203" s="198">
        <v>-35715.89</v>
      </c>
      <c r="O203" s="117">
        <f t="shared" si="12"/>
        <v>-35715.89</v>
      </c>
      <c r="P203" s="50"/>
      <c r="Q203" s="96"/>
      <c r="R203" s="199" t="s">
        <v>563</v>
      </c>
      <c r="S203" s="197" t="s">
        <v>1029</v>
      </c>
      <c r="T203" s="117">
        <v>-38088.33</v>
      </c>
      <c r="U203" s="129">
        <v>-28604.880000000001</v>
      </c>
      <c r="V203" s="315">
        <v>-28604.880000000001</v>
      </c>
      <c r="AE203"/>
      <c r="AF203"/>
      <c r="AG203"/>
      <c r="AH203"/>
      <c r="AI203"/>
      <c r="AJ203"/>
      <c r="BA203" s="199" t="s">
        <v>563</v>
      </c>
      <c r="BB203" s="197" t="s">
        <v>1029</v>
      </c>
      <c r="BC203" s="77">
        <f t="shared" si="11"/>
        <v>0</v>
      </c>
      <c r="BE203" s="50" t="s">
        <v>563</v>
      </c>
      <c r="BF203" s="50" t="s">
        <v>1029</v>
      </c>
      <c r="BG203" s="376">
        <v>-49181.599999999999</v>
      </c>
    </row>
    <row r="204" spans="1:59">
      <c r="A204" s="199" t="s">
        <v>565</v>
      </c>
      <c r="B204" s="197" t="s">
        <v>1030</v>
      </c>
      <c r="C204" s="324">
        <v>-141293.35999999999</v>
      </c>
      <c r="D204" s="198">
        <v>-102102.54</v>
      </c>
      <c r="E204" s="198">
        <v>-79975.259999999995</v>
      </c>
      <c r="F204" s="378">
        <v>-139850.34</v>
      </c>
      <c r="G204" s="128">
        <f t="shared" si="10"/>
        <v>-463221.5</v>
      </c>
      <c r="I204" s="220"/>
      <c r="J204" s="221"/>
      <c r="K204" s="199" t="s">
        <v>565</v>
      </c>
      <c r="L204" s="197" t="s">
        <v>1030</v>
      </c>
      <c r="M204" s="117"/>
      <c r="N204" s="198">
        <v>-102102.54</v>
      </c>
      <c r="O204" s="117">
        <f t="shared" si="12"/>
        <v>-102102.54</v>
      </c>
      <c r="P204" s="50"/>
      <c r="Q204" s="96"/>
      <c r="R204" s="199" t="s">
        <v>565</v>
      </c>
      <c r="S204" s="197" t="s">
        <v>1030</v>
      </c>
      <c r="T204" s="117">
        <v>-121309.36</v>
      </c>
      <c r="U204" s="129">
        <v>-141293.35999999999</v>
      </c>
      <c r="V204" s="315">
        <v>-141293.35999999999</v>
      </c>
      <c r="AE204"/>
      <c r="AF204"/>
      <c r="AG204"/>
      <c r="AH204"/>
      <c r="AI204"/>
      <c r="AJ204"/>
      <c r="BA204" s="199" t="s">
        <v>565</v>
      </c>
      <c r="BB204" s="197" t="s">
        <v>1030</v>
      </c>
      <c r="BC204" s="77">
        <f t="shared" si="11"/>
        <v>0</v>
      </c>
      <c r="BE204" s="50" t="s">
        <v>565</v>
      </c>
      <c r="BF204" s="50" t="s">
        <v>1030</v>
      </c>
      <c r="BG204" s="376">
        <v>-139850.34</v>
      </c>
    </row>
    <row r="205" spans="1:59">
      <c r="A205" s="199" t="s">
        <v>567</v>
      </c>
      <c r="B205" s="197" t="s">
        <v>1031</v>
      </c>
      <c r="C205" s="326">
        <v>843811.47</v>
      </c>
      <c r="D205" s="198">
        <v>207534.51</v>
      </c>
      <c r="E205" s="198">
        <v>-75931.42</v>
      </c>
      <c r="F205" s="378">
        <v>-262104.67</v>
      </c>
      <c r="G205" s="128">
        <f t="shared" si="10"/>
        <v>713309.8899999999</v>
      </c>
      <c r="I205" s="220"/>
      <c r="J205" s="221"/>
      <c r="K205" s="199" t="s">
        <v>567</v>
      </c>
      <c r="L205" s="197" t="s">
        <v>1031</v>
      </c>
      <c r="M205" s="117">
        <f>+C205</f>
        <v>843811.47</v>
      </c>
      <c r="N205" s="198">
        <v>207534.51</v>
      </c>
      <c r="O205" s="279">
        <f t="shared" si="12"/>
        <v>1051345.98</v>
      </c>
      <c r="P205" s="50"/>
      <c r="Q205" s="96"/>
      <c r="R205" s="199" t="s">
        <v>567</v>
      </c>
      <c r="S205" s="197" t="s">
        <v>1031</v>
      </c>
      <c r="T205" s="117">
        <v>742061.12</v>
      </c>
      <c r="U205" s="129">
        <v>101750.35</v>
      </c>
      <c r="V205" s="320">
        <v>843811.47</v>
      </c>
      <c r="AE205"/>
      <c r="AF205"/>
      <c r="AG205"/>
      <c r="AH205"/>
      <c r="AI205"/>
      <c r="AJ205"/>
      <c r="BA205" s="199" t="s">
        <v>567</v>
      </c>
      <c r="BB205" s="197" t="s">
        <v>1031</v>
      </c>
      <c r="BC205" s="77">
        <f t="shared" si="11"/>
        <v>0</v>
      </c>
      <c r="BE205" s="50" t="s">
        <v>567</v>
      </c>
      <c r="BF205" s="50" t="s">
        <v>1031</v>
      </c>
      <c r="BG205" s="376">
        <v>-262104.67</v>
      </c>
    </row>
    <row r="206" spans="1:59">
      <c r="A206" s="199" t="s">
        <v>569</v>
      </c>
      <c r="B206" s="197" t="s">
        <v>1032</v>
      </c>
      <c r="C206" s="324">
        <v>-159658.51999999999</v>
      </c>
      <c r="D206" s="198">
        <v>-219118.57</v>
      </c>
      <c r="E206" s="198">
        <v>-336727.06</v>
      </c>
      <c r="F206" s="378">
        <v>-497265.14</v>
      </c>
      <c r="G206" s="128">
        <f t="shared" si="10"/>
        <v>-1212769.29</v>
      </c>
      <c r="I206" s="220"/>
      <c r="J206" s="221"/>
      <c r="K206" s="199" t="s">
        <v>569</v>
      </c>
      <c r="L206" s="197" t="s">
        <v>1032</v>
      </c>
      <c r="M206" s="117"/>
      <c r="N206" s="198">
        <v>-219118.57</v>
      </c>
      <c r="O206" s="117">
        <f t="shared" si="12"/>
        <v>-219118.57</v>
      </c>
      <c r="P206" s="50"/>
      <c r="Q206" s="96"/>
      <c r="R206" s="199" t="s">
        <v>569</v>
      </c>
      <c r="S206" s="197" t="s">
        <v>1032</v>
      </c>
      <c r="T206" s="117">
        <v>-242028.38</v>
      </c>
      <c r="U206" s="129">
        <v>-159658.51999999999</v>
      </c>
      <c r="V206" s="315">
        <v>-159658.51999999999</v>
      </c>
      <c r="AE206"/>
      <c r="AF206"/>
      <c r="AG206"/>
      <c r="AH206"/>
      <c r="AI206"/>
      <c r="AJ206"/>
      <c r="BA206" s="199" t="s">
        <v>569</v>
      </c>
      <c r="BB206" s="197" t="s">
        <v>1032</v>
      </c>
      <c r="BC206" s="77">
        <f t="shared" si="11"/>
        <v>0</v>
      </c>
      <c r="BE206" s="50" t="s">
        <v>569</v>
      </c>
      <c r="BF206" s="50" t="s">
        <v>1032</v>
      </c>
      <c r="BG206" s="376">
        <v>-497265.14</v>
      </c>
    </row>
    <row r="207" spans="1:59">
      <c r="A207" s="199" t="s">
        <v>571</v>
      </c>
      <c r="B207" s="197" t="s">
        <v>1033</v>
      </c>
      <c r="C207" s="324">
        <v>-286405.11</v>
      </c>
      <c r="D207" s="198">
        <v>-597814.17000000004</v>
      </c>
      <c r="E207" s="198">
        <v>-813333.21</v>
      </c>
      <c r="F207" s="378">
        <v>-754882.94</v>
      </c>
      <c r="G207" s="128">
        <f t="shared" si="10"/>
        <v>-2452435.4299999997</v>
      </c>
      <c r="I207" s="220"/>
      <c r="J207" s="221"/>
      <c r="K207" s="199" t="s">
        <v>571</v>
      </c>
      <c r="L207" s="197" t="s">
        <v>1033</v>
      </c>
      <c r="M207" s="117"/>
      <c r="N207" s="198">
        <v>-597814.17000000004</v>
      </c>
      <c r="O207" s="117">
        <f t="shared" si="12"/>
        <v>-597814.17000000004</v>
      </c>
      <c r="P207" s="50"/>
      <c r="Q207" s="96"/>
      <c r="R207" s="199" t="s">
        <v>571</v>
      </c>
      <c r="S207" s="197" t="s">
        <v>1033</v>
      </c>
      <c r="T207" s="117">
        <v>-213132.55</v>
      </c>
      <c r="U207" s="129">
        <v>-286405.11</v>
      </c>
      <c r="V207" s="315">
        <v>-286405.11</v>
      </c>
      <c r="AE207"/>
      <c r="AF207"/>
      <c r="AG207"/>
      <c r="AH207"/>
      <c r="AI207"/>
      <c r="AJ207"/>
      <c r="BA207" s="199" t="s">
        <v>571</v>
      </c>
      <c r="BB207" s="197" t="s">
        <v>1033</v>
      </c>
      <c r="BC207" s="77">
        <f t="shared" si="11"/>
        <v>0</v>
      </c>
      <c r="BE207" s="50" t="s">
        <v>571</v>
      </c>
      <c r="BF207" s="50" t="s">
        <v>1033</v>
      </c>
      <c r="BG207" s="376">
        <v>-754882.94</v>
      </c>
    </row>
    <row r="208" spans="1:59">
      <c r="A208" s="199" t="s">
        <v>573</v>
      </c>
      <c r="B208" s="197" t="s">
        <v>1034</v>
      </c>
      <c r="C208" s="324">
        <v>-526405.81999999995</v>
      </c>
      <c r="D208" s="198">
        <v>-183405.32</v>
      </c>
      <c r="E208" s="198">
        <v>-825900.26</v>
      </c>
      <c r="F208" s="378">
        <v>-710885.68</v>
      </c>
      <c r="G208" s="128">
        <f t="shared" si="10"/>
        <v>-2246597.08</v>
      </c>
      <c r="I208" s="220"/>
      <c r="J208" s="221"/>
      <c r="K208" s="199" t="s">
        <v>573</v>
      </c>
      <c r="L208" s="197" t="s">
        <v>1034</v>
      </c>
      <c r="M208" s="117"/>
      <c r="N208" s="198">
        <v>-183405.32</v>
      </c>
      <c r="O208" s="117">
        <f t="shared" si="12"/>
        <v>-183405.32</v>
      </c>
      <c r="P208" s="50"/>
      <c r="Q208" s="96"/>
      <c r="R208" s="199" t="s">
        <v>573</v>
      </c>
      <c r="S208" s="197" t="s">
        <v>1034</v>
      </c>
      <c r="T208" s="117">
        <v>-149653.16</v>
      </c>
      <c r="U208" s="129">
        <v>-526405.81999999995</v>
      </c>
      <c r="V208" s="315">
        <v>-526405.81999999995</v>
      </c>
      <c r="AE208"/>
      <c r="AF208"/>
      <c r="AG208"/>
      <c r="AH208"/>
      <c r="AI208"/>
      <c r="AJ208"/>
      <c r="BA208" s="199" t="s">
        <v>573</v>
      </c>
      <c r="BB208" s="197" t="s">
        <v>1034</v>
      </c>
      <c r="BC208" s="77">
        <f t="shared" si="11"/>
        <v>0</v>
      </c>
      <c r="BE208" s="50" t="s">
        <v>573</v>
      </c>
      <c r="BF208" s="50" t="s">
        <v>1034</v>
      </c>
      <c r="BG208" s="376">
        <v>-710885.68</v>
      </c>
    </row>
    <row r="209" spans="1:59">
      <c r="A209" s="199" t="s">
        <v>575</v>
      </c>
      <c r="B209" s="197" t="s">
        <v>1035</v>
      </c>
      <c r="C209" s="324">
        <v>-146503.04999999999</v>
      </c>
      <c r="D209" s="198">
        <v>-175295.58</v>
      </c>
      <c r="E209" s="198">
        <v>-133704.85</v>
      </c>
      <c r="F209" s="378">
        <v>-195187.55</v>
      </c>
      <c r="G209" s="128">
        <f t="shared" si="10"/>
        <v>-650691.03</v>
      </c>
      <c r="I209" s="220"/>
      <c r="J209" s="221"/>
      <c r="K209" s="199" t="s">
        <v>575</v>
      </c>
      <c r="L209" s="197" t="s">
        <v>1035</v>
      </c>
      <c r="M209" s="117"/>
      <c r="N209" s="198">
        <v>-175295.58</v>
      </c>
      <c r="O209" s="117">
        <f t="shared" si="12"/>
        <v>-175295.58</v>
      </c>
      <c r="P209" s="50"/>
      <c r="Q209" s="96"/>
      <c r="R209" s="199" t="s">
        <v>575</v>
      </c>
      <c r="S209" s="197" t="s">
        <v>1035</v>
      </c>
      <c r="T209" s="117">
        <v>-92318.59</v>
      </c>
      <c r="U209" s="129">
        <v>-146503.04999999999</v>
      </c>
      <c r="V209" s="315">
        <v>-146503.04999999999</v>
      </c>
      <c r="AE209"/>
      <c r="AF209"/>
      <c r="AG209"/>
      <c r="AH209"/>
      <c r="AI209"/>
      <c r="AJ209"/>
      <c r="BA209" s="199" t="s">
        <v>575</v>
      </c>
      <c r="BB209" s="197" t="s">
        <v>1035</v>
      </c>
      <c r="BC209" s="77">
        <f t="shared" si="11"/>
        <v>0</v>
      </c>
      <c r="BE209" s="50" t="s">
        <v>575</v>
      </c>
      <c r="BF209" s="50" t="s">
        <v>1035</v>
      </c>
      <c r="BG209" s="376">
        <v>-195187.55</v>
      </c>
    </row>
    <row r="210" spans="1:59">
      <c r="A210" s="199" t="s">
        <v>577</v>
      </c>
      <c r="B210" s="197" t="s">
        <v>1036</v>
      </c>
      <c r="C210" s="324">
        <v>-743883.39</v>
      </c>
      <c r="D210" s="198">
        <v>-935548.07</v>
      </c>
      <c r="E210" s="198">
        <v>-1168698.04</v>
      </c>
      <c r="F210" s="378">
        <v>-1124487.6599999999</v>
      </c>
      <c r="G210" s="128">
        <f t="shared" si="10"/>
        <v>-3972617.16</v>
      </c>
      <c r="I210" s="220"/>
      <c r="J210" s="221"/>
      <c r="K210" s="199" t="s">
        <v>577</v>
      </c>
      <c r="L210" s="197" t="s">
        <v>1036</v>
      </c>
      <c r="M210" s="117"/>
      <c r="N210" s="198">
        <v>-935548.07</v>
      </c>
      <c r="O210" s="117">
        <f t="shared" si="12"/>
        <v>-935548.07</v>
      </c>
      <c r="P210" s="50"/>
      <c r="Q210" s="96"/>
      <c r="R210" s="199" t="s">
        <v>577</v>
      </c>
      <c r="S210" s="197" t="s">
        <v>1036</v>
      </c>
      <c r="T210" s="117">
        <v>-925119.3</v>
      </c>
      <c r="U210" s="129">
        <v>-743883.39</v>
      </c>
      <c r="V210" s="315">
        <v>-743883.39</v>
      </c>
      <c r="AE210"/>
      <c r="AF210"/>
      <c r="AG210"/>
      <c r="AH210"/>
      <c r="AI210"/>
      <c r="AJ210"/>
      <c r="BA210" s="199" t="s">
        <v>577</v>
      </c>
      <c r="BB210" s="197" t="s">
        <v>1036</v>
      </c>
      <c r="BC210" s="77">
        <f t="shared" si="11"/>
        <v>0</v>
      </c>
      <c r="BE210" s="50" t="s">
        <v>577</v>
      </c>
      <c r="BF210" s="50" t="s">
        <v>1036</v>
      </c>
      <c r="BG210" s="376">
        <v>-1124487.6599999999</v>
      </c>
    </row>
    <row r="211" spans="1:59">
      <c r="A211" s="199" t="s">
        <v>579</v>
      </c>
      <c r="B211" s="197" t="s">
        <v>1037</v>
      </c>
      <c r="C211" s="324">
        <v>-11816.3</v>
      </c>
      <c r="D211" s="198">
        <v>-12519.88</v>
      </c>
      <c r="E211" s="198">
        <v>-13015.43</v>
      </c>
      <c r="F211" s="378">
        <v>-10481.48</v>
      </c>
      <c r="G211" s="128">
        <f t="shared" si="10"/>
        <v>-47833.09</v>
      </c>
      <c r="I211" s="220"/>
      <c r="J211" s="221"/>
      <c r="K211" s="199" t="s">
        <v>579</v>
      </c>
      <c r="L211" s="197" t="s">
        <v>1037</v>
      </c>
      <c r="M211" s="117"/>
      <c r="N211" s="198">
        <v>-12519.88</v>
      </c>
      <c r="O211" s="117">
        <f t="shared" si="12"/>
        <v>-12519.88</v>
      </c>
      <c r="P211" s="50"/>
      <c r="Q211" s="96"/>
      <c r="R211" s="199" t="s">
        <v>579</v>
      </c>
      <c r="S211" s="197" t="s">
        <v>1037</v>
      </c>
      <c r="T211" s="117">
        <v>-2787.18</v>
      </c>
      <c r="U211" s="129">
        <v>-11816.3</v>
      </c>
      <c r="V211" s="315">
        <v>-11816.3</v>
      </c>
      <c r="AE211"/>
      <c r="AF211"/>
      <c r="AG211"/>
      <c r="AH211"/>
      <c r="AI211"/>
      <c r="AJ211"/>
      <c r="BA211" s="199" t="s">
        <v>579</v>
      </c>
      <c r="BB211" s="197" t="s">
        <v>1037</v>
      </c>
      <c r="BC211" s="77">
        <f t="shared" si="11"/>
        <v>0</v>
      </c>
      <c r="BE211" s="50" t="s">
        <v>579</v>
      </c>
      <c r="BF211" s="50" t="s">
        <v>1037</v>
      </c>
      <c r="BG211" s="376">
        <v>-10481.48</v>
      </c>
    </row>
    <row r="212" spans="1:59">
      <c r="A212" s="199" t="s">
        <v>581</v>
      </c>
      <c r="B212" s="197" t="s">
        <v>1038</v>
      </c>
      <c r="C212" s="324">
        <v>-56156.05</v>
      </c>
      <c r="D212" s="198">
        <v>-71627.679999999993</v>
      </c>
      <c r="E212" s="198">
        <v>-5713.87</v>
      </c>
      <c r="F212" s="378">
        <v>-129789.3</v>
      </c>
      <c r="G212" s="128">
        <f t="shared" si="10"/>
        <v>-263286.90000000002</v>
      </c>
      <c r="I212" s="220"/>
      <c r="J212" s="221"/>
      <c r="K212" s="199" t="s">
        <v>581</v>
      </c>
      <c r="L212" s="197" t="s">
        <v>1038</v>
      </c>
      <c r="M212" s="117"/>
      <c r="N212" s="198">
        <v>-71627.679999999993</v>
      </c>
      <c r="O212" s="117">
        <f t="shared" si="12"/>
        <v>-71627.679999999993</v>
      </c>
      <c r="P212" s="50"/>
      <c r="Q212" s="96"/>
      <c r="R212" s="199" t="s">
        <v>581</v>
      </c>
      <c r="S212" s="197" t="s">
        <v>1038</v>
      </c>
      <c r="T212" s="117">
        <v>-76120.25</v>
      </c>
      <c r="U212" s="129">
        <v>-56156.05</v>
      </c>
      <c r="V212" s="315">
        <v>-56156.05</v>
      </c>
      <c r="W212" s="314"/>
      <c r="X212" s="314"/>
      <c r="Y212" s="314" t="s">
        <v>1755</v>
      </c>
      <c r="Z212" s="314" t="s">
        <v>1756</v>
      </c>
      <c r="AE212"/>
      <c r="AF212"/>
      <c r="AG212"/>
      <c r="AH212"/>
      <c r="AI212"/>
      <c r="AJ212"/>
      <c r="BA212" s="199" t="s">
        <v>581</v>
      </c>
      <c r="BB212" s="197" t="s">
        <v>1038</v>
      </c>
      <c r="BC212" s="77">
        <f t="shared" si="11"/>
        <v>0</v>
      </c>
      <c r="BE212" s="50" t="s">
        <v>581</v>
      </c>
      <c r="BF212" s="50" t="s">
        <v>1038</v>
      </c>
      <c r="BG212" s="376">
        <v>-129789.3</v>
      </c>
    </row>
    <row r="213" spans="1:59">
      <c r="A213" s="199" t="s">
        <v>583</v>
      </c>
      <c r="B213" s="197" t="s">
        <v>1039</v>
      </c>
      <c r="C213" s="328">
        <v>0</v>
      </c>
      <c r="D213" s="328">
        <v>0</v>
      </c>
      <c r="E213" s="328">
        <v>0</v>
      </c>
      <c r="F213" s="378">
        <v>-231679.02</v>
      </c>
      <c r="G213" s="128">
        <f t="shared" si="10"/>
        <v>-231679.02</v>
      </c>
      <c r="I213" s="220"/>
      <c r="J213" s="221"/>
      <c r="K213" s="199" t="s">
        <v>583</v>
      </c>
      <c r="L213" s="197" t="s">
        <v>1039</v>
      </c>
      <c r="M213" s="117"/>
      <c r="N213" s="198">
        <v>0</v>
      </c>
      <c r="O213" s="117">
        <f t="shared" si="12"/>
        <v>0</v>
      </c>
      <c r="P213" s="50"/>
      <c r="Q213" s="96"/>
      <c r="R213" s="199" t="s">
        <v>583</v>
      </c>
      <c r="S213" s="197" t="s">
        <v>1039</v>
      </c>
      <c r="T213" s="117">
        <v>-259662.54</v>
      </c>
      <c r="U213" s="129">
        <v>26845.33</v>
      </c>
      <c r="V213" s="321">
        <v>0</v>
      </c>
      <c r="W213" s="198">
        <v>53128.01</v>
      </c>
      <c r="X213" s="198">
        <v>42648.07</v>
      </c>
      <c r="Y213" s="321">
        <v>0</v>
      </c>
      <c r="Z213" s="321">
        <v>0</v>
      </c>
      <c r="AE213"/>
      <c r="AF213"/>
      <c r="AG213"/>
      <c r="AH213"/>
      <c r="AI213"/>
      <c r="AJ213"/>
      <c r="BA213" s="199" t="s">
        <v>583</v>
      </c>
      <c r="BB213" s="197" t="s">
        <v>1039</v>
      </c>
      <c r="BC213" s="77">
        <f t="shared" si="11"/>
        <v>0</v>
      </c>
      <c r="BE213" s="50" t="s">
        <v>583</v>
      </c>
      <c r="BF213" s="50" t="s">
        <v>1039</v>
      </c>
      <c r="BG213" s="376">
        <v>-231679.02</v>
      </c>
    </row>
    <row r="214" spans="1:59">
      <c r="A214" s="199" t="s">
        <v>585</v>
      </c>
      <c r="B214" s="197" t="s">
        <v>1040</v>
      </c>
      <c r="C214" s="324">
        <v>-116581.54</v>
      </c>
      <c r="D214" s="198">
        <v>-129007.5</v>
      </c>
      <c r="E214" s="198">
        <v>-140021.15</v>
      </c>
      <c r="F214" s="378">
        <v>-146483.12</v>
      </c>
      <c r="G214" s="128">
        <f t="shared" si="10"/>
        <v>-532093.30999999994</v>
      </c>
      <c r="I214" s="220"/>
      <c r="J214" s="221"/>
      <c r="K214" s="199" t="s">
        <v>585</v>
      </c>
      <c r="L214" s="197" t="s">
        <v>1040</v>
      </c>
      <c r="M214" s="117"/>
      <c r="N214" s="198">
        <v>-129007.5</v>
      </c>
      <c r="O214" s="117">
        <f t="shared" si="12"/>
        <v>-129007.5</v>
      </c>
      <c r="P214" s="50"/>
      <c r="Q214" s="96"/>
      <c r="R214" s="199" t="s">
        <v>585</v>
      </c>
      <c r="S214" s="197" t="s">
        <v>1040</v>
      </c>
      <c r="T214" s="117">
        <v>-84124.28</v>
      </c>
      <c r="U214" s="129">
        <v>-116581.54</v>
      </c>
      <c r="V214" s="315">
        <v>-116581.54</v>
      </c>
      <c r="AE214"/>
      <c r="AF214"/>
      <c r="AG214"/>
      <c r="AH214"/>
      <c r="AI214"/>
      <c r="AJ214"/>
      <c r="BA214" s="199" t="s">
        <v>585</v>
      </c>
      <c r="BB214" s="197" t="s">
        <v>1040</v>
      </c>
      <c r="BC214" s="77">
        <f t="shared" si="11"/>
        <v>0</v>
      </c>
      <c r="BE214" s="50" t="s">
        <v>585</v>
      </c>
      <c r="BF214" s="50" t="s">
        <v>1040</v>
      </c>
      <c r="BG214" s="376">
        <v>-146483.12</v>
      </c>
    </row>
    <row r="215" spans="1:59">
      <c r="A215" s="199" t="s">
        <v>587</v>
      </c>
      <c r="B215" s="197" t="s">
        <v>1041</v>
      </c>
      <c r="C215" s="324">
        <v>-84607.72</v>
      </c>
      <c r="D215" s="198">
        <v>-69826.259999999995</v>
      </c>
      <c r="E215" s="198">
        <v>-165633.96</v>
      </c>
      <c r="F215" s="378">
        <v>-115815.97</v>
      </c>
      <c r="G215" s="128">
        <f t="shared" si="10"/>
        <v>-435883.90999999992</v>
      </c>
      <c r="I215" s="220"/>
      <c r="J215" s="221"/>
      <c r="K215" s="199" t="s">
        <v>587</v>
      </c>
      <c r="L215" s="197" t="s">
        <v>1041</v>
      </c>
      <c r="M215" s="117"/>
      <c r="N215" s="198">
        <v>-69826.259999999995</v>
      </c>
      <c r="O215" s="117">
        <f t="shared" si="12"/>
        <v>-69826.259999999995</v>
      </c>
      <c r="P215" s="50"/>
      <c r="Q215" s="96"/>
      <c r="R215" s="199" t="s">
        <v>587</v>
      </c>
      <c r="S215" s="197" t="s">
        <v>1041</v>
      </c>
      <c r="T215" s="117">
        <v>-90811.75</v>
      </c>
      <c r="U215" s="129">
        <v>-84607.72</v>
      </c>
      <c r="V215" s="315">
        <v>-84607.72</v>
      </c>
      <c r="AE215"/>
      <c r="AF215"/>
      <c r="AG215"/>
      <c r="AH215"/>
      <c r="AI215"/>
      <c r="AJ215"/>
      <c r="BA215" s="199" t="s">
        <v>587</v>
      </c>
      <c r="BB215" s="197" t="s">
        <v>1041</v>
      </c>
      <c r="BC215" s="77">
        <f t="shared" si="11"/>
        <v>0</v>
      </c>
      <c r="BE215" s="50" t="s">
        <v>587</v>
      </c>
      <c r="BF215" s="50" t="s">
        <v>1041</v>
      </c>
      <c r="BG215" s="376">
        <v>-115815.97</v>
      </c>
    </row>
    <row r="216" spans="1:59">
      <c r="A216" s="199" t="s">
        <v>589</v>
      </c>
      <c r="B216" s="197" t="s">
        <v>1042</v>
      </c>
      <c r="C216" s="324">
        <v>-59522.62</v>
      </c>
      <c r="D216" s="198">
        <v>-49664.9</v>
      </c>
      <c r="E216" s="198">
        <v>-75312.649999999994</v>
      </c>
      <c r="F216" s="378">
        <v>-56200.95</v>
      </c>
      <c r="G216" s="128">
        <f t="shared" si="10"/>
        <v>-240701.12</v>
      </c>
      <c r="I216" s="220"/>
      <c r="J216" s="221"/>
      <c r="K216" s="199" t="s">
        <v>589</v>
      </c>
      <c r="L216" s="197" t="s">
        <v>1042</v>
      </c>
      <c r="M216" s="117"/>
      <c r="N216" s="198">
        <v>-49664.9</v>
      </c>
      <c r="O216" s="117">
        <f t="shared" si="12"/>
        <v>-49664.9</v>
      </c>
      <c r="P216" s="50"/>
      <c r="Q216" s="96"/>
      <c r="R216" s="199" t="s">
        <v>589</v>
      </c>
      <c r="S216" s="197" t="s">
        <v>1042</v>
      </c>
      <c r="T216" s="117">
        <v>-87979.33</v>
      </c>
      <c r="U216" s="129">
        <v>-59522.62</v>
      </c>
      <c r="V216" s="315">
        <v>-59522.62</v>
      </c>
      <c r="AE216"/>
      <c r="AF216"/>
      <c r="AG216"/>
      <c r="AH216"/>
      <c r="AI216"/>
      <c r="AJ216"/>
      <c r="BA216" s="199" t="s">
        <v>589</v>
      </c>
      <c r="BB216" s="197" t="s">
        <v>1042</v>
      </c>
      <c r="BC216" s="77">
        <f t="shared" si="11"/>
        <v>0</v>
      </c>
      <c r="BE216" s="50" t="s">
        <v>589</v>
      </c>
      <c r="BF216" s="50" t="s">
        <v>1042</v>
      </c>
      <c r="BG216" s="376">
        <v>-56200.95</v>
      </c>
    </row>
    <row r="217" spans="1:59">
      <c r="A217" s="199" t="s">
        <v>591</v>
      </c>
      <c r="B217" s="197" t="s">
        <v>1043</v>
      </c>
      <c r="C217" s="329">
        <v>-179449.09</v>
      </c>
      <c r="D217" s="198">
        <v>-113849.2</v>
      </c>
      <c r="E217" s="198">
        <v>-76029.11</v>
      </c>
      <c r="F217" s="378">
        <v>-68223.14</v>
      </c>
      <c r="G217" s="128">
        <f t="shared" si="10"/>
        <v>-437550.54</v>
      </c>
      <c r="I217" s="220"/>
      <c r="J217" s="221"/>
      <c r="K217" s="199" t="s">
        <v>591</v>
      </c>
      <c r="L217" s="197" t="s">
        <v>1043</v>
      </c>
      <c r="M217" s="117"/>
      <c r="N217" s="198">
        <v>-113849.2</v>
      </c>
      <c r="O217" s="117">
        <f t="shared" si="12"/>
        <v>-113849.2</v>
      </c>
      <c r="P217" s="50"/>
      <c r="Q217" s="91"/>
      <c r="R217" s="199" t="s">
        <v>591</v>
      </c>
      <c r="S217" s="197" t="s">
        <v>1043</v>
      </c>
      <c r="T217" s="117">
        <v>-153240.88</v>
      </c>
      <c r="U217" s="129">
        <v>-179449.09</v>
      </c>
      <c r="V217" s="317">
        <v>-179449.09</v>
      </c>
      <c r="AE217"/>
      <c r="AF217"/>
      <c r="AG217"/>
      <c r="AH217"/>
      <c r="AI217"/>
      <c r="AJ217"/>
      <c r="BA217" s="199" t="s">
        <v>591</v>
      </c>
      <c r="BB217" s="197" t="s">
        <v>1043</v>
      </c>
      <c r="BC217" s="77">
        <f t="shared" si="11"/>
        <v>0</v>
      </c>
      <c r="BE217" s="50" t="s">
        <v>591</v>
      </c>
      <c r="BF217" s="50" t="s">
        <v>1043</v>
      </c>
      <c r="BG217" s="376">
        <v>-68223.14</v>
      </c>
    </row>
    <row r="218" spans="1:59">
      <c r="A218" s="199" t="s">
        <v>593</v>
      </c>
      <c r="B218" s="197" t="s">
        <v>1044</v>
      </c>
      <c r="C218" s="324">
        <v>-523047.33</v>
      </c>
      <c r="D218" s="198">
        <v>-524555.03</v>
      </c>
      <c r="E218" s="198">
        <v>-570527.04</v>
      </c>
      <c r="F218" s="378">
        <v>-585235.14</v>
      </c>
      <c r="G218" s="128">
        <f t="shared" si="10"/>
        <v>-2203364.54</v>
      </c>
      <c r="I218" s="220"/>
      <c r="J218" s="221"/>
      <c r="K218" s="199" t="s">
        <v>593</v>
      </c>
      <c r="L218" s="197" t="s">
        <v>1044</v>
      </c>
      <c r="M218" s="117"/>
      <c r="N218" s="198">
        <v>-524555.03</v>
      </c>
      <c r="O218" s="117">
        <f t="shared" si="12"/>
        <v>-524555.03</v>
      </c>
      <c r="P218" s="50"/>
      <c r="Q218" s="96"/>
      <c r="R218" s="199" t="s">
        <v>593</v>
      </c>
      <c r="S218" s="197" t="s">
        <v>1044</v>
      </c>
      <c r="T218" s="117">
        <v>-479665.61</v>
      </c>
      <c r="U218" s="129">
        <v>-523047.33</v>
      </c>
      <c r="V218" s="315">
        <v>-523047.33</v>
      </c>
      <c r="AE218"/>
      <c r="AF218"/>
      <c r="AG218"/>
      <c r="AH218"/>
      <c r="AI218"/>
      <c r="AJ218"/>
      <c r="BA218" s="199" t="s">
        <v>593</v>
      </c>
      <c r="BB218" s="197" t="s">
        <v>1044</v>
      </c>
      <c r="BC218" s="77">
        <f t="shared" si="11"/>
        <v>0</v>
      </c>
      <c r="BE218" s="50" t="s">
        <v>593</v>
      </c>
      <c r="BF218" s="50" t="s">
        <v>1044</v>
      </c>
      <c r="BG218" s="376">
        <v>-585235.14</v>
      </c>
    </row>
    <row r="219" spans="1:59">
      <c r="A219" s="199" t="s">
        <v>595</v>
      </c>
      <c r="B219" s="197" t="s">
        <v>1045</v>
      </c>
      <c r="C219" s="324">
        <v>-787041.07</v>
      </c>
      <c r="D219" s="198">
        <v>-1448167.31</v>
      </c>
      <c r="E219" s="198">
        <v>-1506613.39</v>
      </c>
      <c r="F219" s="378">
        <v>-1964886.78</v>
      </c>
      <c r="G219" s="128">
        <f t="shared" si="10"/>
        <v>-5706708.5499999998</v>
      </c>
      <c r="I219" s="220"/>
      <c r="J219" s="221"/>
      <c r="K219" s="199" t="s">
        <v>595</v>
      </c>
      <c r="L219" s="197" t="s">
        <v>1045</v>
      </c>
      <c r="M219" s="117"/>
      <c r="N219" s="198">
        <v>-1448167.31</v>
      </c>
      <c r="O219" s="117">
        <f t="shared" si="12"/>
        <v>-1448167.31</v>
      </c>
      <c r="P219" s="50"/>
      <c r="Q219" s="96"/>
      <c r="R219" s="199" t="s">
        <v>595</v>
      </c>
      <c r="S219" s="197" t="s">
        <v>1045</v>
      </c>
      <c r="T219" s="117">
        <v>-640819.56000000006</v>
      </c>
      <c r="U219" s="129">
        <v>-787041.07</v>
      </c>
      <c r="V219" s="315">
        <v>-787041.07</v>
      </c>
      <c r="AE219"/>
      <c r="AF219"/>
      <c r="AG219"/>
      <c r="AH219"/>
      <c r="AI219"/>
      <c r="AJ219"/>
      <c r="BA219" s="199" t="s">
        <v>595</v>
      </c>
      <c r="BB219" s="197" t="s">
        <v>1045</v>
      </c>
      <c r="BC219" s="77">
        <f t="shared" si="11"/>
        <v>0</v>
      </c>
      <c r="BE219" s="50" t="s">
        <v>595</v>
      </c>
      <c r="BF219" s="50" t="s">
        <v>1045</v>
      </c>
      <c r="BG219" s="376">
        <v>-1964886.78</v>
      </c>
    </row>
    <row r="220" spans="1:59">
      <c r="A220" s="199" t="s">
        <v>601</v>
      </c>
      <c r="B220" s="197" t="s">
        <v>1046</v>
      </c>
      <c r="C220" s="324">
        <v>-183039.3</v>
      </c>
      <c r="D220" s="198">
        <v>-197346.54</v>
      </c>
      <c r="E220" s="198">
        <v>-221801.77</v>
      </c>
      <c r="F220" s="378">
        <v>-209058.32</v>
      </c>
      <c r="G220" s="128">
        <f t="shared" si="10"/>
        <v>-811245.92999999993</v>
      </c>
      <c r="I220" s="220"/>
      <c r="J220" s="221"/>
      <c r="K220" s="199" t="s">
        <v>601</v>
      </c>
      <c r="L220" s="197" t="s">
        <v>1046</v>
      </c>
      <c r="M220" s="117"/>
      <c r="N220" s="198">
        <v>-197346.54</v>
      </c>
      <c r="O220" s="117">
        <f t="shared" si="12"/>
        <v>-197346.54</v>
      </c>
      <c r="P220" s="50"/>
      <c r="Q220" s="96"/>
      <c r="R220" s="199" t="s">
        <v>601</v>
      </c>
      <c r="S220" s="197" t="s">
        <v>1046</v>
      </c>
      <c r="T220" s="117">
        <v>-166747.07999999999</v>
      </c>
      <c r="U220" s="129">
        <v>-183039.3</v>
      </c>
      <c r="V220" s="315">
        <v>-183039.3</v>
      </c>
      <c r="AE220"/>
      <c r="AF220"/>
      <c r="AG220"/>
      <c r="AH220"/>
      <c r="AI220"/>
      <c r="AJ220"/>
      <c r="BA220" s="199" t="s">
        <v>601</v>
      </c>
      <c r="BB220" s="197" t="s">
        <v>1046</v>
      </c>
      <c r="BC220" s="77">
        <f t="shared" si="11"/>
        <v>0</v>
      </c>
      <c r="BE220" s="50" t="s">
        <v>601</v>
      </c>
      <c r="BF220" s="50" t="s">
        <v>1046</v>
      </c>
      <c r="BG220" s="376">
        <v>-209058.32</v>
      </c>
    </row>
    <row r="221" spans="1:59">
      <c r="A221" s="199" t="s">
        <v>603</v>
      </c>
      <c r="B221" s="197" t="s">
        <v>1047</v>
      </c>
      <c r="C221" s="324">
        <v>-136658.31</v>
      </c>
      <c r="D221" s="198">
        <v>-200360.45</v>
      </c>
      <c r="E221" s="198">
        <v>-176528.88</v>
      </c>
      <c r="F221" s="378">
        <v>-247906.71</v>
      </c>
      <c r="G221" s="128">
        <f t="shared" si="10"/>
        <v>-761454.35</v>
      </c>
      <c r="I221" s="220"/>
      <c r="J221" s="221"/>
      <c r="K221" s="199" t="s">
        <v>603</v>
      </c>
      <c r="L221" s="197" t="s">
        <v>1047</v>
      </c>
      <c r="M221" s="117"/>
      <c r="N221" s="198">
        <v>-200360.45</v>
      </c>
      <c r="O221" s="117">
        <f t="shared" si="12"/>
        <v>-200360.45</v>
      </c>
      <c r="P221" s="50"/>
      <c r="Q221" s="96"/>
      <c r="R221" s="199" t="s">
        <v>603</v>
      </c>
      <c r="S221" s="197" t="s">
        <v>1047</v>
      </c>
      <c r="T221" s="117">
        <v>-22925.05</v>
      </c>
      <c r="U221" s="129">
        <v>-136658.31</v>
      </c>
      <c r="V221" s="315">
        <v>-136658.31</v>
      </c>
      <c r="AE221"/>
      <c r="AF221"/>
      <c r="AG221"/>
      <c r="AH221"/>
      <c r="AI221"/>
      <c r="AJ221"/>
      <c r="BA221" s="199" t="s">
        <v>603</v>
      </c>
      <c r="BB221" s="197" t="s">
        <v>1047</v>
      </c>
      <c r="BC221" s="77">
        <f t="shared" si="11"/>
        <v>0</v>
      </c>
      <c r="BE221" s="50" t="s">
        <v>603</v>
      </c>
      <c r="BF221" s="50" t="s">
        <v>1047</v>
      </c>
      <c r="BG221" s="376">
        <v>-247906.71</v>
      </c>
    </row>
    <row r="222" spans="1:59">
      <c r="A222" s="199" t="s">
        <v>605</v>
      </c>
      <c r="B222" s="197" t="s">
        <v>1048</v>
      </c>
      <c r="C222" s="324">
        <v>-182556.11</v>
      </c>
      <c r="D222" s="198">
        <v>-97562.11</v>
      </c>
      <c r="E222" s="198">
        <v>-56107.01</v>
      </c>
      <c r="F222" s="378">
        <v>-46280.99</v>
      </c>
      <c r="G222" s="128">
        <f t="shared" si="10"/>
        <v>-382506.22</v>
      </c>
      <c r="I222" s="220"/>
      <c r="J222" s="221"/>
      <c r="K222" s="199" t="s">
        <v>605</v>
      </c>
      <c r="L222" s="197" t="s">
        <v>1048</v>
      </c>
      <c r="M222" s="117"/>
      <c r="N222" s="198">
        <v>-97562.11</v>
      </c>
      <c r="O222" s="117">
        <f t="shared" si="12"/>
        <v>-97562.11</v>
      </c>
      <c r="P222" s="50"/>
      <c r="Q222" s="96"/>
      <c r="R222" s="199" t="s">
        <v>605</v>
      </c>
      <c r="S222" s="197" t="s">
        <v>1048</v>
      </c>
      <c r="T222" s="117">
        <v>-188355.44</v>
      </c>
      <c r="U222" s="129">
        <v>-182556.11</v>
      </c>
      <c r="V222" s="315">
        <v>-182556.11</v>
      </c>
      <c r="AE222"/>
      <c r="AF222"/>
      <c r="AG222"/>
      <c r="AH222"/>
      <c r="AI222"/>
      <c r="AJ222"/>
      <c r="BA222" s="199" t="s">
        <v>605</v>
      </c>
      <c r="BB222" s="197" t="s">
        <v>1048</v>
      </c>
      <c r="BC222" s="77">
        <f t="shared" si="11"/>
        <v>0</v>
      </c>
      <c r="BE222" s="50" t="s">
        <v>605</v>
      </c>
      <c r="BF222" s="50" t="s">
        <v>1048</v>
      </c>
      <c r="BG222" s="376">
        <v>-46280.99</v>
      </c>
    </row>
    <row r="223" spans="1:59">
      <c r="A223" s="199" t="s">
        <v>607</v>
      </c>
      <c r="B223" s="197" t="s">
        <v>1049</v>
      </c>
      <c r="C223" s="324">
        <v>-895837.5</v>
      </c>
      <c r="D223" s="198">
        <v>-1018964.87</v>
      </c>
      <c r="E223" s="198">
        <v>-1231820.8999999999</v>
      </c>
      <c r="F223" s="378">
        <v>-1403428.1</v>
      </c>
      <c r="G223" s="128">
        <f t="shared" si="10"/>
        <v>-4550051.37</v>
      </c>
      <c r="I223" s="220"/>
      <c r="J223" s="221"/>
      <c r="K223" s="199" t="s">
        <v>607</v>
      </c>
      <c r="L223" s="197" t="s">
        <v>1049</v>
      </c>
      <c r="M223" s="117"/>
      <c r="N223" s="198">
        <v>-1018964.87</v>
      </c>
      <c r="O223" s="117">
        <f t="shared" si="12"/>
        <v>-1018964.87</v>
      </c>
      <c r="P223" s="50"/>
      <c r="Q223" s="96"/>
      <c r="R223" s="199" t="s">
        <v>607</v>
      </c>
      <c r="S223" s="197" t="s">
        <v>1049</v>
      </c>
      <c r="T223" s="117">
        <v>-765926.67</v>
      </c>
      <c r="U223" s="129">
        <v>-895837.5</v>
      </c>
      <c r="V223" s="315">
        <v>-895837.5</v>
      </c>
      <c r="AE223"/>
      <c r="AF223"/>
      <c r="AG223"/>
      <c r="AH223"/>
      <c r="AI223"/>
      <c r="AJ223"/>
      <c r="BA223" s="199" t="s">
        <v>607</v>
      </c>
      <c r="BB223" s="197" t="s">
        <v>1049</v>
      </c>
      <c r="BC223" s="77">
        <f t="shared" si="11"/>
        <v>0</v>
      </c>
      <c r="BE223" s="50" t="s">
        <v>607</v>
      </c>
      <c r="BF223" s="50" t="s">
        <v>1049</v>
      </c>
      <c r="BG223" s="376">
        <v>-1403428.1</v>
      </c>
    </row>
    <row r="224" spans="1:59">
      <c r="A224" s="199" t="s">
        <v>609</v>
      </c>
      <c r="B224" s="197" t="s">
        <v>1050</v>
      </c>
      <c r="C224" s="324">
        <v>-77402.990000000005</v>
      </c>
      <c r="D224" s="198">
        <v>-71970.02</v>
      </c>
      <c r="E224" s="198">
        <v>-29657.8</v>
      </c>
      <c r="F224" s="378">
        <v>-74412.81</v>
      </c>
      <c r="G224" s="128">
        <f t="shared" si="10"/>
        <v>-253443.62</v>
      </c>
      <c r="I224" s="220"/>
      <c r="J224" s="221"/>
      <c r="K224" s="199" t="s">
        <v>609</v>
      </c>
      <c r="L224" s="197" t="s">
        <v>1050</v>
      </c>
      <c r="M224" s="117"/>
      <c r="N224" s="198">
        <v>-71970.02</v>
      </c>
      <c r="O224" s="117">
        <f t="shared" si="12"/>
        <v>-71970.02</v>
      </c>
      <c r="P224" s="50"/>
      <c r="Q224" s="96"/>
      <c r="R224" s="199" t="s">
        <v>609</v>
      </c>
      <c r="S224" s="197" t="s">
        <v>1050</v>
      </c>
      <c r="T224" s="117">
        <v>-28870.45</v>
      </c>
      <c r="U224" s="129">
        <v>-77402.990000000005</v>
      </c>
      <c r="V224" s="315">
        <v>-77402.990000000005</v>
      </c>
      <c r="AE224"/>
      <c r="AF224"/>
      <c r="AG224"/>
      <c r="AH224"/>
      <c r="AI224"/>
      <c r="AJ224"/>
      <c r="BA224" s="199" t="s">
        <v>609</v>
      </c>
      <c r="BB224" s="197" t="s">
        <v>1050</v>
      </c>
      <c r="BC224" s="77">
        <f t="shared" si="11"/>
        <v>0</v>
      </c>
      <c r="BE224" s="50" t="s">
        <v>609</v>
      </c>
      <c r="BF224" s="50" t="s">
        <v>1050</v>
      </c>
      <c r="BG224" s="376">
        <v>-74412.81</v>
      </c>
    </row>
    <row r="225" spans="1:59">
      <c r="A225" s="199" t="s">
        <v>611</v>
      </c>
      <c r="B225" s="197" t="s">
        <v>1051</v>
      </c>
      <c r="C225" s="324">
        <v>-386238.47</v>
      </c>
      <c r="D225" s="198">
        <v>-393673.27</v>
      </c>
      <c r="E225" s="198">
        <v>-444569.07</v>
      </c>
      <c r="F225" s="378">
        <v>-492145.03</v>
      </c>
      <c r="G225" s="128">
        <f t="shared" si="10"/>
        <v>-1716625.84</v>
      </c>
      <c r="I225" s="220"/>
      <c r="J225" s="221"/>
      <c r="K225" s="199" t="s">
        <v>611</v>
      </c>
      <c r="L225" s="197" t="s">
        <v>1051</v>
      </c>
      <c r="M225" s="117"/>
      <c r="N225" s="198">
        <v>-393673.27</v>
      </c>
      <c r="O225" s="117">
        <f t="shared" si="12"/>
        <v>-393673.27</v>
      </c>
      <c r="P225" s="50"/>
      <c r="Q225" s="96"/>
      <c r="R225" s="199" t="s">
        <v>611</v>
      </c>
      <c r="S225" s="197" t="s">
        <v>1051</v>
      </c>
      <c r="T225" s="117">
        <v>-225159.65</v>
      </c>
      <c r="U225" s="129">
        <v>-386238.47</v>
      </c>
      <c r="V225" s="315">
        <v>-386238.47</v>
      </c>
      <c r="AE225"/>
      <c r="AF225"/>
      <c r="AG225"/>
      <c r="AH225"/>
      <c r="AI225"/>
      <c r="AJ225"/>
      <c r="BA225" s="199" t="s">
        <v>611</v>
      </c>
      <c r="BB225" s="197" t="s">
        <v>1051</v>
      </c>
      <c r="BC225" s="77">
        <f t="shared" si="11"/>
        <v>0</v>
      </c>
      <c r="BE225" s="50" t="s">
        <v>611</v>
      </c>
      <c r="BF225" s="50" t="s">
        <v>1051</v>
      </c>
      <c r="BG225" s="376">
        <v>-492145.03</v>
      </c>
    </row>
    <row r="226" spans="1:59">
      <c r="A226" s="199" t="s">
        <v>613</v>
      </c>
      <c r="B226" s="197" t="s">
        <v>1052</v>
      </c>
      <c r="C226" s="324">
        <v>-369510.63</v>
      </c>
      <c r="D226" s="198">
        <v>-453375.61</v>
      </c>
      <c r="E226" s="198">
        <v>-394754.37</v>
      </c>
      <c r="F226" s="378">
        <v>-336968.26</v>
      </c>
      <c r="G226" s="128">
        <f t="shared" si="10"/>
        <v>-1554608.8699999999</v>
      </c>
      <c r="I226" s="220"/>
      <c r="J226" s="221"/>
      <c r="K226" s="199" t="s">
        <v>613</v>
      </c>
      <c r="L226" s="197" t="s">
        <v>1052</v>
      </c>
      <c r="M226" s="117"/>
      <c r="N226" s="198">
        <v>-453375.61</v>
      </c>
      <c r="O226" s="117">
        <f t="shared" si="12"/>
        <v>-453375.61</v>
      </c>
      <c r="P226" s="50"/>
      <c r="Q226" s="96"/>
      <c r="R226" s="199" t="s">
        <v>613</v>
      </c>
      <c r="S226" s="197" t="s">
        <v>1052</v>
      </c>
      <c r="T226" s="117">
        <v>-373369.14</v>
      </c>
      <c r="U226" s="129">
        <v>-369510.63</v>
      </c>
      <c r="V226" s="315">
        <v>-369510.63</v>
      </c>
      <c r="AE226"/>
      <c r="AF226"/>
      <c r="AG226"/>
      <c r="AH226"/>
      <c r="AI226"/>
      <c r="AJ226"/>
      <c r="BA226" s="199" t="s">
        <v>613</v>
      </c>
      <c r="BB226" s="197" t="s">
        <v>1052</v>
      </c>
      <c r="BC226" s="77">
        <f t="shared" si="11"/>
        <v>0</v>
      </c>
      <c r="BE226" s="50" t="s">
        <v>613</v>
      </c>
      <c r="BF226" s="50" t="s">
        <v>1052</v>
      </c>
      <c r="BG226" s="376">
        <v>-336968.26</v>
      </c>
    </row>
    <row r="227" spans="1:59">
      <c r="A227" s="199" t="s">
        <v>614</v>
      </c>
      <c r="B227" s="197" t="s">
        <v>1053</v>
      </c>
      <c r="C227" s="324">
        <v>-54432.800000000003</v>
      </c>
      <c r="D227" s="198">
        <v>-61775.81</v>
      </c>
      <c r="E227" s="198">
        <v>-88487.14</v>
      </c>
      <c r="F227" s="378">
        <v>-102007.91</v>
      </c>
      <c r="G227" s="128">
        <f t="shared" si="10"/>
        <v>-306703.66000000003</v>
      </c>
      <c r="I227" s="220"/>
      <c r="J227" s="221"/>
      <c r="K227" s="199" t="s">
        <v>614</v>
      </c>
      <c r="L227" s="197" t="s">
        <v>1053</v>
      </c>
      <c r="M227" s="117"/>
      <c r="N227" s="198">
        <v>-61775.81</v>
      </c>
      <c r="O227" s="117">
        <f t="shared" si="12"/>
        <v>-61775.81</v>
      </c>
      <c r="P227" s="50"/>
      <c r="Q227" s="96"/>
      <c r="R227" s="199" t="s">
        <v>614</v>
      </c>
      <c r="S227" s="197" t="s">
        <v>1053</v>
      </c>
      <c r="T227" s="117">
        <v>-54773.22</v>
      </c>
      <c r="U227" s="129">
        <v>-54432.800000000003</v>
      </c>
      <c r="V227" s="315">
        <v>-54432.800000000003</v>
      </c>
      <c r="AE227"/>
      <c r="AF227"/>
      <c r="AG227"/>
      <c r="AH227"/>
      <c r="AI227"/>
      <c r="AJ227"/>
      <c r="BA227" s="199" t="s">
        <v>614</v>
      </c>
      <c r="BB227" s="197" t="s">
        <v>1053</v>
      </c>
      <c r="BC227" s="77">
        <f t="shared" si="11"/>
        <v>0</v>
      </c>
      <c r="BE227" s="50" t="s">
        <v>614</v>
      </c>
      <c r="BF227" s="50" t="s">
        <v>1053</v>
      </c>
      <c r="BG227" s="376">
        <v>-102007.91</v>
      </c>
    </row>
    <row r="228" spans="1:59">
      <c r="A228" s="199" t="s">
        <v>616</v>
      </c>
      <c r="B228" s="197" t="s">
        <v>1054</v>
      </c>
      <c r="C228" s="324">
        <v>-132583.37</v>
      </c>
      <c r="D228" s="198">
        <v>-262458.28000000003</v>
      </c>
      <c r="E228" s="198">
        <v>-298057.03000000003</v>
      </c>
      <c r="F228" s="378">
        <v>-366324.28</v>
      </c>
      <c r="G228" s="128">
        <f t="shared" si="10"/>
        <v>-1059422.96</v>
      </c>
      <c r="I228" s="220"/>
      <c r="J228" s="221"/>
      <c r="K228" s="199" t="s">
        <v>616</v>
      </c>
      <c r="L228" s="197" t="s">
        <v>1054</v>
      </c>
      <c r="M228" s="117"/>
      <c r="N228" s="198">
        <v>-262458.28000000003</v>
      </c>
      <c r="O228" s="117">
        <f t="shared" si="12"/>
        <v>-262458.28000000003</v>
      </c>
      <c r="P228" s="50"/>
      <c r="Q228" s="96"/>
      <c r="R228" s="199" t="s">
        <v>616</v>
      </c>
      <c r="S228" s="197" t="s">
        <v>1054</v>
      </c>
      <c r="T228" s="117">
        <v>-36578.28</v>
      </c>
      <c r="U228" s="129">
        <v>-132583.37</v>
      </c>
      <c r="V228" s="315">
        <v>-132583.37</v>
      </c>
      <c r="AE228"/>
      <c r="AF228"/>
      <c r="AG228"/>
      <c r="AH228"/>
      <c r="AI228"/>
      <c r="AJ228"/>
      <c r="BA228" s="199" t="s">
        <v>616</v>
      </c>
      <c r="BB228" s="197" t="s">
        <v>1054</v>
      </c>
      <c r="BC228" s="77">
        <f t="shared" si="11"/>
        <v>0</v>
      </c>
      <c r="BE228" s="50" t="s">
        <v>616</v>
      </c>
      <c r="BF228" s="50" t="s">
        <v>1054</v>
      </c>
      <c r="BG228" s="376">
        <v>-366324.28</v>
      </c>
    </row>
    <row r="229" spans="1:59">
      <c r="A229" s="199" t="s">
        <v>617</v>
      </c>
      <c r="B229" s="197" t="s">
        <v>1055</v>
      </c>
      <c r="C229" s="329">
        <v>-132137.54999999999</v>
      </c>
      <c r="D229" s="198">
        <v>-144061.09</v>
      </c>
      <c r="E229" s="198">
        <v>-148922.69</v>
      </c>
      <c r="F229" s="378">
        <v>-148023.71</v>
      </c>
      <c r="G229" s="128">
        <f t="shared" si="10"/>
        <v>-573145.04</v>
      </c>
      <c r="I229" s="220"/>
      <c r="J229" s="222"/>
      <c r="K229" s="199" t="s">
        <v>617</v>
      </c>
      <c r="L229" s="197" t="s">
        <v>1055</v>
      </c>
      <c r="M229" s="117"/>
      <c r="N229" s="198">
        <v>-144061.09</v>
      </c>
      <c r="O229" s="117">
        <f t="shared" si="12"/>
        <v>-144061.09</v>
      </c>
      <c r="P229" s="50"/>
      <c r="Q229" s="91"/>
      <c r="R229" s="199" t="s">
        <v>617</v>
      </c>
      <c r="S229" s="197" t="s">
        <v>1055</v>
      </c>
      <c r="T229" s="117">
        <v>-153262.07</v>
      </c>
      <c r="U229" s="129">
        <v>-132137.54999999999</v>
      </c>
      <c r="V229" s="317">
        <v>-132137.54999999999</v>
      </c>
      <c r="AE229"/>
      <c r="AF229"/>
      <c r="AG229"/>
      <c r="AH229"/>
      <c r="AI229"/>
      <c r="AJ229"/>
      <c r="BA229" s="199" t="s">
        <v>617</v>
      </c>
      <c r="BB229" s="197" t="s">
        <v>1055</v>
      </c>
      <c r="BC229" s="77">
        <f t="shared" si="11"/>
        <v>0</v>
      </c>
      <c r="BE229" s="50" t="s">
        <v>617</v>
      </c>
      <c r="BF229" s="50" t="s">
        <v>1055</v>
      </c>
      <c r="BG229" s="376">
        <v>-148023.71</v>
      </c>
    </row>
    <row r="230" spans="1:59">
      <c r="A230" s="199" t="s">
        <v>619</v>
      </c>
      <c r="B230" s="197" t="s">
        <v>1056</v>
      </c>
      <c r="C230" s="329">
        <v>-63896.07</v>
      </c>
      <c r="D230" s="198">
        <v>-97484.54</v>
      </c>
      <c r="E230" s="198">
        <v>-103668.88</v>
      </c>
      <c r="F230" s="378">
        <v>-154892.89000000001</v>
      </c>
      <c r="G230" s="128">
        <f t="shared" si="10"/>
        <v>-419942.38</v>
      </c>
      <c r="I230" s="220"/>
      <c r="J230" s="222"/>
      <c r="K230" s="199" t="s">
        <v>619</v>
      </c>
      <c r="L230" s="197" t="s">
        <v>1056</v>
      </c>
      <c r="M230" s="117"/>
      <c r="N230" s="198">
        <v>-97484.54</v>
      </c>
      <c r="O230" s="117">
        <f t="shared" si="12"/>
        <v>-97484.54</v>
      </c>
      <c r="P230" s="50"/>
      <c r="Q230" s="91"/>
      <c r="R230" s="199" t="s">
        <v>619</v>
      </c>
      <c r="S230" s="197" t="s">
        <v>1056</v>
      </c>
      <c r="T230" s="117">
        <v>-67672.990000000005</v>
      </c>
      <c r="U230" s="129">
        <v>-63896.07</v>
      </c>
      <c r="V230" s="317">
        <v>-63896.07</v>
      </c>
      <c r="AE230"/>
      <c r="AF230"/>
      <c r="AG230"/>
      <c r="AH230"/>
      <c r="AI230"/>
      <c r="AJ230"/>
      <c r="BA230" s="199" t="s">
        <v>619</v>
      </c>
      <c r="BB230" s="197" t="s">
        <v>1056</v>
      </c>
      <c r="BC230" s="77">
        <f t="shared" si="11"/>
        <v>0</v>
      </c>
      <c r="BE230" s="50" t="s">
        <v>619</v>
      </c>
      <c r="BF230" s="50" t="s">
        <v>1056</v>
      </c>
      <c r="BG230" s="376">
        <v>-154892.89000000001</v>
      </c>
    </row>
    <row r="231" spans="1:59">
      <c r="A231" s="200" t="s">
        <v>1531</v>
      </c>
      <c r="B231" s="201" t="s">
        <v>1667</v>
      </c>
      <c r="C231" s="324">
        <v>0</v>
      </c>
      <c r="D231" s="202">
        <v>-28677.62</v>
      </c>
      <c r="E231" s="202">
        <v>-32764.1</v>
      </c>
      <c r="F231" s="378">
        <v>-8700.24</v>
      </c>
      <c r="G231" s="128">
        <f t="shared" si="10"/>
        <v>-70141.960000000006</v>
      </c>
      <c r="I231" s="220"/>
      <c r="J231" s="221"/>
      <c r="K231" s="200" t="s">
        <v>1531</v>
      </c>
      <c r="L231" s="201" t="s">
        <v>1667</v>
      </c>
      <c r="M231" s="117"/>
      <c r="N231" s="202">
        <v>-28677.62</v>
      </c>
      <c r="O231" s="117">
        <f t="shared" si="12"/>
        <v>-28677.62</v>
      </c>
      <c r="P231" s="50"/>
      <c r="Q231" s="96"/>
      <c r="R231" s="200" t="s">
        <v>1531</v>
      </c>
      <c r="S231" s="201" t="s">
        <v>1667</v>
      </c>
      <c r="T231" s="117">
        <v>0</v>
      </c>
      <c r="U231" s="129"/>
      <c r="V231" s="315">
        <v>0</v>
      </c>
      <c r="AE231"/>
      <c r="AF231"/>
      <c r="AG231"/>
      <c r="AH231"/>
      <c r="AI231"/>
      <c r="AJ231"/>
      <c r="BA231" s="200" t="s">
        <v>1531</v>
      </c>
      <c r="BB231" s="201" t="s">
        <v>1667</v>
      </c>
      <c r="BC231" s="77">
        <f t="shared" si="11"/>
        <v>0</v>
      </c>
      <c r="BE231" s="50" t="s">
        <v>1531</v>
      </c>
      <c r="BF231" s="50" t="s">
        <v>1667</v>
      </c>
      <c r="BG231" s="376">
        <v>-8700.24</v>
      </c>
    </row>
    <row r="232" spans="1:59">
      <c r="A232" s="200" t="s">
        <v>1480</v>
      </c>
      <c r="B232" s="201" t="s">
        <v>1668</v>
      </c>
      <c r="C232" s="324">
        <v>0</v>
      </c>
      <c r="D232" s="202">
        <v>15166.67</v>
      </c>
      <c r="E232" s="202">
        <v>-183430.26</v>
      </c>
      <c r="F232" s="378">
        <v>-39341.74</v>
      </c>
      <c r="G232" s="128">
        <f t="shared" si="10"/>
        <v>-207605.33</v>
      </c>
      <c r="I232" s="220"/>
      <c r="J232" s="221"/>
      <c r="K232" s="200" t="s">
        <v>1480</v>
      </c>
      <c r="L232" s="201" t="s">
        <v>1668</v>
      </c>
      <c r="M232" s="117">
        <v>0</v>
      </c>
      <c r="N232" s="202">
        <v>15166.67</v>
      </c>
      <c r="O232" s="117">
        <f t="shared" si="12"/>
        <v>15166.67</v>
      </c>
      <c r="P232" s="50"/>
      <c r="Q232" s="96"/>
      <c r="R232" s="200" t="s">
        <v>1480</v>
      </c>
      <c r="S232" s="201" t="s">
        <v>1668</v>
      </c>
      <c r="T232" s="117">
        <v>0</v>
      </c>
      <c r="U232" s="129"/>
      <c r="V232" s="315">
        <v>0</v>
      </c>
      <c r="AE232"/>
      <c r="AF232"/>
      <c r="AG232"/>
      <c r="AH232"/>
      <c r="AI232"/>
      <c r="AJ232"/>
      <c r="BA232" s="200" t="s">
        <v>1480</v>
      </c>
      <c r="BB232" s="201" t="s">
        <v>1668</v>
      </c>
      <c r="BC232" s="77">
        <f t="shared" si="11"/>
        <v>0</v>
      </c>
      <c r="BE232" s="50" t="s">
        <v>1480</v>
      </c>
      <c r="BF232" s="50" t="s">
        <v>1668</v>
      </c>
      <c r="BG232" s="376">
        <v>-39341.74</v>
      </c>
    </row>
    <row r="233" spans="1:59">
      <c r="A233" s="199" t="s">
        <v>621</v>
      </c>
      <c r="B233" s="197" t="s">
        <v>1057</v>
      </c>
      <c r="C233" s="324">
        <v>-64115.839999999997</v>
      </c>
      <c r="D233" s="198">
        <v>-49463.040000000001</v>
      </c>
      <c r="E233" s="198">
        <v>-62077.95</v>
      </c>
      <c r="F233" s="378">
        <v>-70214.52</v>
      </c>
      <c r="G233" s="128">
        <f t="shared" si="10"/>
        <v>-245871.35000000003</v>
      </c>
      <c r="I233" s="220"/>
      <c r="J233" s="221"/>
      <c r="K233" s="199" t="s">
        <v>621</v>
      </c>
      <c r="L233" s="197" t="s">
        <v>1057</v>
      </c>
      <c r="M233" s="117"/>
      <c r="N233" s="198">
        <v>-49463.040000000001</v>
      </c>
      <c r="O233" s="117">
        <f t="shared" si="12"/>
        <v>-49463.040000000001</v>
      </c>
      <c r="P233" s="50"/>
      <c r="Q233" s="96"/>
      <c r="R233" s="199" t="s">
        <v>621</v>
      </c>
      <c r="S233" s="197" t="s">
        <v>1057</v>
      </c>
      <c r="T233" s="117">
        <v>-64559.839999999997</v>
      </c>
      <c r="U233" s="129">
        <v>-64115.839999999997</v>
      </c>
      <c r="V233" s="315">
        <v>-64115.839999999997</v>
      </c>
      <c r="AE233"/>
      <c r="AF233"/>
      <c r="AG233"/>
      <c r="AH233"/>
      <c r="AI233"/>
      <c r="AJ233"/>
      <c r="BA233" s="199" t="s">
        <v>621</v>
      </c>
      <c r="BB233" s="197" t="s">
        <v>1057</v>
      </c>
      <c r="BC233" s="77">
        <f t="shared" si="11"/>
        <v>0</v>
      </c>
      <c r="BE233" s="50" t="s">
        <v>621</v>
      </c>
      <c r="BF233" s="50" t="s">
        <v>1057</v>
      </c>
      <c r="BG233" s="376">
        <v>-70214.52</v>
      </c>
    </row>
    <row r="234" spans="1:59">
      <c r="A234" s="199" t="s">
        <v>623</v>
      </c>
      <c r="B234" s="197" t="s">
        <v>1058</v>
      </c>
      <c r="C234" s="324">
        <v>-67269.34</v>
      </c>
      <c r="D234" s="198">
        <v>-75396.09</v>
      </c>
      <c r="E234" s="198">
        <v>-63801.46</v>
      </c>
      <c r="F234" s="378">
        <v>-72329.070000000007</v>
      </c>
      <c r="G234" s="128">
        <f t="shared" si="10"/>
        <v>-278795.95999999996</v>
      </c>
      <c r="I234" s="220"/>
      <c r="J234" s="221"/>
      <c r="K234" s="199" t="s">
        <v>623</v>
      </c>
      <c r="L234" s="197" t="s">
        <v>1058</v>
      </c>
      <c r="M234" s="117"/>
      <c r="N234" s="198">
        <v>-75396.09</v>
      </c>
      <c r="O234" s="117">
        <f t="shared" si="12"/>
        <v>-75396.09</v>
      </c>
      <c r="P234" s="50"/>
      <c r="Q234" s="96"/>
      <c r="R234" s="199" t="s">
        <v>623</v>
      </c>
      <c r="S234" s="197" t="s">
        <v>1058</v>
      </c>
      <c r="T234" s="117">
        <v>-43445.83</v>
      </c>
      <c r="U234" s="129">
        <v>-67269.34</v>
      </c>
      <c r="V234" s="315">
        <v>-67269.34</v>
      </c>
      <c r="AE234"/>
      <c r="AF234"/>
      <c r="AG234"/>
      <c r="AH234"/>
      <c r="AI234"/>
      <c r="AJ234"/>
      <c r="BA234" s="199" t="s">
        <v>623</v>
      </c>
      <c r="BB234" s="197" t="s">
        <v>1058</v>
      </c>
      <c r="BC234" s="77">
        <f t="shared" si="11"/>
        <v>0</v>
      </c>
      <c r="BE234" s="50" t="s">
        <v>623</v>
      </c>
      <c r="BF234" s="50" t="s">
        <v>1058</v>
      </c>
      <c r="BG234" s="376">
        <v>-72329.070000000007</v>
      </c>
    </row>
    <row r="235" spans="1:59">
      <c r="A235" s="199" t="s">
        <v>625</v>
      </c>
      <c r="B235" s="197" t="s">
        <v>1059</v>
      </c>
      <c r="C235" s="324">
        <v>-114241.78</v>
      </c>
      <c r="D235" s="198">
        <v>-139020.45000000001</v>
      </c>
      <c r="E235" s="198">
        <v>-143821.46</v>
      </c>
      <c r="F235" s="378">
        <v>-157126.20000000001</v>
      </c>
      <c r="G235" s="128">
        <f t="shared" si="10"/>
        <v>-554209.89</v>
      </c>
      <c r="I235" s="220"/>
      <c r="J235" s="221"/>
      <c r="K235" s="199" t="s">
        <v>625</v>
      </c>
      <c r="L235" s="197" t="s">
        <v>1059</v>
      </c>
      <c r="M235" s="117"/>
      <c r="N235" s="198">
        <v>-139020.45000000001</v>
      </c>
      <c r="O235" s="117">
        <f t="shared" si="12"/>
        <v>-139020.45000000001</v>
      </c>
      <c r="P235" s="50"/>
      <c r="Q235" s="96"/>
      <c r="R235" s="199" t="s">
        <v>625</v>
      </c>
      <c r="S235" s="197" t="s">
        <v>1059</v>
      </c>
      <c r="T235" s="117">
        <v>-137675.91</v>
      </c>
      <c r="U235" s="129">
        <v>-114241.78</v>
      </c>
      <c r="V235" s="315">
        <v>-114241.78</v>
      </c>
      <c r="AE235"/>
      <c r="AF235"/>
      <c r="AG235"/>
      <c r="AH235"/>
      <c r="AI235"/>
      <c r="AJ235"/>
      <c r="BA235" s="199" t="s">
        <v>625</v>
      </c>
      <c r="BB235" s="197" t="s">
        <v>1059</v>
      </c>
      <c r="BC235" s="77">
        <f t="shared" si="11"/>
        <v>0</v>
      </c>
      <c r="BE235" s="50" t="s">
        <v>625</v>
      </c>
      <c r="BF235" s="50" t="s">
        <v>1059</v>
      </c>
      <c r="BG235" s="376">
        <v>-157126.20000000001</v>
      </c>
    </row>
    <row r="236" spans="1:59">
      <c r="A236" s="199" t="s">
        <v>627</v>
      </c>
      <c r="B236" s="197" t="s">
        <v>1060</v>
      </c>
      <c r="C236" s="324">
        <v>-65429.37</v>
      </c>
      <c r="D236" s="198">
        <v>-62303.85</v>
      </c>
      <c r="E236" s="198">
        <v>-67196.679999999993</v>
      </c>
      <c r="F236" s="378">
        <v>-64905.78</v>
      </c>
      <c r="G236" s="128">
        <f t="shared" si="10"/>
        <v>-259835.68</v>
      </c>
      <c r="I236" s="220"/>
      <c r="J236" s="221"/>
      <c r="K236" s="199" t="s">
        <v>627</v>
      </c>
      <c r="L236" s="197" t="s">
        <v>1060</v>
      </c>
      <c r="M236" s="117"/>
      <c r="N236" s="198">
        <v>-62303.85</v>
      </c>
      <c r="O236" s="117">
        <f t="shared" si="12"/>
        <v>-62303.85</v>
      </c>
      <c r="P236" s="50"/>
      <c r="Q236" s="96"/>
      <c r="R236" s="199" t="s">
        <v>627</v>
      </c>
      <c r="S236" s="197" t="s">
        <v>1060</v>
      </c>
      <c r="T236" s="117">
        <v>-74940.89</v>
      </c>
      <c r="U236" s="129">
        <v>-65429.37</v>
      </c>
      <c r="V236" s="315">
        <v>-65429.37</v>
      </c>
      <c r="AE236"/>
      <c r="AF236"/>
      <c r="AG236"/>
      <c r="AH236"/>
      <c r="AI236"/>
      <c r="AJ236"/>
      <c r="BA236" s="199" t="s">
        <v>627</v>
      </c>
      <c r="BB236" s="197" t="s">
        <v>1060</v>
      </c>
      <c r="BC236" s="77">
        <f t="shared" si="11"/>
        <v>0</v>
      </c>
      <c r="BE236" s="50" t="s">
        <v>627</v>
      </c>
      <c r="BF236" s="50" t="s">
        <v>1060</v>
      </c>
      <c r="BG236" s="376">
        <v>-64905.78</v>
      </c>
    </row>
    <row r="237" spans="1:59">
      <c r="A237" s="199" t="s">
        <v>629</v>
      </c>
      <c r="B237" s="197" t="s">
        <v>1061</v>
      </c>
      <c r="C237" s="324">
        <v>-215401.49</v>
      </c>
      <c r="D237" s="198">
        <v>-264419.59000000003</v>
      </c>
      <c r="E237" s="198">
        <v>-214261.44</v>
      </c>
      <c r="F237" s="378">
        <v>-220506.52</v>
      </c>
      <c r="G237" s="128">
        <f t="shared" si="10"/>
        <v>-914589.04</v>
      </c>
      <c r="I237" s="220"/>
      <c r="J237" s="221"/>
      <c r="K237" s="199" t="s">
        <v>629</v>
      </c>
      <c r="L237" s="197" t="s">
        <v>1061</v>
      </c>
      <c r="M237" s="117"/>
      <c r="N237" s="198">
        <v>-264419.59000000003</v>
      </c>
      <c r="O237" s="117">
        <f t="shared" si="12"/>
        <v>-264419.59000000003</v>
      </c>
      <c r="P237" s="50"/>
      <c r="Q237" s="96"/>
      <c r="R237" s="199" t="s">
        <v>629</v>
      </c>
      <c r="S237" s="197" t="s">
        <v>1061</v>
      </c>
      <c r="T237" s="117">
        <v>-180980.72</v>
      </c>
      <c r="U237" s="129">
        <v>-215401.49</v>
      </c>
      <c r="V237" s="315">
        <v>-215401.49</v>
      </c>
      <c r="AE237"/>
      <c r="AF237"/>
      <c r="AG237"/>
      <c r="AH237"/>
      <c r="AI237"/>
      <c r="AJ237"/>
      <c r="BA237" s="199" t="s">
        <v>629</v>
      </c>
      <c r="BB237" s="197" t="s">
        <v>1061</v>
      </c>
      <c r="BC237" s="77">
        <f t="shared" si="11"/>
        <v>0</v>
      </c>
      <c r="BE237" s="50" t="s">
        <v>629</v>
      </c>
      <c r="BF237" s="50" t="s">
        <v>1061</v>
      </c>
      <c r="BG237" s="376">
        <v>-220506.52</v>
      </c>
    </row>
    <row r="238" spans="1:59">
      <c r="A238" s="199" t="s">
        <v>631</v>
      </c>
      <c r="B238" s="197" t="s">
        <v>1062</v>
      </c>
      <c r="C238" s="324">
        <v>-42809.57</v>
      </c>
      <c r="D238" s="198">
        <v>-98546.240000000005</v>
      </c>
      <c r="E238" s="198">
        <v>-67192.86</v>
      </c>
      <c r="F238" s="378">
        <v>-99125.35</v>
      </c>
      <c r="G238" s="128">
        <f t="shared" si="10"/>
        <v>-307674.02</v>
      </c>
      <c r="I238" s="220"/>
      <c r="J238" s="221"/>
      <c r="K238" s="199" t="s">
        <v>631</v>
      </c>
      <c r="L238" s="197" t="s">
        <v>1062</v>
      </c>
      <c r="M238" s="117"/>
      <c r="N238" s="198">
        <v>-98546.240000000005</v>
      </c>
      <c r="O238" s="117">
        <f t="shared" si="12"/>
        <v>-98546.240000000005</v>
      </c>
      <c r="P238" s="50"/>
      <c r="Q238" s="96"/>
      <c r="R238" s="199" t="s">
        <v>631</v>
      </c>
      <c r="S238" s="197" t="s">
        <v>1062</v>
      </c>
      <c r="T238" s="117">
        <v>-46299.64</v>
      </c>
      <c r="U238" s="129">
        <v>-42809.57</v>
      </c>
      <c r="V238" s="315">
        <v>-42809.57</v>
      </c>
      <c r="AE238"/>
      <c r="AF238"/>
      <c r="AG238"/>
      <c r="AH238"/>
      <c r="AI238"/>
      <c r="AJ238"/>
      <c r="BA238" s="199" t="s">
        <v>631</v>
      </c>
      <c r="BB238" s="197" t="s">
        <v>1062</v>
      </c>
      <c r="BC238" s="77">
        <f t="shared" si="11"/>
        <v>0</v>
      </c>
      <c r="BE238" s="50" t="s">
        <v>631</v>
      </c>
      <c r="BF238" s="50" t="s">
        <v>1062</v>
      </c>
      <c r="BG238" s="376">
        <v>-99125.35</v>
      </c>
    </row>
    <row r="239" spans="1:59">
      <c r="A239" s="199" t="s">
        <v>633</v>
      </c>
      <c r="B239" s="197" t="s">
        <v>1063</v>
      </c>
      <c r="C239" s="324">
        <v>-42066.31</v>
      </c>
      <c r="D239" s="198">
        <v>-37188.5</v>
      </c>
      <c r="E239" s="198">
        <v>-30867.66</v>
      </c>
      <c r="F239" s="378">
        <v>-37806.959999999999</v>
      </c>
      <c r="G239" s="128">
        <f t="shared" si="10"/>
        <v>-147929.43</v>
      </c>
      <c r="I239" s="220"/>
      <c r="J239" s="221"/>
      <c r="K239" s="199" t="s">
        <v>633</v>
      </c>
      <c r="L239" s="197" t="s">
        <v>1063</v>
      </c>
      <c r="M239" s="117"/>
      <c r="N239" s="198">
        <v>-37188.5</v>
      </c>
      <c r="O239" s="117">
        <f t="shared" si="12"/>
        <v>-37188.5</v>
      </c>
      <c r="P239" s="50"/>
      <c r="Q239" s="96"/>
      <c r="R239" s="199" t="s">
        <v>633</v>
      </c>
      <c r="S239" s="197" t="s">
        <v>1063</v>
      </c>
      <c r="T239" s="117">
        <v>-48859.85</v>
      </c>
      <c r="U239" s="129">
        <v>-42066.31</v>
      </c>
      <c r="V239" s="315">
        <v>-42066.31</v>
      </c>
      <c r="AE239"/>
      <c r="AF239"/>
      <c r="AG239"/>
      <c r="AH239"/>
      <c r="AI239"/>
      <c r="AJ239"/>
      <c r="BA239" s="199" t="s">
        <v>633</v>
      </c>
      <c r="BB239" s="197" t="s">
        <v>1063</v>
      </c>
      <c r="BC239" s="77">
        <f t="shared" si="11"/>
        <v>0</v>
      </c>
      <c r="BE239" s="50" t="s">
        <v>633</v>
      </c>
      <c r="BF239" s="50" t="s">
        <v>1063</v>
      </c>
      <c r="BG239" s="376">
        <v>-37806.959999999999</v>
      </c>
    </row>
    <row r="240" spans="1:59">
      <c r="A240" s="199" t="s">
        <v>635</v>
      </c>
      <c r="B240" s="197" t="s">
        <v>867</v>
      </c>
      <c r="C240" s="324">
        <v>-37849.49</v>
      </c>
      <c r="D240" s="198">
        <v>-41796.720000000001</v>
      </c>
      <c r="E240" s="198">
        <v>-27962.18</v>
      </c>
      <c r="F240" s="378">
        <v>-29030.95</v>
      </c>
      <c r="G240" s="128">
        <f t="shared" si="10"/>
        <v>-136639.34</v>
      </c>
      <c r="I240" s="220"/>
      <c r="J240" s="221"/>
      <c r="K240" s="199" t="s">
        <v>635</v>
      </c>
      <c r="L240" s="197" t="s">
        <v>867</v>
      </c>
      <c r="M240" s="117"/>
      <c r="N240" s="198">
        <v>-41796.720000000001</v>
      </c>
      <c r="O240" s="117">
        <f t="shared" si="12"/>
        <v>-41796.720000000001</v>
      </c>
      <c r="P240" s="50"/>
      <c r="Q240" s="96"/>
      <c r="R240" s="199" t="s">
        <v>635</v>
      </c>
      <c r="S240" s="197" t="s">
        <v>867</v>
      </c>
      <c r="T240" s="117">
        <v>-41729.11</v>
      </c>
      <c r="U240" s="129">
        <v>-37849.49</v>
      </c>
      <c r="V240" s="315">
        <v>-37849.49</v>
      </c>
      <c r="AE240"/>
      <c r="AF240"/>
      <c r="AG240"/>
      <c r="AH240"/>
      <c r="AI240"/>
      <c r="AJ240"/>
      <c r="BA240" s="199" t="s">
        <v>635</v>
      </c>
      <c r="BB240" s="197" t="s">
        <v>867</v>
      </c>
      <c r="BC240" s="77">
        <f t="shared" si="11"/>
        <v>0</v>
      </c>
      <c r="BE240" s="50" t="s">
        <v>635</v>
      </c>
      <c r="BF240" s="50" t="s">
        <v>867</v>
      </c>
      <c r="BG240" s="376">
        <v>-29030.95</v>
      </c>
    </row>
    <row r="241" spans="1:59">
      <c r="A241" s="199" t="s">
        <v>636</v>
      </c>
      <c r="B241" s="197" t="s">
        <v>1064</v>
      </c>
      <c r="C241" s="324">
        <v>-39456.080000000002</v>
      </c>
      <c r="D241" s="198">
        <v>-42105.41</v>
      </c>
      <c r="E241" s="198">
        <v>-63299.66</v>
      </c>
      <c r="F241" s="378">
        <v>-77022.33</v>
      </c>
      <c r="G241" s="128">
        <f t="shared" si="10"/>
        <v>-221883.48000000004</v>
      </c>
      <c r="I241" s="220"/>
      <c r="J241" s="221"/>
      <c r="K241" s="199" t="s">
        <v>636</v>
      </c>
      <c r="L241" s="197" t="s">
        <v>1064</v>
      </c>
      <c r="M241" s="117"/>
      <c r="N241" s="198">
        <v>-42105.41</v>
      </c>
      <c r="O241" s="117">
        <f t="shared" si="12"/>
        <v>-42105.41</v>
      </c>
      <c r="P241" s="50"/>
      <c r="Q241" s="96"/>
      <c r="R241" s="199" t="s">
        <v>636</v>
      </c>
      <c r="S241" s="197" t="s">
        <v>1064</v>
      </c>
      <c r="T241" s="117">
        <v>-57297.41</v>
      </c>
      <c r="U241" s="129">
        <v>-39456.080000000002</v>
      </c>
      <c r="V241" s="315">
        <v>-39456.080000000002</v>
      </c>
      <c r="AE241"/>
      <c r="AF241"/>
      <c r="AG241"/>
      <c r="AH241"/>
      <c r="AI241"/>
      <c r="AJ241"/>
      <c r="BA241" s="199" t="s">
        <v>636</v>
      </c>
      <c r="BB241" s="197" t="s">
        <v>1064</v>
      </c>
      <c r="BC241" s="77">
        <f t="shared" si="11"/>
        <v>0</v>
      </c>
      <c r="BE241" s="50" t="s">
        <v>636</v>
      </c>
      <c r="BF241" s="50" t="s">
        <v>1064</v>
      </c>
      <c r="BG241" s="376">
        <v>-77022.33</v>
      </c>
    </row>
    <row r="242" spans="1:59">
      <c r="A242" s="199" t="s">
        <v>637</v>
      </c>
      <c r="B242" s="197" t="s">
        <v>1065</v>
      </c>
      <c r="C242" s="324">
        <v>-168688.91</v>
      </c>
      <c r="D242" s="198">
        <v>184058.72</v>
      </c>
      <c r="E242" s="198">
        <v>-71601.56</v>
      </c>
      <c r="F242" s="378">
        <v>-59859.29</v>
      </c>
      <c r="G242" s="128">
        <f t="shared" si="10"/>
        <v>-116091.04000000001</v>
      </c>
      <c r="I242" s="220"/>
      <c r="J242" s="221"/>
      <c r="K242" s="199" t="s">
        <v>637</v>
      </c>
      <c r="L242" s="197" t="s">
        <v>1065</v>
      </c>
      <c r="M242" s="117">
        <f>+C242</f>
        <v>-168688.91</v>
      </c>
      <c r="N242" s="198">
        <v>184058.72</v>
      </c>
      <c r="O242" s="117">
        <f t="shared" si="12"/>
        <v>15369.809999999998</v>
      </c>
      <c r="P242" s="50"/>
      <c r="Q242" s="96"/>
      <c r="R242" s="199" t="s">
        <v>637</v>
      </c>
      <c r="S242" s="197" t="s">
        <v>1065</v>
      </c>
      <c r="T242" s="117">
        <v>-47066.41</v>
      </c>
      <c r="U242" s="129">
        <v>-168688.91</v>
      </c>
      <c r="V242" s="315">
        <v>-168688.91</v>
      </c>
      <c r="AE242"/>
      <c r="AF242"/>
      <c r="AG242"/>
      <c r="AH242"/>
      <c r="AI242"/>
      <c r="AJ242"/>
      <c r="BA242" s="199" t="s">
        <v>637</v>
      </c>
      <c r="BB242" s="197" t="s">
        <v>1065</v>
      </c>
      <c r="BC242" s="77">
        <f t="shared" si="11"/>
        <v>0</v>
      </c>
      <c r="BE242" s="50" t="s">
        <v>637</v>
      </c>
      <c r="BF242" s="50" t="s">
        <v>1065</v>
      </c>
      <c r="BG242" s="376">
        <v>-59859.29</v>
      </c>
    </row>
    <row r="243" spans="1:59">
      <c r="A243" s="199" t="s">
        <v>639</v>
      </c>
      <c r="B243" s="197" t="s">
        <v>1066</v>
      </c>
      <c r="C243" s="324">
        <v>-73736.479999999996</v>
      </c>
      <c r="D243" s="198">
        <v>-101000.38</v>
      </c>
      <c r="E243" s="198">
        <v>-90571.43</v>
      </c>
      <c r="F243" s="378">
        <v>-62664.49</v>
      </c>
      <c r="G243" s="128">
        <f t="shared" si="10"/>
        <v>-327972.77999999997</v>
      </c>
      <c r="I243" s="220"/>
      <c r="J243" s="221"/>
      <c r="K243" s="199" t="s">
        <v>639</v>
      </c>
      <c r="L243" s="197" t="s">
        <v>1066</v>
      </c>
      <c r="M243" s="117"/>
      <c r="N243" s="198">
        <v>-101000.38</v>
      </c>
      <c r="O243" s="117">
        <f t="shared" si="12"/>
        <v>-101000.38</v>
      </c>
      <c r="P243" s="50"/>
      <c r="Q243" s="96"/>
      <c r="R243" s="199" t="s">
        <v>639</v>
      </c>
      <c r="S243" s="197" t="s">
        <v>1066</v>
      </c>
      <c r="T243" s="117">
        <v>-60305.65</v>
      </c>
      <c r="U243" s="129">
        <v>-73736.479999999996</v>
      </c>
      <c r="V243" s="315">
        <v>-73736.479999999996</v>
      </c>
      <c r="AE243"/>
      <c r="AF243"/>
      <c r="AG243"/>
      <c r="AH243"/>
      <c r="AI243"/>
      <c r="AJ243"/>
      <c r="BA243" s="199" t="s">
        <v>639</v>
      </c>
      <c r="BB243" s="197" t="s">
        <v>1066</v>
      </c>
      <c r="BC243" s="77">
        <f t="shared" si="11"/>
        <v>0</v>
      </c>
      <c r="BE243" s="50" t="s">
        <v>639</v>
      </c>
      <c r="BF243" s="50" t="s">
        <v>1066</v>
      </c>
      <c r="BG243" s="376">
        <v>-62664.49</v>
      </c>
    </row>
    <row r="244" spans="1:59">
      <c r="A244" s="199" t="s">
        <v>641</v>
      </c>
      <c r="B244" s="197" t="s">
        <v>1067</v>
      </c>
      <c r="C244" s="324">
        <v>-21280.17</v>
      </c>
      <c r="D244" s="198">
        <v>-30077.33</v>
      </c>
      <c r="E244" s="198">
        <v>-36908.36</v>
      </c>
      <c r="F244" s="378">
        <v>-27992.16</v>
      </c>
      <c r="G244" s="128">
        <f t="shared" si="10"/>
        <v>-116258.02</v>
      </c>
      <c r="I244" s="220"/>
      <c r="J244" s="221"/>
      <c r="K244" s="199" t="s">
        <v>641</v>
      </c>
      <c r="L244" s="197" t="s">
        <v>1067</v>
      </c>
      <c r="M244" s="117"/>
      <c r="N244" s="198">
        <v>-30077.33</v>
      </c>
      <c r="O244" s="117">
        <f t="shared" si="12"/>
        <v>-30077.33</v>
      </c>
      <c r="P244" s="50"/>
      <c r="Q244" s="96"/>
      <c r="R244" s="199" t="s">
        <v>641</v>
      </c>
      <c r="S244" s="197" t="s">
        <v>1067</v>
      </c>
      <c r="T244" s="117">
        <v>-18898.53</v>
      </c>
      <c r="U244" s="129">
        <v>-21280.17</v>
      </c>
      <c r="V244" s="315">
        <v>-21280.17</v>
      </c>
      <c r="AE244"/>
      <c r="AF244"/>
      <c r="AG244"/>
      <c r="AH244"/>
      <c r="AI244"/>
      <c r="AJ244"/>
      <c r="BA244" s="199" t="s">
        <v>641</v>
      </c>
      <c r="BB244" s="197" t="s">
        <v>1067</v>
      </c>
      <c r="BC244" s="77">
        <f t="shared" si="11"/>
        <v>0</v>
      </c>
      <c r="BE244" s="50" t="s">
        <v>641</v>
      </c>
      <c r="BF244" s="50" t="s">
        <v>1067</v>
      </c>
      <c r="BG244" s="376">
        <v>-27992.16</v>
      </c>
    </row>
    <row r="245" spans="1:59">
      <c r="A245" s="199" t="s">
        <v>643</v>
      </c>
      <c r="B245" s="197" t="s">
        <v>1068</v>
      </c>
      <c r="C245" s="324">
        <v>-171636.37</v>
      </c>
      <c r="D245" s="198">
        <v>-220854.5</v>
      </c>
      <c r="E245" s="198">
        <v>-290936.3</v>
      </c>
      <c r="F245" s="378">
        <v>-333871.56</v>
      </c>
      <c r="G245" s="128">
        <f t="shared" si="10"/>
        <v>-1017298.73</v>
      </c>
      <c r="I245" s="220"/>
      <c r="J245" s="221"/>
      <c r="K245" s="199" t="s">
        <v>643</v>
      </c>
      <c r="L245" s="197" t="s">
        <v>1068</v>
      </c>
      <c r="M245" s="117"/>
      <c r="N245" s="198">
        <v>-220854.5</v>
      </c>
      <c r="O245" s="117">
        <f t="shared" si="12"/>
        <v>-220854.5</v>
      </c>
      <c r="P245" s="50"/>
      <c r="Q245" s="96"/>
      <c r="R245" s="199" t="s">
        <v>643</v>
      </c>
      <c r="S245" s="197" t="s">
        <v>1068</v>
      </c>
      <c r="T245" s="117">
        <v>-169043.5</v>
      </c>
      <c r="U245" s="129">
        <v>-171636.37</v>
      </c>
      <c r="V245" s="315">
        <v>-171636.37</v>
      </c>
      <c r="AE245"/>
      <c r="AF245"/>
      <c r="AG245"/>
      <c r="AH245"/>
      <c r="AI245"/>
      <c r="AJ245"/>
      <c r="BA245" s="199" t="s">
        <v>643</v>
      </c>
      <c r="BB245" s="197" t="s">
        <v>1068</v>
      </c>
      <c r="BC245" s="77">
        <f t="shared" si="11"/>
        <v>0</v>
      </c>
      <c r="BE245" s="50" t="s">
        <v>643</v>
      </c>
      <c r="BF245" s="50" t="s">
        <v>1068</v>
      </c>
      <c r="BG245" s="376">
        <v>-333871.56</v>
      </c>
    </row>
    <row r="246" spans="1:59">
      <c r="A246" s="199" t="s">
        <v>645</v>
      </c>
      <c r="B246" s="197" t="s">
        <v>1069</v>
      </c>
      <c r="C246" s="324">
        <v>-179121.49</v>
      </c>
      <c r="D246" s="198">
        <v>-597854.97</v>
      </c>
      <c r="E246" s="198">
        <v>-813246.72</v>
      </c>
      <c r="F246" s="378">
        <v>-948252.77</v>
      </c>
      <c r="G246" s="128">
        <f t="shared" si="10"/>
        <v>-2538475.9500000002</v>
      </c>
      <c r="I246" s="220"/>
      <c r="J246" s="221"/>
      <c r="K246" s="199" t="s">
        <v>645</v>
      </c>
      <c r="L246" s="197" t="s">
        <v>1069</v>
      </c>
      <c r="M246" s="117"/>
      <c r="N246" s="198">
        <v>-597854.97</v>
      </c>
      <c r="O246" s="117">
        <f t="shared" si="12"/>
        <v>-597854.97</v>
      </c>
      <c r="P246" s="50"/>
      <c r="Q246" s="96"/>
      <c r="R246" s="199" t="s">
        <v>645</v>
      </c>
      <c r="S246" s="197" t="s">
        <v>1069</v>
      </c>
      <c r="T246" s="117">
        <v>-129844.15</v>
      </c>
      <c r="U246" s="129">
        <v>-179121.49</v>
      </c>
      <c r="V246" s="315">
        <v>-179121.49</v>
      </c>
      <c r="AE246"/>
      <c r="AF246"/>
      <c r="AG246"/>
      <c r="AH246"/>
      <c r="AI246"/>
      <c r="AJ246"/>
      <c r="BA246" s="199" t="s">
        <v>645</v>
      </c>
      <c r="BB246" s="197" t="s">
        <v>1069</v>
      </c>
      <c r="BC246" s="77">
        <f t="shared" si="11"/>
        <v>0</v>
      </c>
      <c r="BE246" s="50" t="s">
        <v>645</v>
      </c>
      <c r="BF246" s="50" t="s">
        <v>1069</v>
      </c>
      <c r="BG246" s="376">
        <v>-948252.77</v>
      </c>
    </row>
    <row r="247" spans="1:59">
      <c r="A247" s="199" t="s">
        <v>647</v>
      </c>
      <c r="B247" s="197" t="s">
        <v>1070</v>
      </c>
      <c r="C247" s="324">
        <v>-243011.77</v>
      </c>
      <c r="D247" s="198">
        <v>-111390.87</v>
      </c>
      <c r="E247" s="198">
        <v>-246318.42</v>
      </c>
      <c r="F247" s="378">
        <v>-436194.46</v>
      </c>
      <c r="G247" s="128">
        <f t="shared" si="10"/>
        <v>-1036915.52</v>
      </c>
      <c r="I247" s="220"/>
      <c r="J247" s="221"/>
      <c r="K247" s="199" t="s">
        <v>647</v>
      </c>
      <c r="L247" s="197" t="s">
        <v>1070</v>
      </c>
      <c r="M247" s="117"/>
      <c r="N247" s="198">
        <v>-111390.87</v>
      </c>
      <c r="O247" s="117">
        <f t="shared" si="12"/>
        <v>-111390.87</v>
      </c>
      <c r="P247" s="50"/>
      <c r="Q247" s="96"/>
      <c r="R247" s="199" t="s">
        <v>647</v>
      </c>
      <c r="S247" s="197" t="s">
        <v>1070</v>
      </c>
      <c r="T247" s="117">
        <v>-240978.43</v>
      </c>
      <c r="U247" s="129">
        <v>-243011.77</v>
      </c>
      <c r="V247" s="315">
        <v>-243011.77</v>
      </c>
      <c r="AE247"/>
      <c r="AF247"/>
      <c r="AG247"/>
      <c r="AH247"/>
      <c r="AI247"/>
      <c r="AJ247"/>
      <c r="BA247" s="199" t="s">
        <v>647</v>
      </c>
      <c r="BB247" s="197" t="s">
        <v>1070</v>
      </c>
      <c r="BC247" s="77">
        <f t="shared" si="11"/>
        <v>0</v>
      </c>
      <c r="BE247" s="50" t="s">
        <v>647</v>
      </c>
      <c r="BF247" s="50" t="s">
        <v>1070</v>
      </c>
      <c r="BG247" s="376">
        <v>-436194.46</v>
      </c>
    </row>
    <row r="248" spans="1:59">
      <c r="A248" s="199" t="s">
        <v>649</v>
      </c>
      <c r="B248" s="197" t="s">
        <v>1071</v>
      </c>
      <c r="C248" s="324">
        <v>-363539.57</v>
      </c>
      <c r="D248" s="198">
        <v>-206569.79</v>
      </c>
      <c r="E248" s="198">
        <v>-398772.76</v>
      </c>
      <c r="F248" s="378">
        <v>-817479.6</v>
      </c>
      <c r="G248" s="128">
        <f t="shared" si="10"/>
        <v>-1786361.72</v>
      </c>
      <c r="I248" s="220"/>
      <c r="J248" s="221"/>
      <c r="K248" s="199" t="s">
        <v>649</v>
      </c>
      <c r="L248" s="197" t="s">
        <v>1071</v>
      </c>
      <c r="M248" s="117"/>
      <c r="N248" s="198">
        <v>-206569.79</v>
      </c>
      <c r="O248" s="117">
        <f t="shared" si="12"/>
        <v>-206569.79</v>
      </c>
      <c r="P248" s="50"/>
      <c r="Q248" s="96"/>
      <c r="R248" s="199" t="s">
        <v>649</v>
      </c>
      <c r="S248" s="197" t="s">
        <v>1071</v>
      </c>
      <c r="T248" s="117">
        <v>-319451.61</v>
      </c>
      <c r="U248" s="129">
        <v>-363539.57</v>
      </c>
      <c r="V248" s="315">
        <v>-363539.57</v>
      </c>
      <c r="AE248"/>
      <c r="AF248"/>
      <c r="AG248"/>
      <c r="AH248"/>
      <c r="AI248"/>
      <c r="AJ248"/>
      <c r="BA248" s="199" t="s">
        <v>649</v>
      </c>
      <c r="BB248" s="197" t="s">
        <v>1071</v>
      </c>
      <c r="BC248" s="77">
        <f t="shared" si="11"/>
        <v>0</v>
      </c>
      <c r="BE248" s="50" t="s">
        <v>649</v>
      </c>
      <c r="BF248" s="50" t="s">
        <v>1071</v>
      </c>
      <c r="BG248" s="376">
        <v>-817479.6</v>
      </c>
    </row>
    <row r="249" spans="1:59">
      <c r="A249" s="199" t="s">
        <v>651</v>
      </c>
      <c r="B249" s="197" t="s">
        <v>1072</v>
      </c>
      <c r="C249" s="324">
        <v>-103355.71</v>
      </c>
      <c r="D249" s="198">
        <v>-91106.91</v>
      </c>
      <c r="E249" s="198">
        <v>-104693.21</v>
      </c>
      <c r="F249" s="378">
        <v>-107183.94</v>
      </c>
      <c r="G249" s="128">
        <f t="shared" si="10"/>
        <v>-406339.77</v>
      </c>
      <c r="I249" s="220"/>
      <c r="J249" s="221"/>
      <c r="K249" s="199" t="s">
        <v>651</v>
      </c>
      <c r="L249" s="197" t="s">
        <v>1072</v>
      </c>
      <c r="M249" s="117"/>
      <c r="N249" s="198">
        <v>-91106.91</v>
      </c>
      <c r="O249" s="117">
        <f t="shared" si="12"/>
        <v>-91106.91</v>
      </c>
      <c r="P249" s="50"/>
      <c r="Q249" s="96"/>
      <c r="R249" s="199" t="s">
        <v>651</v>
      </c>
      <c r="S249" s="197" t="s">
        <v>1072</v>
      </c>
      <c r="T249" s="117">
        <v>-100725.81</v>
      </c>
      <c r="U249" s="129">
        <v>-103355.71</v>
      </c>
      <c r="V249" s="315">
        <v>-103355.71</v>
      </c>
      <c r="AE249"/>
      <c r="AF249"/>
      <c r="AG249"/>
      <c r="AH249"/>
      <c r="AI249"/>
      <c r="AJ249"/>
      <c r="BA249" s="199" t="s">
        <v>651</v>
      </c>
      <c r="BB249" s="197" t="s">
        <v>1072</v>
      </c>
      <c r="BC249" s="77">
        <f t="shared" si="11"/>
        <v>0</v>
      </c>
      <c r="BE249" s="50" t="s">
        <v>651</v>
      </c>
      <c r="BF249" s="50" t="s">
        <v>1072</v>
      </c>
      <c r="BG249" s="376">
        <v>-107183.94</v>
      </c>
    </row>
    <row r="250" spans="1:59">
      <c r="A250" s="199" t="s">
        <v>653</v>
      </c>
      <c r="B250" s="197" t="s">
        <v>1073</v>
      </c>
      <c r="C250" s="324">
        <v>-42593.23</v>
      </c>
      <c r="D250" s="198">
        <v>-62832.160000000003</v>
      </c>
      <c r="E250" s="198">
        <v>-33272.94</v>
      </c>
      <c r="F250" s="378">
        <v>-20949.53</v>
      </c>
      <c r="G250" s="128">
        <f t="shared" si="10"/>
        <v>-159647.86000000002</v>
      </c>
      <c r="I250" s="220"/>
      <c r="J250" s="221"/>
      <c r="K250" s="199" t="s">
        <v>653</v>
      </c>
      <c r="L250" s="197" t="s">
        <v>1073</v>
      </c>
      <c r="M250" s="117"/>
      <c r="N250" s="198">
        <v>-62832.160000000003</v>
      </c>
      <c r="O250" s="117">
        <f t="shared" si="12"/>
        <v>-62832.160000000003</v>
      </c>
      <c r="P250" s="50"/>
      <c r="Q250" s="96"/>
      <c r="R250" s="199" t="s">
        <v>653</v>
      </c>
      <c r="S250" s="197" t="s">
        <v>1073</v>
      </c>
      <c r="T250" s="117">
        <v>-33634.25</v>
      </c>
      <c r="U250" s="129">
        <v>-42593.23</v>
      </c>
      <c r="V250" s="315">
        <v>-42593.23</v>
      </c>
      <c r="AE250"/>
      <c r="AF250"/>
      <c r="AG250"/>
      <c r="AH250"/>
      <c r="AI250"/>
      <c r="AJ250"/>
      <c r="BA250" s="199" t="s">
        <v>653</v>
      </c>
      <c r="BB250" s="197" t="s">
        <v>1073</v>
      </c>
      <c r="BC250" s="77">
        <f t="shared" si="11"/>
        <v>0</v>
      </c>
      <c r="BE250" s="50" t="s">
        <v>653</v>
      </c>
      <c r="BF250" s="50" t="s">
        <v>1073</v>
      </c>
      <c r="BG250" s="376">
        <v>-20949.53</v>
      </c>
    </row>
    <row r="251" spans="1:59">
      <c r="A251" s="199" t="s">
        <v>655</v>
      </c>
      <c r="B251" s="197" t="s">
        <v>1074</v>
      </c>
      <c r="C251" s="324">
        <v>-41933.879999999997</v>
      </c>
      <c r="D251" s="198">
        <v>-33223.839999999997</v>
      </c>
      <c r="E251" s="198">
        <v>-120665.21</v>
      </c>
      <c r="F251" s="378">
        <v>-100051.23</v>
      </c>
      <c r="G251" s="128">
        <f t="shared" si="10"/>
        <v>-295874.15999999997</v>
      </c>
      <c r="I251" s="220"/>
      <c r="J251" s="221"/>
      <c r="K251" s="199" t="s">
        <v>655</v>
      </c>
      <c r="L251" s="197" t="s">
        <v>1074</v>
      </c>
      <c r="M251" s="117"/>
      <c r="N251" s="198">
        <v>-33223.839999999997</v>
      </c>
      <c r="O251" s="117">
        <f t="shared" si="12"/>
        <v>-33223.839999999997</v>
      </c>
      <c r="P251" s="50"/>
      <c r="Q251" s="96"/>
      <c r="R251" s="199" t="s">
        <v>655</v>
      </c>
      <c r="S251" s="197" t="s">
        <v>1074</v>
      </c>
      <c r="T251" s="117">
        <v>-55799.95</v>
      </c>
      <c r="U251" s="129">
        <v>-41933.879999999997</v>
      </c>
      <c r="V251" s="315">
        <v>-41933.879999999997</v>
      </c>
      <c r="AE251"/>
      <c r="AF251"/>
      <c r="AG251"/>
      <c r="AH251"/>
      <c r="AI251"/>
      <c r="AJ251"/>
      <c r="BA251" s="199" t="s">
        <v>655</v>
      </c>
      <c r="BB251" s="197" t="s">
        <v>1074</v>
      </c>
      <c r="BC251" s="77">
        <f t="shared" si="11"/>
        <v>0</v>
      </c>
      <c r="BE251" s="50" t="s">
        <v>655</v>
      </c>
      <c r="BF251" s="50" t="s">
        <v>1074</v>
      </c>
      <c r="BG251" s="376">
        <v>-100051.23</v>
      </c>
    </row>
    <row r="252" spans="1:59">
      <c r="A252" s="199" t="s">
        <v>657</v>
      </c>
      <c r="B252" s="197" t="s">
        <v>1075</v>
      </c>
      <c r="C252" s="324">
        <v>-246076.99</v>
      </c>
      <c r="D252" s="198">
        <v>-170715.22</v>
      </c>
      <c r="E252" s="198">
        <v>-219740.31</v>
      </c>
      <c r="F252" s="378">
        <v>-210611.73</v>
      </c>
      <c r="G252" s="128">
        <f t="shared" si="10"/>
        <v>-847144.25</v>
      </c>
      <c r="I252" s="220"/>
      <c r="J252" s="221"/>
      <c r="K252" s="199" t="s">
        <v>657</v>
      </c>
      <c r="L252" s="197" t="s">
        <v>1075</v>
      </c>
      <c r="M252" s="117"/>
      <c r="N252" s="198">
        <v>-170715.22</v>
      </c>
      <c r="O252" s="117">
        <f t="shared" si="12"/>
        <v>-170715.22</v>
      </c>
      <c r="P252" s="50"/>
      <c r="Q252" s="96"/>
      <c r="R252" s="199" t="s">
        <v>657</v>
      </c>
      <c r="S252" s="197" t="s">
        <v>1075</v>
      </c>
      <c r="T252" s="117">
        <v>-147595.94</v>
      </c>
      <c r="U252" s="129">
        <v>-246076.99</v>
      </c>
      <c r="V252" s="315">
        <v>-246076.99</v>
      </c>
      <c r="AE252"/>
      <c r="AF252"/>
      <c r="AG252"/>
      <c r="AH252"/>
      <c r="AI252"/>
      <c r="AJ252"/>
      <c r="BA252" s="199" t="s">
        <v>657</v>
      </c>
      <c r="BB252" s="197" t="s">
        <v>1075</v>
      </c>
      <c r="BC252" s="77">
        <f t="shared" si="11"/>
        <v>0</v>
      </c>
      <c r="BE252" s="50" t="s">
        <v>657</v>
      </c>
      <c r="BF252" s="50" t="s">
        <v>1075</v>
      </c>
      <c r="BG252" s="376">
        <v>-210611.73</v>
      </c>
    </row>
    <row r="253" spans="1:59">
      <c r="A253" s="199" t="s">
        <v>659</v>
      </c>
      <c r="B253" s="197" t="s">
        <v>1076</v>
      </c>
      <c r="C253" s="324">
        <v>-66101.63</v>
      </c>
      <c r="D253" s="198">
        <v>-75510.850000000006</v>
      </c>
      <c r="E253" s="198">
        <v>-69072.09</v>
      </c>
      <c r="F253" s="378">
        <v>-96131.520000000004</v>
      </c>
      <c r="G253" s="128">
        <f t="shared" si="10"/>
        <v>-306816.09000000003</v>
      </c>
      <c r="I253" s="220"/>
      <c r="J253" s="221"/>
      <c r="K253" s="199" t="s">
        <v>659</v>
      </c>
      <c r="L253" s="197" t="s">
        <v>1076</v>
      </c>
      <c r="M253" s="117"/>
      <c r="N253" s="198">
        <v>-75510.850000000006</v>
      </c>
      <c r="O253" s="117">
        <f t="shared" si="12"/>
        <v>-75510.850000000006</v>
      </c>
      <c r="P253" s="50"/>
      <c r="Q253" s="96"/>
      <c r="R253" s="199" t="s">
        <v>659</v>
      </c>
      <c r="S253" s="197" t="s">
        <v>1076</v>
      </c>
      <c r="T253" s="117">
        <v>-52906.31</v>
      </c>
      <c r="U253" s="129">
        <v>-66101.63</v>
      </c>
      <c r="V253" s="315">
        <v>-66101.63</v>
      </c>
      <c r="AE253"/>
      <c r="AF253"/>
      <c r="AG253"/>
      <c r="AH253"/>
      <c r="AI253"/>
      <c r="AJ253"/>
      <c r="BA253" s="199" t="s">
        <v>659</v>
      </c>
      <c r="BB253" s="197" t="s">
        <v>1076</v>
      </c>
      <c r="BC253" s="77">
        <f t="shared" si="11"/>
        <v>0</v>
      </c>
      <c r="BE253" s="50" t="s">
        <v>659</v>
      </c>
      <c r="BF253" s="50" t="s">
        <v>1076</v>
      </c>
      <c r="BG253" s="376">
        <v>-96131.520000000004</v>
      </c>
    </row>
    <row r="254" spans="1:59">
      <c r="A254" s="199" t="s">
        <v>661</v>
      </c>
      <c r="B254" s="197" t="s">
        <v>1077</v>
      </c>
      <c r="C254" s="324">
        <v>-53993.88</v>
      </c>
      <c r="D254" s="198">
        <v>-57359.13</v>
      </c>
      <c r="E254" s="198">
        <v>-39579.33</v>
      </c>
      <c r="F254" s="378">
        <v>-46693.15</v>
      </c>
      <c r="G254" s="128">
        <f t="shared" si="10"/>
        <v>-197625.49</v>
      </c>
      <c r="I254" s="220"/>
      <c r="J254" s="221"/>
      <c r="K254" s="199" t="s">
        <v>661</v>
      </c>
      <c r="L254" s="197" t="s">
        <v>1077</v>
      </c>
      <c r="M254" s="117"/>
      <c r="N254" s="198">
        <v>-57359.13</v>
      </c>
      <c r="O254" s="117">
        <f t="shared" si="12"/>
        <v>-57359.13</v>
      </c>
      <c r="P254" s="50"/>
      <c r="Q254" s="96"/>
      <c r="R254" s="199" t="s">
        <v>661</v>
      </c>
      <c r="S254" s="197" t="s">
        <v>1077</v>
      </c>
      <c r="T254" s="117">
        <v>-45764.23</v>
      </c>
      <c r="U254" s="129">
        <v>-53993.88</v>
      </c>
      <c r="V254" s="315">
        <v>-53993.88</v>
      </c>
      <c r="AE254"/>
      <c r="AF254"/>
      <c r="AG254"/>
      <c r="AH254"/>
      <c r="AI254"/>
      <c r="AJ254"/>
      <c r="BA254" s="199" t="s">
        <v>661</v>
      </c>
      <c r="BB254" s="197" t="s">
        <v>1077</v>
      </c>
      <c r="BC254" s="77">
        <f t="shared" si="11"/>
        <v>0</v>
      </c>
      <c r="BE254" s="50" t="s">
        <v>661</v>
      </c>
      <c r="BF254" s="50" t="s">
        <v>1077</v>
      </c>
      <c r="BG254" s="376">
        <v>-46693.15</v>
      </c>
    </row>
    <row r="255" spans="1:59">
      <c r="A255" s="199" t="s">
        <v>663</v>
      </c>
      <c r="B255" s="197" t="s">
        <v>1078</v>
      </c>
      <c r="C255" s="324">
        <v>-289139.84999999998</v>
      </c>
      <c r="D255" s="198">
        <v>-456615.36</v>
      </c>
      <c r="E255" s="198">
        <v>-646750.92000000004</v>
      </c>
      <c r="F255" s="378">
        <v>-677793.68</v>
      </c>
      <c r="G255" s="128">
        <f t="shared" si="10"/>
        <v>-2070299.81</v>
      </c>
      <c r="I255" s="220"/>
      <c r="J255" s="221"/>
      <c r="K255" s="199" t="s">
        <v>663</v>
      </c>
      <c r="L255" s="197" t="s">
        <v>1078</v>
      </c>
      <c r="M255" s="117"/>
      <c r="N255" s="198">
        <v>-456615.36</v>
      </c>
      <c r="O255" s="117">
        <f t="shared" si="12"/>
        <v>-456615.36</v>
      </c>
      <c r="P255" s="50"/>
      <c r="Q255" s="96"/>
      <c r="R255" s="199" t="s">
        <v>663</v>
      </c>
      <c r="S255" s="197" t="s">
        <v>1078</v>
      </c>
      <c r="T255" s="117">
        <v>-191110.23</v>
      </c>
      <c r="U255" s="129">
        <v>-289139.84999999998</v>
      </c>
      <c r="V255" s="315">
        <v>-289139.84999999998</v>
      </c>
      <c r="AE255"/>
      <c r="AF255"/>
      <c r="AG255"/>
      <c r="AH255"/>
      <c r="AI255"/>
      <c r="AJ255"/>
      <c r="BA255" s="199" t="s">
        <v>663</v>
      </c>
      <c r="BB255" s="197" t="s">
        <v>1078</v>
      </c>
      <c r="BC255" s="77">
        <f t="shared" si="11"/>
        <v>0</v>
      </c>
      <c r="BE255" s="50" t="s">
        <v>663</v>
      </c>
      <c r="BF255" s="50" t="s">
        <v>1078</v>
      </c>
      <c r="BG255" s="376">
        <v>-677793.68</v>
      </c>
    </row>
    <row r="256" spans="1:59">
      <c r="A256" s="199" t="s">
        <v>665</v>
      </c>
      <c r="B256" s="197" t="s">
        <v>1079</v>
      </c>
      <c r="C256" s="326">
        <v>-33637.68</v>
      </c>
      <c r="D256" s="198">
        <v>-33315.68</v>
      </c>
      <c r="E256" s="198">
        <v>-238601.07</v>
      </c>
      <c r="F256" s="378">
        <v>-113057.34</v>
      </c>
      <c r="G256" s="128">
        <f t="shared" si="10"/>
        <v>-418611.77</v>
      </c>
      <c r="I256" s="220"/>
      <c r="J256" s="221"/>
      <c r="K256" s="199" t="s">
        <v>665</v>
      </c>
      <c r="L256" s="197" t="s">
        <v>1079</v>
      </c>
      <c r="M256" s="117"/>
      <c r="N256" s="198">
        <v>-33315.68</v>
      </c>
      <c r="O256" s="118">
        <f t="shared" si="12"/>
        <v>-33315.68</v>
      </c>
      <c r="P256" s="50"/>
      <c r="Q256" s="96"/>
      <c r="R256" s="199" t="s">
        <v>665</v>
      </c>
      <c r="S256" s="197" t="s">
        <v>1079</v>
      </c>
      <c r="T256" s="117">
        <v>-2246.5300000000061</v>
      </c>
      <c r="U256" s="129">
        <v>-33637.68</v>
      </c>
      <c r="V256" s="320">
        <v>-33637.68</v>
      </c>
      <c r="AE256"/>
      <c r="AF256"/>
      <c r="AG256"/>
      <c r="AH256"/>
      <c r="AI256"/>
      <c r="AJ256"/>
      <c r="BA256" s="199" t="s">
        <v>665</v>
      </c>
      <c r="BB256" s="197" t="s">
        <v>1079</v>
      </c>
      <c r="BC256" s="77">
        <f t="shared" si="11"/>
        <v>0</v>
      </c>
      <c r="BE256" s="50" t="s">
        <v>665</v>
      </c>
      <c r="BF256" s="50" t="s">
        <v>1079</v>
      </c>
      <c r="BG256" s="376">
        <v>-113057.34</v>
      </c>
    </row>
    <row r="257" spans="1:59">
      <c r="A257" s="199" t="s">
        <v>667</v>
      </c>
      <c r="B257" s="197" t="s">
        <v>1080</v>
      </c>
      <c r="C257" s="324">
        <v>-118434.63</v>
      </c>
      <c r="D257" s="198">
        <v>-110570.92</v>
      </c>
      <c r="E257" s="198">
        <v>-126587.92</v>
      </c>
      <c r="F257" s="378">
        <v>-136460.13</v>
      </c>
      <c r="G257" s="128">
        <f t="shared" si="10"/>
        <v>-492053.6</v>
      </c>
      <c r="I257" s="220"/>
      <c r="J257" s="221"/>
      <c r="K257" s="199" t="s">
        <v>667</v>
      </c>
      <c r="L257" s="197" t="s">
        <v>1080</v>
      </c>
      <c r="M257" s="117"/>
      <c r="N257" s="198">
        <v>-110570.92</v>
      </c>
      <c r="O257" s="117">
        <f t="shared" si="12"/>
        <v>-110570.92</v>
      </c>
      <c r="P257" s="50"/>
      <c r="Q257" s="96"/>
      <c r="R257" s="199" t="s">
        <v>667</v>
      </c>
      <c r="S257" s="197" t="s">
        <v>1080</v>
      </c>
      <c r="T257" s="117">
        <v>-103000.06</v>
      </c>
      <c r="U257" s="129">
        <v>-118434.63</v>
      </c>
      <c r="V257" s="315">
        <v>-118434.63</v>
      </c>
      <c r="AE257"/>
      <c r="AF257"/>
      <c r="AG257"/>
      <c r="AH257"/>
      <c r="AI257"/>
      <c r="AJ257"/>
      <c r="BA257" s="199" t="s">
        <v>667</v>
      </c>
      <c r="BB257" s="197" t="s">
        <v>1080</v>
      </c>
      <c r="BC257" s="77">
        <f t="shared" si="11"/>
        <v>0</v>
      </c>
      <c r="BE257" s="50" t="s">
        <v>667</v>
      </c>
      <c r="BF257" s="50" t="s">
        <v>1080</v>
      </c>
      <c r="BG257" s="376">
        <v>-136460.13</v>
      </c>
    </row>
    <row r="258" spans="1:59">
      <c r="A258" s="199" t="s">
        <v>669</v>
      </c>
      <c r="B258" s="197" t="s">
        <v>1064</v>
      </c>
      <c r="C258" s="324">
        <v>-113207.51</v>
      </c>
      <c r="D258" s="198">
        <v>-130766.49</v>
      </c>
      <c r="E258" s="198">
        <v>-142145.34</v>
      </c>
      <c r="F258" s="378">
        <v>-126911.63</v>
      </c>
      <c r="G258" s="128">
        <f t="shared" si="10"/>
        <v>-513030.97</v>
      </c>
      <c r="I258" s="220"/>
      <c r="J258" s="221"/>
      <c r="K258" s="199" t="s">
        <v>669</v>
      </c>
      <c r="L258" s="197" t="s">
        <v>1064</v>
      </c>
      <c r="M258" s="117"/>
      <c r="N258" s="198">
        <v>-130766.49</v>
      </c>
      <c r="O258" s="117">
        <f t="shared" si="12"/>
        <v>-130766.49</v>
      </c>
      <c r="P258" s="50"/>
      <c r="Q258" s="96"/>
      <c r="R258" s="199" t="s">
        <v>669</v>
      </c>
      <c r="S258" s="197" t="s">
        <v>1064</v>
      </c>
      <c r="T258" s="117">
        <v>-89959.51</v>
      </c>
      <c r="U258" s="129">
        <v>-113207.51</v>
      </c>
      <c r="V258" s="315">
        <v>-113207.51</v>
      </c>
      <c r="AE258"/>
      <c r="AF258"/>
      <c r="AG258"/>
      <c r="AH258"/>
      <c r="AI258"/>
      <c r="AJ258"/>
      <c r="BA258" s="199" t="s">
        <v>669</v>
      </c>
      <c r="BB258" s="197" t="s">
        <v>1064</v>
      </c>
      <c r="BC258" s="77">
        <f t="shared" si="11"/>
        <v>0</v>
      </c>
      <c r="BE258" s="50" t="s">
        <v>669</v>
      </c>
      <c r="BF258" s="50" t="s">
        <v>1064</v>
      </c>
      <c r="BG258" s="376">
        <v>-126911.63</v>
      </c>
    </row>
    <row r="259" spans="1:59">
      <c r="A259" s="199" t="s">
        <v>670</v>
      </c>
      <c r="B259" s="197" t="s">
        <v>1081</v>
      </c>
      <c r="C259" s="324">
        <v>-92209.7</v>
      </c>
      <c r="D259" s="198">
        <v>-94406.56</v>
      </c>
      <c r="E259" s="198">
        <v>-68417</v>
      </c>
      <c r="F259" s="378">
        <v>-124254.59</v>
      </c>
      <c r="G259" s="128">
        <f t="shared" ref="G259:G294" si="13">SUM(C259:F259)</f>
        <v>-379287.85</v>
      </c>
      <c r="I259" s="220"/>
      <c r="J259" s="221"/>
      <c r="K259" s="199" t="s">
        <v>670</v>
      </c>
      <c r="L259" s="197" t="s">
        <v>1081</v>
      </c>
      <c r="M259" s="117"/>
      <c r="N259" s="198">
        <v>-94406.56</v>
      </c>
      <c r="O259" s="117">
        <f t="shared" si="12"/>
        <v>-94406.56</v>
      </c>
      <c r="P259" s="50"/>
      <c r="Q259" s="96"/>
      <c r="R259" s="199" t="s">
        <v>670</v>
      </c>
      <c r="S259" s="197" t="s">
        <v>1081</v>
      </c>
      <c r="T259" s="117">
        <v>-65905.02</v>
      </c>
      <c r="U259" s="129">
        <v>-92209.7</v>
      </c>
      <c r="V259" s="315">
        <v>-92209.7</v>
      </c>
      <c r="AE259"/>
      <c r="AF259"/>
      <c r="AG259"/>
      <c r="AH259"/>
      <c r="AI259"/>
      <c r="AJ259"/>
      <c r="BA259" s="199" t="s">
        <v>670</v>
      </c>
      <c r="BB259" s="197" t="s">
        <v>1081</v>
      </c>
      <c r="BC259" s="77">
        <f t="shared" si="11"/>
        <v>0</v>
      </c>
      <c r="BE259" s="50" t="s">
        <v>670</v>
      </c>
      <c r="BF259" s="50" t="s">
        <v>1081</v>
      </c>
      <c r="BG259" s="376">
        <v>-124254.59</v>
      </c>
    </row>
    <row r="260" spans="1:59">
      <c r="A260" s="199" t="s">
        <v>672</v>
      </c>
      <c r="B260" s="197" t="s">
        <v>1082</v>
      </c>
      <c r="C260" s="324">
        <v>-122792.22</v>
      </c>
      <c r="D260" s="198">
        <v>-127820.29</v>
      </c>
      <c r="E260" s="198">
        <v>-45021.43</v>
      </c>
      <c r="F260" s="378">
        <v>-68982.36</v>
      </c>
      <c r="G260" s="128">
        <f t="shared" si="13"/>
        <v>-364616.3</v>
      </c>
      <c r="I260" s="220"/>
      <c r="J260" s="221"/>
      <c r="K260" s="199" t="s">
        <v>672</v>
      </c>
      <c r="L260" s="197" t="s">
        <v>1082</v>
      </c>
      <c r="M260" s="117"/>
      <c r="N260" s="198">
        <v>-127820.29</v>
      </c>
      <c r="O260" s="117">
        <f t="shared" si="12"/>
        <v>-127820.29</v>
      </c>
      <c r="P260" s="50"/>
      <c r="Q260" s="96"/>
      <c r="R260" s="199" t="s">
        <v>672</v>
      </c>
      <c r="S260" s="197" t="s">
        <v>1082</v>
      </c>
      <c r="T260" s="117">
        <v>-111065.8</v>
      </c>
      <c r="U260" s="129">
        <v>-122792.22</v>
      </c>
      <c r="V260" s="315">
        <v>-122792.22</v>
      </c>
      <c r="AE260"/>
      <c r="AF260"/>
      <c r="AG260"/>
      <c r="AH260"/>
      <c r="AI260"/>
      <c r="AJ260"/>
      <c r="BA260" s="199" t="s">
        <v>672</v>
      </c>
      <c r="BB260" s="197" t="s">
        <v>1082</v>
      </c>
      <c r="BC260" s="77">
        <f t="shared" ref="BC260:BC294" si="14">+BE260-BA260</f>
        <v>0</v>
      </c>
      <c r="BE260" s="50" t="s">
        <v>672</v>
      </c>
      <c r="BF260" s="50" t="s">
        <v>1082</v>
      </c>
      <c r="BG260" s="376">
        <v>-68982.36</v>
      </c>
    </row>
    <row r="261" spans="1:59" s="77" customFormat="1">
      <c r="A261" s="122" t="s">
        <v>1687</v>
      </c>
      <c r="B261" s="122" t="s">
        <v>2095</v>
      </c>
      <c r="C261" s="324"/>
      <c r="D261" s="198"/>
      <c r="E261" s="198"/>
      <c r="F261" s="378">
        <v>-82075.679999999993</v>
      </c>
      <c r="G261" s="128">
        <f t="shared" si="13"/>
        <v>-82075.679999999993</v>
      </c>
      <c r="I261" s="220"/>
      <c r="J261" s="221"/>
      <c r="K261" s="199"/>
      <c r="L261" s="197"/>
      <c r="M261" s="117"/>
      <c r="N261" s="198"/>
      <c r="O261" s="117"/>
      <c r="Q261" s="96"/>
      <c r="R261" s="199"/>
      <c r="S261" s="197"/>
      <c r="T261" s="117"/>
      <c r="U261" s="129"/>
      <c r="V261" s="315"/>
      <c r="W261" s="119"/>
      <c r="X261" s="119"/>
      <c r="Y261" s="119"/>
      <c r="Z261" s="119"/>
      <c r="AA261" s="119"/>
      <c r="AB261" s="119"/>
      <c r="AC261" s="119"/>
      <c r="AD261" s="119"/>
      <c r="AE261" s="119"/>
      <c r="AF261" s="119"/>
      <c r="AG261" s="119"/>
      <c r="AH261" s="119"/>
      <c r="AI261" s="119"/>
      <c r="AJ261" s="119"/>
      <c r="BA261" s="199"/>
      <c r="BB261" s="197"/>
      <c r="BC261" s="77">
        <f t="shared" si="14"/>
        <v>36901</v>
      </c>
      <c r="BE261" s="122" t="s">
        <v>1687</v>
      </c>
      <c r="BF261" s="122" t="s">
        <v>2095</v>
      </c>
      <c r="BG261" s="376">
        <v>-82075.679999999993</v>
      </c>
    </row>
    <row r="262" spans="1:59">
      <c r="A262" s="199" t="s">
        <v>674</v>
      </c>
      <c r="B262" s="197" t="s">
        <v>1083</v>
      </c>
      <c r="C262" s="324">
        <v>-948756.13</v>
      </c>
      <c r="D262" s="198">
        <v>-573001.59</v>
      </c>
      <c r="E262" s="198">
        <v>-710616.93</v>
      </c>
      <c r="F262" s="378">
        <v>-760323.67</v>
      </c>
      <c r="G262" s="128">
        <f t="shared" si="13"/>
        <v>-2992698.32</v>
      </c>
      <c r="I262" s="220"/>
      <c r="J262" s="221"/>
      <c r="K262" s="199" t="s">
        <v>674</v>
      </c>
      <c r="L262" s="197" t="s">
        <v>1083</v>
      </c>
      <c r="M262" s="117"/>
      <c r="N262" s="198">
        <v>-573001.59</v>
      </c>
      <c r="O262" s="117">
        <f t="shared" si="12"/>
        <v>-573001.59</v>
      </c>
      <c r="P262" s="50"/>
      <c r="Q262" s="96"/>
      <c r="R262" s="199" t="s">
        <v>674</v>
      </c>
      <c r="S262" s="197" t="s">
        <v>1083</v>
      </c>
      <c r="T262" s="117">
        <v>-782707.61</v>
      </c>
      <c r="U262" s="129">
        <v>-948756.13</v>
      </c>
      <c r="V262" s="315">
        <v>-948756.13</v>
      </c>
      <c r="AE262"/>
      <c r="AF262"/>
      <c r="AG262"/>
      <c r="AH262"/>
      <c r="AI262"/>
      <c r="AJ262"/>
      <c r="BA262" s="199" t="s">
        <v>674</v>
      </c>
      <c r="BB262" s="197" t="s">
        <v>1083</v>
      </c>
      <c r="BC262" s="77">
        <f t="shared" si="14"/>
        <v>0</v>
      </c>
      <c r="BE262" s="50" t="s">
        <v>674</v>
      </c>
      <c r="BF262" s="50" t="s">
        <v>1083</v>
      </c>
      <c r="BG262" s="376">
        <v>-760323.67</v>
      </c>
    </row>
    <row r="263" spans="1:59">
      <c r="A263" s="199" t="s">
        <v>676</v>
      </c>
      <c r="B263" s="197" t="s">
        <v>1084</v>
      </c>
      <c r="C263" s="324">
        <v>-344842.95</v>
      </c>
      <c r="D263" s="198">
        <v>-391274.93</v>
      </c>
      <c r="E263" s="198">
        <v>-314208.71999999997</v>
      </c>
      <c r="F263" s="378">
        <v>-413151.38</v>
      </c>
      <c r="G263" s="128">
        <f t="shared" si="13"/>
        <v>-1463477.98</v>
      </c>
      <c r="I263" s="220"/>
      <c r="J263" s="221"/>
      <c r="K263" s="199" t="s">
        <v>676</v>
      </c>
      <c r="L263" s="197" t="s">
        <v>1084</v>
      </c>
      <c r="M263" s="117"/>
      <c r="N263" s="198">
        <v>-391274.93</v>
      </c>
      <c r="O263" s="117">
        <f t="shared" ref="O263:O294" si="15">+M263+N263</f>
        <v>-391274.93</v>
      </c>
      <c r="P263" s="50"/>
      <c r="Q263" s="96"/>
      <c r="R263" s="199" t="s">
        <v>676</v>
      </c>
      <c r="S263" s="197" t="s">
        <v>1084</v>
      </c>
      <c r="T263" s="117">
        <v>-259270.82</v>
      </c>
      <c r="U263" s="129">
        <v>-344842.95</v>
      </c>
      <c r="V263" s="315">
        <v>-344842.95</v>
      </c>
      <c r="AE263"/>
      <c r="AF263"/>
      <c r="AG263"/>
      <c r="AH263"/>
      <c r="AI263"/>
      <c r="AJ263"/>
      <c r="BA263" s="199" t="s">
        <v>676</v>
      </c>
      <c r="BB263" s="197" t="s">
        <v>1084</v>
      </c>
      <c r="BC263" s="77">
        <f t="shared" si="14"/>
        <v>0</v>
      </c>
      <c r="BE263" s="50" t="s">
        <v>676</v>
      </c>
      <c r="BF263" s="50" t="s">
        <v>1084</v>
      </c>
      <c r="BG263" s="376">
        <v>-413151.38</v>
      </c>
    </row>
    <row r="264" spans="1:59">
      <c r="A264" s="199" t="s">
        <v>678</v>
      </c>
      <c r="B264" s="197" t="s">
        <v>1085</v>
      </c>
      <c r="C264" s="324">
        <v>-107907.89</v>
      </c>
      <c r="D264" s="198">
        <v>-132121.22</v>
      </c>
      <c r="E264" s="198">
        <v>-210265.58</v>
      </c>
      <c r="F264" s="378">
        <v>-260208.85</v>
      </c>
      <c r="G264" s="128">
        <f t="shared" si="13"/>
        <v>-710503.53999999992</v>
      </c>
      <c r="I264" s="220"/>
      <c r="J264" s="221"/>
      <c r="K264" s="199" t="s">
        <v>678</v>
      </c>
      <c r="L264" s="197" t="s">
        <v>1085</v>
      </c>
      <c r="M264" s="117"/>
      <c r="N264" s="198">
        <v>-132121.22</v>
      </c>
      <c r="O264" s="117">
        <f t="shared" si="15"/>
        <v>-132121.22</v>
      </c>
      <c r="P264" s="50"/>
      <c r="Q264" s="96"/>
      <c r="R264" s="199" t="s">
        <v>678</v>
      </c>
      <c r="S264" s="197" t="s">
        <v>1085</v>
      </c>
      <c r="T264" s="117">
        <v>-23572.79</v>
      </c>
      <c r="U264" s="129">
        <v>-107907.89</v>
      </c>
      <c r="V264" s="315">
        <v>-107907.89</v>
      </c>
      <c r="AE264"/>
      <c r="AF264"/>
      <c r="AG264"/>
      <c r="AH264"/>
      <c r="AI264"/>
      <c r="AJ264"/>
      <c r="BA264" s="199" t="s">
        <v>678</v>
      </c>
      <c r="BB264" s="197" t="s">
        <v>1085</v>
      </c>
      <c r="BC264" s="77">
        <f t="shared" si="14"/>
        <v>0</v>
      </c>
      <c r="BE264" s="50" t="s">
        <v>678</v>
      </c>
      <c r="BF264" s="50" t="s">
        <v>1085</v>
      </c>
      <c r="BG264" s="376">
        <v>-260208.85</v>
      </c>
    </row>
    <row r="265" spans="1:59">
      <c r="A265" s="199" t="s">
        <v>680</v>
      </c>
      <c r="B265" s="197" t="s">
        <v>1086</v>
      </c>
      <c r="C265" s="326">
        <v>145356.09</v>
      </c>
      <c r="D265" s="198">
        <v>-56447.58</v>
      </c>
      <c r="E265" s="198">
        <v>18979.48</v>
      </c>
      <c r="F265" s="378">
        <v>-18414.650000000001</v>
      </c>
      <c r="G265" s="128">
        <f t="shared" si="13"/>
        <v>89473.34</v>
      </c>
      <c r="I265" s="220"/>
      <c r="J265" s="221"/>
      <c r="K265" s="199" t="s">
        <v>680</v>
      </c>
      <c r="L265" s="197" t="s">
        <v>1086</v>
      </c>
      <c r="M265" s="117">
        <f>+C265</f>
        <v>145356.09</v>
      </c>
      <c r="N265" s="198">
        <v>-56447.58</v>
      </c>
      <c r="O265" s="117">
        <f t="shared" si="15"/>
        <v>88908.51</v>
      </c>
      <c r="P265" s="50"/>
      <c r="Q265" s="96"/>
      <c r="R265" s="199" t="s">
        <v>680</v>
      </c>
      <c r="S265" s="197" t="s">
        <v>1086</v>
      </c>
      <c r="T265" s="117">
        <v>123455.22</v>
      </c>
      <c r="U265" s="129">
        <v>21900.87</v>
      </c>
      <c r="V265" s="320">
        <v>145356.09</v>
      </c>
      <c r="AE265"/>
      <c r="AF265"/>
      <c r="AG265"/>
      <c r="AH265"/>
      <c r="AI265"/>
      <c r="AJ265"/>
      <c r="BA265" s="199" t="s">
        <v>680</v>
      </c>
      <c r="BB265" s="197" t="s">
        <v>1086</v>
      </c>
      <c r="BC265" s="77">
        <f t="shared" si="14"/>
        <v>0</v>
      </c>
      <c r="BE265" s="50" t="s">
        <v>680</v>
      </c>
      <c r="BF265" s="50" t="s">
        <v>1086</v>
      </c>
      <c r="BG265" s="376">
        <v>-18414.650000000001</v>
      </c>
    </row>
    <row r="266" spans="1:59">
      <c r="A266" s="199" t="s">
        <v>682</v>
      </c>
      <c r="B266" s="197" t="s">
        <v>1087</v>
      </c>
      <c r="C266" s="326">
        <v>5747.29</v>
      </c>
      <c r="D266" s="198">
        <v>-1635.2</v>
      </c>
      <c r="E266" s="198">
        <v>1677.11</v>
      </c>
      <c r="F266" s="378">
        <v>-13814.72</v>
      </c>
      <c r="G266" s="128">
        <f t="shared" si="13"/>
        <v>-8025.5199999999995</v>
      </c>
      <c r="I266" s="220"/>
      <c r="J266" s="221"/>
      <c r="K266" s="199" t="s">
        <v>682</v>
      </c>
      <c r="L266" s="197" t="s">
        <v>1087</v>
      </c>
      <c r="M266" s="117">
        <f>+C266</f>
        <v>5747.29</v>
      </c>
      <c r="N266" s="198">
        <v>-1635.2</v>
      </c>
      <c r="O266" s="117">
        <f t="shared" si="15"/>
        <v>4112.09</v>
      </c>
      <c r="P266" s="50"/>
      <c r="Q266" s="96"/>
      <c r="R266" s="199" t="s">
        <v>682</v>
      </c>
      <c r="S266" s="197" t="s">
        <v>1087</v>
      </c>
      <c r="T266" s="117">
        <v>-1224.24</v>
      </c>
      <c r="U266" s="129">
        <v>6971.53</v>
      </c>
      <c r="V266" s="320">
        <v>5747.29</v>
      </c>
      <c r="AE266"/>
      <c r="AF266"/>
      <c r="AG266"/>
      <c r="AH266"/>
      <c r="AI266"/>
      <c r="AJ266"/>
      <c r="BA266" s="199" t="s">
        <v>682</v>
      </c>
      <c r="BB266" s="197" t="s">
        <v>1087</v>
      </c>
      <c r="BC266" s="77">
        <f t="shared" si="14"/>
        <v>0</v>
      </c>
      <c r="BE266" s="50" t="s">
        <v>682</v>
      </c>
      <c r="BF266" s="50" t="s">
        <v>1087</v>
      </c>
      <c r="BG266" s="376">
        <v>-13814.72</v>
      </c>
    </row>
    <row r="267" spans="1:59">
      <c r="A267" s="199" t="s">
        <v>684</v>
      </c>
      <c r="B267" s="197" t="s">
        <v>1088</v>
      </c>
      <c r="C267" s="331">
        <v>-54277.61</v>
      </c>
      <c r="D267" s="198">
        <v>-56802.58</v>
      </c>
      <c r="E267" s="198">
        <v>-53882.1</v>
      </c>
      <c r="F267" s="378">
        <v>-27237.61</v>
      </c>
      <c r="G267" s="128">
        <f t="shared" si="13"/>
        <v>-192199.90000000002</v>
      </c>
      <c r="I267" s="220"/>
      <c r="J267" s="223"/>
      <c r="K267" s="199" t="s">
        <v>684</v>
      </c>
      <c r="L267" s="197" t="s">
        <v>1088</v>
      </c>
      <c r="M267" s="117"/>
      <c r="N267" s="198">
        <v>-56802.58</v>
      </c>
      <c r="O267" s="117">
        <f t="shared" si="15"/>
        <v>-56802.58</v>
      </c>
      <c r="P267" s="50"/>
      <c r="Q267" s="120"/>
      <c r="R267" s="199" t="s">
        <v>684</v>
      </c>
      <c r="S267" s="197" t="s">
        <v>1088</v>
      </c>
      <c r="T267" s="117">
        <v>-50949.1</v>
      </c>
      <c r="U267" s="129">
        <v>-54277.61</v>
      </c>
      <c r="V267" s="318">
        <v>-54277.61</v>
      </c>
      <c r="AE267"/>
      <c r="AF267"/>
      <c r="AG267"/>
      <c r="AH267"/>
      <c r="AI267"/>
      <c r="AJ267"/>
      <c r="BA267" s="199" t="s">
        <v>684</v>
      </c>
      <c r="BB267" s="197" t="s">
        <v>1088</v>
      </c>
      <c r="BC267" s="77">
        <f t="shared" si="14"/>
        <v>0</v>
      </c>
      <c r="BE267" s="50" t="s">
        <v>684</v>
      </c>
      <c r="BF267" s="50" t="s">
        <v>1088</v>
      </c>
      <c r="BG267" s="376">
        <v>-27237.61</v>
      </c>
    </row>
    <row r="268" spans="1:59">
      <c r="A268" s="199" t="s">
        <v>686</v>
      </c>
      <c r="B268" s="197" t="s">
        <v>1089</v>
      </c>
      <c r="C268" s="324">
        <v>-99396.36</v>
      </c>
      <c r="D268" s="198">
        <v>-56712.22</v>
      </c>
      <c r="E268" s="198">
        <v>-125249.22</v>
      </c>
      <c r="F268" s="378">
        <v>-243955.53</v>
      </c>
      <c r="G268" s="128">
        <f t="shared" si="13"/>
        <v>-525313.33000000007</v>
      </c>
      <c r="I268" s="220"/>
      <c r="J268" s="221"/>
      <c r="K268" s="199" t="s">
        <v>686</v>
      </c>
      <c r="L268" s="197" t="s">
        <v>1089</v>
      </c>
      <c r="M268" s="117"/>
      <c r="N268" s="198">
        <v>-56712.22</v>
      </c>
      <c r="O268" s="117">
        <f t="shared" si="15"/>
        <v>-56712.22</v>
      </c>
      <c r="P268" s="50"/>
      <c r="Q268" s="96"/>
      <c r="R268" s="199" t="s">
        <v>686</v>
      </c>
      <c r="S268" s="197" t="s">
        <v>1089</v>
      </c>
      <c r="T268" s="117">
        <v>-17495.38</v>
      </c>
      <c r="U268" s="129">
        <v>-99396.36</v>
      </c>
      <c r="V268" s="315">
        <v>-99396.36</v>
      </c>
      <c r="AE268"/>
      <c r="AF268"/>
      <c r="AG268"/>
      <c r="AH268"/>
      <c r="AI268"/>
      <c r="AJ268"/>
      <c r="BA268" s="199" t="s">
        <v>686</v>
      </c>
      <c r="BB268" s="197" t="s">
        <v>1089</v>
      </c>
      <c r="BC268" s="77">
        <f t="shared" si="14"/>
        <v>0</v>
      </c>
      <c r="BE268" s="50" t="s">
        <v>686</v>
      </c>
      <c r="BF268" s="50" t="s">
        <v>1089</v>
      </c>
      <c r="BG268" s="376">
        <v>-243955.53</v>
      </c>
    </row>
    <row r="269" spans="1:59">
      <c r="A269" s="200" t="s">
        <v>1240</v>
      </c>
      <c r="B269" s="203" t="s">
        <v>1669</v>
      </c>
      <c r="C269" s="324">
        <v>0</v>
      </c>
      <c r="D269" s="204">
        <v>-39909.19</v>
      </c>
      <c r="E269" s="204">
        <v>-112812.14</v>
      </c>
      <c r="F269" s="378">
        <v>-15014.37</v>
      </c>
      <c r="G269" s="128">
        <f t="shared" si="13"/>
        <v>-167735.70000000001</v>
      </c>
      <c r="I269" s="220"/>
      <c r="J269" s="221"/>
      <c r="K269" s="200" t="s">
        <v>1240</v>
      </c>
      <c r="L269" s="203" t="s">
        <v>1669</v>
      </c>
      <c r="M269" s="117"/>
      <c r="N269" s="204">
        <v>-39909.19</v>
      </c>
      <c r="O269" s="117">
        <f t="shared" si="15"/>
        <v>-39909.19</v>
      </c>
      <c r="P269" s="50"/>
      <c r="Q269" s="96"/>
      <c r="R269" s="200" t="s">
        <v>1240</v>
      </c>
      <c r="S269" s="203" t="s">
        <v>1669</v>
      </c>
      <c r="T269" s="117">
        <v>0</v>
      </c>
      <c r="U269" s="129"/>
      <c r="V269" s="315">
        <v>0</v>
      </c>
      <c r="AE269"/>
      <c r="AF269"/>
      <c r="AG269"/>
      <c r="AH269"/>
      <c r="AI269"/>
      <c r="AJ269"/>
      <c r="BA269" s="200" t="s">
        <v>1240</v>
      </c>
      <c r="BB269" s="203" t="s">
        <v>1669</v>
      </c>
      <c r="BC269" s="77">
        <f t="shared" si="14"/>
        <v>0</v>
      </c>
      <c r="BE269" s="50" t="s">
        <v>1240</v>
      </c>
      <c r="BF269" s="50" t="s">
        <v>1669</v>
      </c>
      <c r="BG269" s="376">
        <v>-15014.37</v>
      </c>
    </row>
    <row r="270" spans="1:59">
      <c r="A270" s="199" t="s">
        <v>690</v>
      </c>
      <c r="B270" s="197" t="s">
        <v>1091</v>
      </c>
      <c r="C270" s="324">
        <v>-20349.560000000001</v>
      </c>
      <c r="D270" s="198">
        <v>-21603.38</v>
      </c>
      <c r="E270" s="198">
        <v>-25221.21</v>
      </c>
      <c r="F270" s="378">
        <v>-22398.5</v>
      </c>
      <c r="G270" s="128">
        <f t="shared" si="13"/>
        <v>-89572.65</v>
      </c>
      <c r="I270" s="220"/>
      <c r="J270" s="221"/>
      <c r="K270" s="199" t="s">
        <v>690</v>
      </c>
      <c r="L270" s="197" t="s">
        <v>1091</v>
      </c>
      <c r="M270" s="117"/>
      <c r="N270" s="198">
        <v>-21603.38</v>
      </c>
      <c r="O270" s="117">
        <f t="shared" si="15"/>
        <v>-21603.38</v>
      </c>
      <c r="P270" s="50"/>
      <c r="Q270" s="96"/>
      <c r="R270" s="199" t="s">
        <v>690</v>
      </c>
      <c r="S270" s="197" t="s">
        <v>1091</v>
      </c>
      <c r="T270" s="117">
        <v>-14740.08</v>
      </c>
      <c r="U270" s="129">
        <v>-20349.560000000001</v>
      </c>
      <c r="V270" s="315">
        <v>-20349.560000000001</v>
      </c>
      <c r="AE270"/>
      <c r="AF270"/>
      <c r="AG270"/>
      <c r="AH270"/>
      <c r="AI270"/>
      <c r="AJ270"/>
      <c r="BA270" s="199" t="s">
        <v>690</v>
      </c>
      <c r="BB270" s="197" t="s">
        <v>1091</v>
      </c>
      <c r="BC270" s="77">
        <f t="shared" si="14"/>
        <v>0</v>
      </c>
      <c r="BE270" s="50" t="s">
        <v>690</v>
      </c>
      <c r="BF270" s="50" t="s">
        <v>1091</v>
      </c>
      <c r="BG270" s="376">
        <v>-22398.5</v>
      </c>
    </row>
    <row r="271" spans="1:59">
      <c r="A271" s="199" t="s">
        <v>692</v>
      </c>
      <c r="B271" s="197" t="s">
        <v>1092</v>
      </c>
      <c r="C271" s="324">
        <v>-23061.95</v>
      </c>
      <c r="D271" s="198">
        <v>-76455.929999999993</v>
      </c>
      <c r="E271" s="198">
        <v>10405.31</v>
      </c>
      <c r="F271" s="378">
        <v>-32966.36</v>
      </c>
      <c r="G271" s="128">
        <f t="shared" si="13"/>
        <v>-122078.93</v>
      </c>
      <c r="I271" s="220"/>
      <c r="J271" s="221"/>
      <c r="K271" s="199" t="s">
        <v>692</v>
      </c>
      <c r="L271" s="197" t="s">
        <v>1092</v>
      </c>
      <c r="M271" s="117"/>
      <c r="N271" s="198">
        <v>-76455.929999999993</v>
      </c>
      <c r="O271" s="117">
        <f t="shared" si="15"/>
        <v>-76455.929999999993</v>
      </c>
      <c r="P271" s="50"/>
      <c r="Q271" s="96"/>
      <c r="R271" s="199" t="s">
        <v>692</v>
      </c>
      <c r="S271" s="197" t="s">
        <v>1092</v>
      </c>
      <c r="T271" s="117">
        <v>-26666.65</v>
      </c>
      <c r="U271" s="129">
        <v>-23061.95</v>
      </c>
      <c r="V271" s="315">
        <v>-23061.95</v>
      </c>
      <c r="AE271"/>
      <c r="AF271"/>
      <c r="AG271"/>
      <c r="AH271"/>
      <c r="AI271"/>
      <c r="AJ271"/>
      <c r="BA271" s="199" t="s">
        <v>692</v>
      </c>
      <c r="BB271" s="197" t="s">
        <v>1092</v>
      </c>
      <c r="BC271" s="77">
        <f t="shared" si="14"/>
        <v>0</v>
      </c>
      <c r="BE271" s="50" t="s">
        <v>692</v>
      </c>
      <c r="BF271" s="50" t="s">
        <v>1092</v>
      </c>
      <c r="BG271" s="376">
        <v>-32966.36</v>
      </c>
    </row>
    <row r="272" spans="1:59">
      <c r="A272" s="199" t="s">
        <v>694</v>
      </c>
      <c r="B272" s="197" t="s">
        <v>1093</v>
      </c>
      <c r="C272" s="324">
        <v>-65464.46</v>
      </c>
      <c r="D272" s="198">
        <v>-20176.310000000001</v>
      </c>
      <c r="E272" s="198">
        <v>-101041.15</v>
      </c>
      <c r="F272" s="378">
        <v>-139589.91</v>
      </c>
      <c r="G272" s="128">
        <f t="shared" si="13"/>
        <v>-326271.82999999996</v>
      </c>
      <c r="I272" s="220"/>
      <c r="J272" s="221"/>
      <c r="K272" s="199" t="s">
        <v>694</v>
      </c>
      <c r="L272" s="197" t="s">
        <v>1093</v>
      </c>
      <c r="M272" s="117"/>
      <c r="N272" s="198">
        <v>-20176.310000000001</v>
      </c>
      <c r="O272" s="117">
        <f t="shared" si="15"/>
        <v>-20176.310000000001</v>
      </c>
      <c r="P272" s="50"/>
      <c r="Q272" s="96"/>
      <c r="R272" s="199" t="s">
        <v>694</v>
      </c>
      <c r="S272" s="197" t="s">
        <v>1093</v>
      </c>
      <c r="T272" s="117">
        <v>-28458.71</v>
      </c>
      <c r="U272" s="129">
        <v>-65464.46</v>
      </c>
      <c r="V272" s="315">
        <v>-65464.46</v>
      </c>
      <c r="AE272"/>
      <c r="AF272"/>
      <c r="AG272"/>
      <c r="AH272"/>
      <c r="AI272"/>
      <c r="AJ272"/>
      <c r="BA272" s="199" t="s">
        <v>694</v>
      </c>
      <c r="BB272" s="197" t="s">
        <v>1093</v>
      </c>
      <c r="BC272" s="77">
        <f t="shared" si="14"/>
        <v>0</v>
      </c>
      <c r="BE272" s="50" t="s">
        <v>694</v>
      </c>
      <c r="BF272" s="50" t="s">
        <v>1093</v>
      </c>
      <c r="BG272" s="376">
        <v>-139589.91</v>
      </c>
    </row>
    <row r="273" spans="1:59">
      <c r="A273" s="199" t="s">
        <v>696</v>
      </c>
      <c r="B273" s="197" t="s">
        <v>1094</v>
      </c>
      <c r="C273" s="324">
        <v>-67750.240000000005</v>
      </c>
      <c r="D273" s="198">
        <v>-25197.09</v>
      </c>
      <c r="E273" s="198">
        <v>-31576.69</v>
      </c>
      <c r="F273" s="378">
        <v>-27392.74</v>
      </c>
      <c r="G273" s="128">
        <f t="shared" si="13"/>
        <v>-151916.76</v>
      </c>
      <c r="I273" s="220"/>
      <c r="J273" s="221"/>
      <c r="K273" s="199" t="s">
        <v>696</v>
      </c>
      <c r="L273" s="197" t="s">
        <v>1094</v>
      </c>
      <c r="M273" s="117"/>
      <c r="N273" s="198">
        <v>-25197.09</v>
      </c>
      <c r="O273" s="117">
        <f t="shared" si="15"/>
        <v>-25197.09</v>
      </c>
      <c r="P273" s="50"/>
      <c r="Q273" s="96"/>
      <c r="R273" s="199" t="s">
        <v>696</v>
      </c>
      <c r="S273" s="197" t="s">
        <v>1094</v>
      </c>
      <c r="T273" s="117">
        <v>-21305.48</v>
      </c>
      <c r="U273" s="129">
        <v>-67750.240000000005</v>
      </c>
      <c r="V273" s="315">
        <v>-67750.240000000005</v>
      </c>
      <c r="AE273"/>
      <c r="AF273"/>
      <c r="AG273"/>
      <c r="AH273"/>
      <c r="AI273"/>
      <c r="AJ273"/>
      <c r="BA273" s="199" t="s">
        <v>696</v>
      </c>
      <c r="BB273" s="197" t="s">
        <v>1094</v>
      </c>
      <c r="BC273" s="77">
        <f t="shared" si="14"/>
        <v>0</v>
      </c>
      <c r="BE273" s="50" t="s">
        <v>696</v>
      </c>
      <c r="BF273" s="50" t="s">
        <v>1094</v>
      </c>
      <c r="BG273" s="376">
        <v>-27392.74</v>
      </c>
    </row>
    <row r="274" spans="1:59">
      <c r="A274" s="199" t="s">
        <v>698</v>
      </c>
      <c r="B274" s="197" t="s">
        <v>699</v>
      </c>
      <c r="C274" s="324">
        <v>-30830.42</v>
      </c>
      <c r="D274" s="198">
        <v>-35964.61</v>
      </c>
      <c r="E274" s="198">
        <v>-37800.400000000001</v>
      </c>
      <c r="F274" s="378">
        <v>-44442.5</v>
      </c>
      <c r="G274" s="128">
        <f t="shared" si="13"/>
        <v>-149037.93</v>
      </c>
      <c r="I274" s="220"/>
      <c r="J274" s="221"/>
      <c r="K274" s="199" t="s">
        <v>698</v>
      </c>
      <c r="L274" s="197" t="s">
        <v>699</v>
      </c>
      <c r="M274" s="117"/>
      <c r="N274" s="198">
        <v>-35964.61</v>
      </c>
      <c r="O274" s="117">
        <f t="shared" si="15"/>
        <v>-35964.61</v>
      </c>
      <c r="P274" s="50"/>
      <c r="Q274" s="96"/>
      <c r="R274" s="199" t="s">
        <v>698</v>
      </c>
      <c r="S274" s="197" t="s">
        <v>699</v>
      </c>
      <c r="T274" s="117">
        <v>-21184.11</v>
      </c>
      <c r="U274" s="129">
        <v>-30830.42</v>
      </c>
      <c r="V274" s="315">
        <v>-30830.42</v>
      </c>
      <c r="AE274"/>
      <c r="AF274"/>
      <c r="AG274"/>
      <c r="AH274"/>
      <c r="AI274"/>
      <c r="AJ274"/>
      <c r="BA274" s="199" t="s">
        <v>698</v>
      </c>
      <c r="BB274" s="197" t="s">
        <v>699</v>
      </c>
      <c r="BC274" s="77">
        <f t="shared" si="14"/>
        <v>0</v>
      </c>
      <c r="BE274" s="50" t="s">
        <v>698</v>
      </c>
      <c r="BF274" s="50" t="s">
        <v>699</v>
      </c>
      <c r="BG274" s="376">
        <v>-44442.5</v>
      </c>
    </row>
    <row r="275" spans="1:59">
      <c r="A275" s="199" t="s">
        <v>700</v>
      </c>
      <c r="B275" s="197" t="s">
        <v>1095</v>
      </c>
      <c r="C275" s="324">
        <v>-74384.53</v>
      </c>
      <c r="D275" s="198">
        <v>-79247.23</v>
      </c>
      <c r="E275" s="198">
        <v>-64238.83</v>
      </c>
      <c r="F275" s="378">
        <v>-68467.42</v>
      </c>
      <c r="G275" s="128">
        <f t="shared" si="13"/>
        <v>-286338.01</v>
      </c>
      <c r="I275" s="220"/>
      <c r="J275" s="221"/>
      <c r="K275" s="199" t="s">
        <v>700</v>
      </c>
      <c r="L275" s="197" t="s">
        <v>1095</v>
      </c>
      <c r="M275" s="117"/>
      <c r="N275" s="198">
        <v>-79247.23</v>
      </c>
      <c r="O275" s="117">
        <f t="shared" si="15"/>
        <v>-79247.23</v>
      </c>
      <c r="P275" s="50"/>
      <c r="Q275" s="96"/>
      <c r="R275" s="199" t="s">
        <v>700</v>
      </c>
      <c r="S275" s="197" t="s">
        <v>1095</v>
      </c>
      <c r="T275" s="117">
        <v>-70965.63</v>
      </c>
      <c r="U275" s="129">
        <v>-74384.53</v>
      </c>
      <c r="V275" s="315">
        <v>-74384.53</v>
      </c>
      <c r="AE275"/>
      <c r="AF275"/>
      <c r="AG275"/>
      <c r="AH275"/>
      <c r="AI275"/>
      <c r="AJ275"/>
      <c r="BA275" s="199" t="s">
        <v>700</v>
      </c>
      <c r="BB275" s="197" t="s">
        <v>1095</v>
      </c>
      <c r="BC275" s="77">
        <f t="shared" si="14"/>
        <v>0</v>
      </c>
      <c r="BE275" s="50" t="s">
        <v>700</v>
      </c>
      <c r="BF275" s="50" t="s">
        <v>1095</v>
      </c>
      <c r="BG275" s="376">
        <v>-68467.42</v>
      </c>
    </row>
    <row r="276" spans="1:59">
      <c r="A276" s="199" t="s">
        <v>704</v>
      </c>
      <c r="B276" s="197" t="s">
        <v>1096</v>
      </c>
      <c r="C276" s="324">
        <v>-60885.64</v>
      </c>
      <c r="D276" s="198">
        <v>-61758.52</v>
      </c>
      <c r="E276" s="198">
        <v>-68990.22</v>
      </c>
      <c r="F276" s="378">
        <v>-69231.66</v>
      </c>
      <c r="G276" s="128">
        <f t="shared" si="13"/>
        <v>-260866.04</v>
      </c>
      <c r="I276" s="220"/>
      <c r="J276" s="221"/>
      <c r="K276" s="199" t="s">
        <v>704</v>
      </c>
      <c r="L276" s="197" t="s">
        <v>1096</v>
      </c>
      <c r="M276" s="117"/>
      <c r="N276" s="198">
        <v>-61758.52</v>
      </c>
      <c r="O276" s="117">
        <f t="shared" si="15"/>
        <v>-61758.52</v>
      </c>
      <c r="P276" s="50"/>
      <c r="Q276" s="96"/>
      <c r="R276" s="199" t="s">
        <v>704</v>
      </c>
      <c r="S276" s="197" t="s">
        <v>1096</v>
      </c>
      <c r="T276" s="117">
        <v>-60285.33</v>
      </c>
      <c r="U276" s="129">
        <v>-60885.64</v>
      </c>
      <c r="V276" s="315">
        <v>-60885.64</v>
      </c>
      <c r="AE276"/>
      <c r="AF276"/>
      <c r="AG276"/>
      <c r="AH276"/>
      <c r="AI276"/>
      <c r="AJ276"/>
      <c r="BA276" s="199" t="s">
        <v>704</v>
      </c>
      <c r="BB276" s="197" t="s">
        <v>1096</v>
      </c>
      <c r="BC276" s="77">
        <f t="shared" si="14"/>
        <v>0</v>
      </c>
      <c r="BE276" s="50" t="s">
        <v>704</v>
      </c>
      <c r="BF276" s="50" t="s">
        <v>1096</v>
      </c>
      <c r="BG276" s="376">
        <v>-69231.66</v>
      </c>
    </row>
    <row r="277" spans="1:59">
      <c r="A277" s="199" t="s">
        <v>706</v>
      </c>
      <c r="B277" s="197" t="s">
        <v>1097</v>
      </c>
      <c r="C277" s="324">
        <v>-44621.9</v>
      </c>
      <c r="D277" s="198">
        <v>-49040.22</v>
      </c>
      <c r="E277" s="198">
        <v>-52147.5</v>
      </c>
      <c r="F277" s="378">
        <v>-62134.96</v>
      </c>
      <c r="G277" s="128">
        <f t="shared" si="13"/>
        <v>-207944.58</v>
      </c>
      <c r="I277" s="220"/>
      <c r="J277" s="221"/>
      <c r="K277" s="199" t="s">
        <v>706</v>
      </c>
      <c r="L277" s="197" t="s">
        <v>1097</v>
      </c>
      <c r="M277" s="117"/>
      <c r="N277" s="198">
        <v>-49040.22</v>
      </c>
      <c r="O277" s="117">
        <f t="shared" si="15"/>
        <v>-49040.22</v>
      </c>
      <c r="P277" s="50"/>
      <c r="Q277" s="96"/>
      <c r="R277" s="199" t="s">
        <v>706</v>
      </c>
      <c r="S277" s="197" t="s">
        <v>1097</v>
      </c>
      <c r="T277" s="117">
        <v>-45649.64</v>
      </c>
      <c r="U277" s="129">
        <v>-44621.9</v>
      </c>
      <c r="V277" s="315">
        <v>-44621.9</v>
      </c>
      <c r="AE277"/>
      <c r="AF277"/>
      <c r="AG277"/>
      <c r="AH277"/>
      <c r="AI277"/>
      <c r="AJ277"/>
      <c r="BA277" s="199" t="s">
        <v>706</v>
      </c>
      <c r="BB277" s="197" t="s">
        <v>1097</v>
      </c>
      <c r="BC277" s="77">
        <f t="shared" si="14"/>
        <v>0</v>
      </c>
      <c r="BE277" s="50" t="s">
        <v>706</v>
      </c>
      <c r="BF277" s="50" t="s">
        <v>1097</v>
      </c>
      <c r="BG277" s="376">
        <v>-62134.96</v>
      </c>
    </row>
    <row r="278" spans="1:59">
      <c r="A278" s="199" t="s">
        <v>708</v>
      </c>
      <c r="B278" s="197" t="s">
        <v>1098</v>
      </c>
      <c r="C278" s="324">
        <v>-26767.41</v>
      </c>
      <c r="D278" s="198">
        <v>-35392.550000000003</v>
      </c>
      <c r="E278" s="198">
        <v>-41045.300000000003</v>
      </c>
      <c r="F278" s="378">
        <v>-30669.26</v>
      </c>
      <c r="G278" s="128">
        <f t="shared" si="13"/>
        <v>-133874.52000000002</v>
      </c>
      <c r="I278" s="220"/>
      <c r="J278" s="221"/>
      <c r="K278" s="199" t="s">
        <v>708</v>
      </c>
      <c r="L278" s="197" t="s">
        <v>1098</v>
      </c>
      <c r="M278" s="117"/>
      <c r="N278" s="198">
        <v>-35392.550000000003</v>
      </c>
      <c r="O278" s="117">
        <f t="shared" si="15"/>
        <v>-35392.550000000003</v>
      </c>
      <c r="P278" s="50"/>
      <c r="Q278" s="96"/>
      <c r="R278" s="199" t="s">
        <v>708</v>
      </c>
      <c r="S278" s="197" t="s">
        <v>1098</v>
      </c>
      <c r="T278" s="117">
        <v>-38518.379999999997</v>
      </c>
      <c r="U278" s="129">
        <v>-26767.41</v>
      </c>
      <c r="V278" s="315">
        <v>-26767.41</v>
      </c>
      <c r="AE278"/>
      <c r="AF278"/>
      <c r="AG278"/>
      <c r="AH278"/>
      <c r="AI278"/>
      <c r="AJ278"/>
      <c r="BA278" s="199" t="s">
        <v>708</v>
      </c>
      <c r="BB278" s="197" t="s">
        <v>1098</v>
      </c>
      <c r="BC278" s="77">
        <f t="shared" si="14"/>
        <v>0</v>
      </c>
      <c r="BE278" s="50" t="s">
        <v>708</v>
      </c>
      <c r="BF278" s="50" t="s">
        <v>1098</v>
      </c>
      <c r="BG278" s="376">
        <v>-30669.26</v>
      </c>
    </row>
    <row r="279" spans="1:59">
      <c r="A279" s="199" t="s">
        <v>710</v>
      </c>
      <c r="B279" s="197" t="s">
        <v>1099</v>
      </c>
      <c r="C279" s="324">
        <v>-88559.7</v>
      </c>
      <c r="D279" s="198">
        <v>-85895.6</v>
      </c>
      <c r="E279" s="198">
        <v>-91026.61</v>
      </c>
      <c r="F279" s="378">
        <v>-98137.19</v>
      </c>
      <c r="G279" s="128">
        <f t="shared" si="13"/>
        <v>-363619.1</v>
      </c>
      <c r="I279" s="220"/>
      <c r="J279" s="221"/>
      <c r="K279" s="199" t="s">
        <v>710</v>
      </c>
      <c r="L279" s="197" t="s">
        <v>1099</v>
      </c>
      <c r="M279" s="117"/>
      <c r="N279" s="198">
        <v>-85895.6</v>
      </c>
      <c r="O279" s="117">
        <f t="shared" si="15"/>
        <v>-85895.6</v>
      </c>
      <c r="P279" s="50"/>
      <c r="Q279" s="96"/>
      <c r="R279" s="199" t="s">
        <v>710</v>
      </c>
      <c r="S279" s="197" t="s">
        <v>1099</v>
      </c>
      <c r="T279" s="117">
        <v>-91709.65</v>
      </c>
      <c r="U279" s="129">
        <v>-88559.7</v>
      </c>
      <c r="V279" s="315">
        <v>-88559.7</v>
      </c>
      <c r="AE279"/>
      <c r="AF279"/>
      <c r="AG279"/>
      <c r="AH279"/>
      <c r="AI279"/>
      <c r="AJ279"/>
      <c r="BA279" s="199" t="s">
        <v>710</v>
      </c>
      <c r="BB279" s="197" t="s">
        <v>1099</v>
      </c>
      <c r="BC279" s="77">
        <f t="shared" si="14"/>
        <v>0</v>
      </c>
      <c r="BE279" s="50" t="s">
        <v>710</v>
      </c>
      <c r="BF279" s="50" t="s">
        <v>1099</v>
      </c>
      <c r="BG279" s="376">
        <v>-98137.19</v>
      </c>
    </row>
    <row r="280" spans="1:59">
      <c r="A280" s="199" t="s">
        <v>714</v>
      </c>
      <c r="B280" s="197" t="s">
        <v>1101</v>
      </c>
      <c r="C280" s="324">
        <v>-15299.87</v>
      </c>
      <c r="D280" s="198">
        <v>-84902.17</v>
      </c>
      <c r="E280" s="198">
        <v>-74213.47</v>
      </c>
      <c r="F280" s="378">
        <v>-97900.2</v>
      </c>
      <c r="G280" s="128">
        <f t="shared" si="13"/>
        <v>-272315.71000000002</v>
      </c>
      <c r="I280" s="220"/>
      <c r="J280" s="221"/>
      <c r="K280" s="199" t="s">
        <v>714</v>
      </c>
      <c r="L280" s="197" t="s">
        <v>1101</v>
      </c>
      <c r="M280" s="117"/>
      <c r="N280" s="198">
        <v>-84902.17</v>
      </c>
      <c r="O280" s="117">
        <f t="shared" si="15"/>
        <v>-84902.17</v>
      </c>
      <c r="P280" s="50"/>
      <c r="Q280" s="96"/>
      <c r="R280" s="199" t="s">
        <v>714</v>
      </c>
      <c r="S280" s="197" t="s">
        <v>1101</v>
      </c>
      <c r="T280" s="117">
        <v>-12744.32</v>
      </c>
      <c r="U280" s="129">
        <v>-15299.87</v>
      </c>
      <c r="V280" s="315">
        <v>-15299.87</v>
      </c>
      <c r="AE280"/>
      <c r="AF280"/>
      <c r="AG280"/>
      <c r="AH280"/>
      <c r="AI280"/>
      <c r="AJ280"/>
      <c r="BA280" s="199" t="s">
        <v>714</v>
      </c>
      <c r="BB280" s="197" t="s">
        <v>1101</v>
      </c>
      <c r="BC280" s="77">
        <f t="shared" si="14"/>
        <v>0</v>
      </c>
      <c r="BE280" s="50" t="s">
        <v>714</v>
      </c>
      <c r="BF280" s="50" t="s">
        <v>1101</v>
      </c>
      <c r="BG280" s="376">
        <v>-97900.2</v>
      </c>
    </row>
    <row r="281" spans="1:59">
      <c r="A281" s="199" t="s">
        <v>716</v>
      </c>
      <c r="B281" s="197" t="s">
        <v>1102</v>
      </c>
      <c r="C281" s="324">
        <v>-55382.96</v>
      </c>
      <c r="D281" s="198">
        <v>-127174.59</v>
      </c>
      <c r="E281" s="198">
        <v>-117752.57</v>
      </c>
      <c r="F281" s="378">
        <v>-131054.32</v>
      </c>
      <c r="G281" s="128">
        <f t="shared" si="13"/>
        <v>-431364.44</v>
      </c>
      <c r="I281" s="220"/>
      <c r="J281" s="221"/>
      <c r="K281" s="199" t="s">
        <v>716</v>
      </c>
      <c r="L281" s="197" t="s">
        <v>1102</v>
      </c>
      <c r="M281" s="117"/>
      <c r="N281" s="198">
        <v>-127174.59</v>
      </c>
      <c r="O281" s="117">
        <f t="shared" si="15"/>
        <v>-127174.59</v>
      </c>
      <c r="P281" s="50"/>
      <c r="Q281" s="96"/>
      <c r="R281" s="199" t="s">
        <v>716</v>
      </c>
      <c r="S281" s="197" t="s">
        <v>1102</v>
      </c>
      <c r="T281" s="117">
        <v>-43516.46</v>
      </c>
      <c r="U281" s="129">
        <v>-55382.96</v>
      </c>
      <c r="V281" s="315">
        <v>-55382.96</v>
      </c>
      <c r="AE281"/>
      <c r="AF281"/>
      <c r="AG281"/>
      <c r="AH281"/>
      <c r="AI281"/>
      <c r="AJ281"/>
      <c r="BA281" s="199" t="s">
        <v>716</v>
      </c>
      <c r="BB281" s="197" t="s">
        <v>1102</v>
      </c>
      <c r="BC281" s="77">
        <f t="shared" si="14"/>
        <v>0</v>
      </c>
      <c r="BE281" s="50" t="s">
        <v>716</v>
      </c>
      <c r="BF281" s="50" t="s">
        <v>1102</v>
      </c>
      <c r="BG281" s="376">
        <v>-131054.32</v>
      </c>
    </row>
    <row r="282" spans="1:59">
      <c r="A282" s="199" t="s">
        <v>718</v>
      </c>
      <c r="B282" s="197" t="s">
        <v>1103</v>
      </c>
      <c r="C282" s="324">
        <v>-499080.33</v>
      </c>
      <c r="D282" s="198">
        <v>115828.03</v>
      </c>
      <c r="E282" s="198">
        <v>-329859.02</v>
      </c>
      <c r="F282" s="378">
        <v>-712592.97</v>
      </c>
      <c r="G282" s="128">
        <f t="shared" si="13"/>
        <v>-1425704.29</v>
      </c>
      <c r="I282" s="220"/>
      <c r="J282" s="221"/>
      <c r="K282" s="199" t="s">
        <v>718</v>
      </c>
      <c r="L282" s="197" t="s">
        <v>1103</v>
      </c>
      <c r="M282" s="117">
        <f>+C282</f>
        <v>-499080.33</v>
      </c>
      <c r="N282" s="198">
        <v>115828.03</v>
      </c>
      <c r="O282" s="313">
        <f>IF(+M282+N282&lt;0,0,(+M282+N282))</f>
        <v>0</v>
      </c>
      <c r="P282" s="50"/>
      <c r="Q282" s="96"/>
      <c r="R282" s="199" t="s">
        <v>718</v>
      </c>
      <c r="S282" s="197" t="s">
        <v>1103</v>
      </c>
      <c r="T282" s="117">
        <v>0</v>
      </c>
      <c r="U282" s="129">
        <v>-499080.33</v>
      </c>
      <c r="V282" s="315">
        <v>-499080.33</v>
      </c>
      <c r="AE282"/>
      <c r="AF282"/>
      <c r="AG282"/>
      <c r="AH282"/>
      <c r="AI282"/>
      <c r="AJ282"/>
      <c r="BA282" s="199" t="s">
        <v>718</v>
      </c>
      <c r="BB282" s="197" t="s">
        <v>1103</v>
      </c>
      <c r="BC282" s="77">
        <f t="shared" si="14"/>
        <v>0</v>
      </c>
      <c r="BE282" s="50" t="s">
        <v>718</v>
      </c>
      <c r="BF282" s="50" t="s">
        <v>1103</v>
      </c>
      <c r="BG282" s="376">
        <v>-712592.97</v>
      </c>
    </row>
    <row r="283" spans="1:59">
      <c r="A283" s="199" t="s">
        <v>720</v>
      </c>
      <c r="B283" s="197" t="s">
        <v>1052</v>
      </c>
      <c r="C283" s="326">
        <v>188011.18</v>
      </c>
      <c r="D283" s="198">
        <v>-41144.32</v>
      </c>
      <c r="E283" s="198">
        <v>11851.73</v>
      </c>
      <c r="F283" s="378">
        <v>-28762.29</v>
      </c>
      <c r="G283" s="128">
        <f t="shared" si="13"/>
        <v>129956.29999999999</v>
      </c>
      <c r="I283" s="220"/>
      <c r="J283" s="221"/>
      <c r="K283" s="199" t="s">
        <v>720</v>
      </c>
      <c r="L283" s="197" t="s">
        <v>1052</v>
      </c>
      <c r="M283" s="117">
        <f t="shared" ref="M283:M288" si="16">+C283</f>
        <v>188011.18</v>
      </c>
      <c r="N283" s="198">
        <v>-41144.32</v>
      </c>
      <c r="O283" s="117">
        <f t="shared" si="15"/>
        <v>146866.85999999999</v>
      </c>
      <c r="P283" s="50"/>
      <c r="Q283" s="96"/>
      <c r="R283" s="199" t="s">
        <v>720</v>
      </c>
      <c r="S283" s="197" t="s">
        <v>1052</v>
      </c>
      <c r="T283" s="117">
        <v>188940.99</v>
      </c>
      <c r="U283" s="129">
        <v>-929.81</v>
      </c>
      <c r="V283" s="320">
        <v>188011.18</v>
      </c>
      <c r="AE283"/>
      <c r="AF283"/>
      <c r="AG283"/>
      <c r="AH283"/>
      <c r="AI283"/>
      <c r="AJ283"/>
      <c r="BA283" s="199" t="s">
        <v>720</v>
      </c>
      <c r="BB283" s="197" t="s">
        <v>1052</v>
      </c>
      <c r="BC283" s="77">
        <f t="shared" si="14"/>
        <v>0</v>
      </c>
      <c r="BE283" s="50" t="s">
        <v>720</v>
      </c>
      <c r="BF283" s="50" t="s">
        <v>1052</v>
      </c>
      <c r="BG283" s="376">
        <v>-28762.29</v>
      </c>
    </row>
    <row r="284" spans="1:59">
      <c r="A284" s="199" t="s">
        <v>721</v>
      </c>
      <c r="B284" s="197" t="s">
        <v>1104</v>
      </c>
      <c r="C284" s="326">
        <v>90088.50999999998</v>
      </c>
      <c r="D284" s="198">
        <v>-82968.67</v>
      </c>
      <c r="E284" s="198">
        <v>80587.59</v>
      </c>
      <c r="F284" s="378">
        <v>36674.019999999997</v>
      </c>
      <c r="G284" s="128">
        <f t="shared" si="13"/>
        <v>124381.44999999998</v>
      </c>
      <c r="I284" s="220"/>
      <c r="J284" s="221"/>
      <c r="K284" s="199" t="s">
        <v>721</v>
      </c>
      <c r="L284" s="197" t="s">
        <v>1104</v>
      </c>
      <c r="M284" s="117">
        <f t="shared" si="16"/>
        <v>90088.50999999998</v>
      </c>
      <c r="N284" s="198">
        <v>-82968.67</v>
      </c>
      <c r="O284" s="117">
        <f t="shared" si="15"/>
        <v>7119.839999999982</v>
      </c>
      <c r="P284" s="50"/>
      <c r="Q284" s="96"/>
      <c r="R284" s="199" t="s">
        <v>721</v>
      </c>
      <c r="S284" s="197" t="s">
        <v>1104</v>
      </c>
      <c r="T284" s="117">
        <v>126809.18999999999</v>
      </c>
      <c r="U284" s="129">
        <v>-36720.68</v>
      </c>
      <c r="V284" s="320">
        <v>90088.50999999998</v>
      </c>
      <c r="AE284"/>
      <c r="AF284"/>
      <c r="AG284"/>
      <c r="AH284"/>
      <c r="AI284"/>
      <c r="AJ284"/>
      <c r="BA284" s="199" t="s">
        <v>721</v>
      </c>
      <c r="BB284" s="197" t="s">
        <v>1104</v>
      </c>
      <c r="BC284" s="77">
        <f t="shared" si="14"/>
        <v>0</v>
      </c>
      <c r="BE284" s="50" t="s">
        <v>721</v>
      </c>
      <c r="BF284" s="50" t="s">
        <v>1104</v>
      </c>
      <c r="BG284" s="376">
        <v>36674.019999999997</v>
      </c>
    </row>
    <row r="285" spans="1:59">
      <c r="A285" s="199" t="s">
        <v>723</v>
      </c>
      <c r="B285" s="197" t="s">
        <v>1105</v>
      </c>
      <c r="C285" s="326">
        <v>115685.81</v>
      </c>
      <c r="D285" s="198">
        <v>8441.82</v>
      </c>
      <c r="E285" s="198">
        <v>8624.17</v>
      </c>
      <c r="F285" s="378">
        <v>-37830.32</v>
      </c>
      <c r="G285" s="128">
        <f t="shared" si="13"/>
        <v>94921.48000000001</v>
      </c>
      <c r="I285" s="220"/>
      <c r="J285" s="221"/>
      <c r="K285" s="199" t="s">
        <v>723</v>
      </c>
      <c r="L285" s="197" t="s">
        <v>1105</v>
      </c>
      <c r="M285" s="117">
        <f t="shared" si="16"/>
        <v>115685.81</v>
      </c>
      <c r="N285" s="198">
        <v>8441.82</v>
      </c>
      <c r="O285" s="117">
        <f t="shared" si="15"/>
        <v>124127.63</v>
      </c>
      <c r="P285" s="50"/>
      <c r="Q285" s="96"/>
      <c r="R285" s="199" t="s">
        <v>723</v>
      </c>
      <c r="S285" s="197" t="s">
        <v>1105</v>
      </c>
      <c r="T285" s="117">
        <v>69415.240000000005</v>
      </c>
      <c r="U285" s="129">
        <v>46270.57</v>
      </c>
      <c r="V285" s="320">
        <v>115685.81</v>
      </c>
      <c r="AE285"/>
      <c r="AF285"/>
      <c r="AG285"/>
      <c r="AH285"/>
      <c r="AI285"/>
      <c r="AJ285"/>
      <c r="BA285" s="199" t="s">
        <v>723</v>
      </c>
      <c r="BB285" s="197" t="s">
        <v>1105</v>
      </c>
      <c r="BC285" s="77">
        <f t="shared" si="14"/>
        <v>0</v>
      </c>
      <c r="BE285" s="50" t="s">
        <v>723</v>
      </c>
      <c r="BF285" s="50" t="s">
        <v>1105</v>
      </c>
      <c r="BG285" s="376">
        <v>-37830.32</v>
      </c>
    </row>
    <row r="286" spans="1:59">
      <c r="A286" s="199" t="s">
        <v>725</v>
      </c>
      <c r="B286" s="197" t="s">
        <v>1106</v>
      </c>
      <c r="C286" s="324">
        <v>-164351.72</v>
      </c>
      <c r="D286" s="198">
        <v>-234936.87</v>
      </c>
      <c r="E286" s="198">
        <v>41513.760000000002</v>
      </c>
      <c r="F286" s="378">
        <v>-235262.57</v>
      </c>
      <c r="G286" s="128">
        <f t="shared" si="13"/>
        <v>-593037.39999999991</v>
      </c>
      <c r="I286" s="220"/>
      <c r="J286" s="221"/>
      <c r="K286" s="199" t="s">
        <v>725</v>
      </c>
      <c r="L286" s="197" t="s">
        <v>1106</v>
      </c>
      <c r="M286" s="117"/>
      <c r="N286" s="198">
        <v>-234936.87</v>
      </c>
      <c r="O286" s="117">
        <f t="shared" si="15"/>
        <v>-234936.87</v>
      </c>
      <c r="P286" s="50"/>
      <c r="Q286" s="96"/>
      <c r="R286" s="199" t="s">
        <v>725</v>
      </c>
      <c r="S286" s="197" t="s">
        <v>1106</v>
      </c>
      <c r="T286" s="117">
        <v>-36629.839999999997</v>
      </c>
      <c r="U286" s="129">
        <v>-164351.72</v>
      </c>
      <c r="V286" s="315">
        <v>-164351.72</v>
      </c>
      <c r="AE286"/>
      <c r="AF286"/>
      <c r="AG286"/>
      <c r="AH286"/>
      <c r="AI286"/>
      <c r="AJ286"/>
      <c r="BA286" s="199" t="s">
        <v>725</v>
      </c>
      <c r="BB286" s="197" t="s">
        <v>1106</v>
      </c>
      <c r="BC286" s="77">
        <f t="shared" si="14"/>
        <v>0</v>
      </c>
      <c r="BE286" s="50" t="s">
        <v>725</v>
      </c>
      <c r="BF286" s="50" t="s">
        <v>1106</v>
      </c>
      <c r="BG286" s="376">
        <v>-235262.57</v>
      </c>
    </row>
    <row r="287" spans="1:59">
      <c r="A287" s="199" t="s">
        <v>727</v>
      </c>
      <c r="B287" s="197" t="s">
        <v>1107</v>
      </c>
      <c r="C287" s="328">
        <v>0</v>
      </c>
      <c r="D287" s="198">
        <v>-632887.42000000004</v>
      </c>
      <c r="E287" s="198">
        <v>-997707.88</v>
      </c>
      <c r="F287" s="378">
        <v>-931119.53</v>
      </c>
      <c r="G287" s="128">
        <f t="shared" si="13"/>
        <v>-2561714.83</v>
      </c>
      <c r="I287" s="220"/>
      <c r="J287" s="221"/>
      <c r="K287" s="199" t="s">
        <v>727</v>
      </c>
      <c r="L287" s="197" t="s">
        <v>1107</v>
      </c>
      <c r="M287" s="117"/>
      <c r="N287" s="198">
        <v>-632887.42000000004</v>
      </c>
      <c r="O287" s="117">
        <f t="shared" si="15"/>
        <v>-632887.42000000004</v>
      </c>
      <c r="P287" s="50"/>
      <c r="Q287" s="96"/>
      <c r="R287" s="199" t="s">
        <v>727</v>
      </c>
      <c r="S287" s="197" t="s">
        <v>1107</v>
      </c>
      <c r="T287" s="117">
        <v>-554369.18000000005</v>
      </c>
      <c r="U287" s="129">
        <v>15555.04</v>
      </c>
      <c r="V287" s="321">
        <v>0</v>
      </c>
      <c r="AE287"/>
      <c r="AF287"/>
      <c r="AG287"/>
      <c r="AH287"/>
      <c r="AI287"/>
      <c r="AJ287"/>
      <c r="BA287" s="199" t="s">
        <v>727</v>
      </c>
      <c r="BB287" s="197" t="s">
        <v>1107</v>
      </c>
      <c r="BC287" s="77">
        <f t="shared" si="14"/>
        <v>0</v>
      </c>
      <c r="BE287" s="50" t="s">
        <v>727</v>
      </c>
      <c r="BF287" s="50" t="s">
        <v>1107</v>
      </c>
      <c r="BG287" s="376">
        <v>-931119.53</v>
      </c>
    </row>
    <row r="288" spans="1:59">
      <c r="A288" s="199" t="s">
        <v>729</v>
      </c>
      <c r="B288" s="197" t="s">
        <v>1108</v>
      </c>
      <c r="C288" s="326">
        <v>41752.409999999989</v>
      </c>
      <c r="D288" s="198">
        <v>-76860.800000000003</v>
      </c>
      <c r="E288" s="198">
        <v>-158417.66</v>
      </c>
      <c r="F288" s="378">
        <v>-404103.52</v>
      </c>
      <c r="G288" s="128">
        <f t="shared" si="13"/>
        <v>-597629.57000000007</v>
      </c>
      <c r="I288" s="220"/>
      <c r="J288" s="221"/>
      <c r="K288" s="199" t="s">
        <v>729</v>
      </c>
      <c r="L288" s="197" t="s">
        <v>1108</v>
      </c>
      <c r="M288" s="117">
        <f t="shared" si="16"/>
        <v>41752.409999999989</v>
      </c>
      <c r="N288" s="198">
        <v>-76860.800000000003</v>
      </c>
      <c r="O288" s="117">
        <f t="shared" si="15"/>
        <v>-35108.390000000014</v>
      </c>
      <c r="P288" s="50"/>
      <c r="Q288" s="96"/>
      <c r="R288" s="199" t="s">
        <v>729</v>
      </c>
      <c r="S288" s="197" t="s">
        <v>1108</v>
      </c>
      <c r="T288" s="117">
        <v>115213.98</v>
      </c>
      <c r="U288" s="129">
        <v>-73461.570000000007</v>
      </c>
      <c r="V288" s="320">
        <v>41752.409999999989</v>
      </c>
      <c r="AE288"/>
      <c r="AF288"/>
      <c r="AG288"/>
      <c r="AH288"/>
      <c r="AI288"/>
      <c r="AJ288"/>
      <c r="BA288" s="199" t="s">
        <v>729</v>
      </c>
      <c r="BB288" s="197" t="s">
        <v>1108</v>
      </c>
      <c r="BC288" s="77">
        <f t="shared" si="14"/>
        <v>0</v>
      </c>
      <c r="BE288" s="50" t="s">
        <v>729</v>
      </c>
      <c r="BF288" s="50" t="s">
        <v>1108</v>
      </c>
      <c r="BG288" s="376">
        <v>-404103.52</v>
      </c>
    </row>
    <row r="289" spans="1:59">
      <c r="A289" s="199" t="s">
        <v>731</v>
      </c>
      <c r="B289" s="197" t="s">
        <v>1109</v>
      </c>
      <c r="C289" s="324">
        <v>-16310.95</v>
      </c>
      <c r="D289" s="198">
        <v>-29286.560000000001</v>
      </c>
      <c r="E289" s="198">
        <v>-112008.49</v>
      </c>
      <c r="F289" s="378">
        <v>-239173.31</v>
      </c>
      <c r="G289" s="128">
        <f t="shared" si="13"/>
        <v>-396779.31</v>
      </c>
      <c r="I289" s="220"/>
      <c r="J289" s="221"/>
      <c r="K289" s="199" t="s">
        <v>731</v>
      </c>
      <c r="L289" s="197" t="s">
        <v>1109</v>
      </c>
      <c r="M289" s="117"/>
      <c r="N289" s="198">
        <v>-29286.560000000001</v>
      </c>
      <c r="O289" s="117">
        <f t="shared" si="15"/>
        <v>-29286.560000000001</v>
      </c>
      <c r="P289" s="50"/>
      <c r="Q289" s="96"/>
      <c r="R289" s="199" t="s">
        <v>731</v>
      </c>
      <c r="S289" s="197" t="s">
        <v>1109</v>
      </c>
      <c r="T289" s="117">
        <v>-10573.47</v>
      </c>
      <c r="U289" s="129">
        <v>-16310.95</v>
      </c>
      <c r="V289" s="315">
        <v>-16310.95</v>
      </c>
      <c r="AE289"/>
      <c r="AF289"/>
      <c r="AG289"/>
      <c r="AH289"/>
      <c r="AI289"/>
      <c r="AJ289"/>
      <c r="BA289" s="199" t="s">
        <v>731</v>
      </c>
      <c r="BB289" s="197" t="s">
        <v>1109</v>
      </c>
      <c r="BC289" s="77">
        <f t="shared" si="14"/>
        <v>0</v>
      </c>
      <c r="BE289" s="50" t="s">
        <v>731</v>
      </c>
      <c r="BF289" s="50" t="s">
        <v>1109</v>
      </c>
      <c r="BG289" s="376">
        <v>-239173.31</v>
      </c>
    </row>
    <row r="290" spans="1:59">
      <c r="A290" s="199" t="s">
        <v>733</v>
      </c>
      <c r="B290" s="197" t="s">
        <v>1110</v>
      </c>
      <c r="C290" s="324">
        <v>-155622.84</v>
      </c>
      <c r="D290" s="198">
        <v>-138350.22</v>
      </c>
      <c r="E290" s="198">
        <v>-167352.62</v>
      </c>
      <c r="F290" s="378">
        <v>-198772.31</v>
      </c>
      <c r="G290" s="128">
        <f t="shared" si="13"/>
        <v>-660097.99</v>
      </c>
      <c r="I290" s="220"/>
      <c r="J290" s="221"/>
      <c r="K290" s="199" t="s">
        <v>733</v>
      </c>
      <c r="L290" s="197" t="s">
        <v>1110</v>
      </c>
      <c r="M290" s="117"/>
      <c r="N290" s="198">
        <v>-138350.22</v>
      </c>
      <c r="O290" s="117">
        <f t="shared" si="15"/>
        <v>-138350.22</v>
      </c>
      <c r="P290" s="50"/>
      <c r="Q290" s="96"/>
      <c r="R290" s="199" t="s">
        <v>733</v>
      </c>
      <c r="S290" s="197" t="s">
        <v>1110</v>
      </c>
      <c r="T290" s="117">
        <v>-164248.85999999999</v>
      </c>
      <c r="U290" s="129">
        <v>-155622.84</v>
      </c>
      <c r="V290" s="315">
        <v>-155622.84</v>
      </c>
      <c r="AE290"/>
      <c r="AF290"/>
      <c r="AG290"/>
      <c r="AH290"/>
      <c r="AI290"/>
      <c r="AJ290"/>
      <c r="BA290" s="199" t="s">
        <v>733</v>
      </c>
      <c r="BB290" s="197" t="s">
        <v>1110</v>
      </c>
      <c r="BC290" s="77">
        <f t="shared" si="14"/>
        <v>0</v>
      </c>
      <c r="BE290" s="50" t="s">
        <v>733</v>
      </c>
      <c r="BF290" s="50" t="s">
        <v>1110</v>
      </c>
      <c r="BG290" s="376">
        <v>-198772.31</v>
      </c>
    </row>
    <row r="291" spans="1:59">
      <c r="A291" s="199" t="s">
        <v>735</v>
      </c>
      <c r="B291" s="197" t="s">
        <v>1111</v>
      </c>
      <c r="C291" s="324">
        <v>-81004.160000000003</v>
      </c>
      <c r="D291" s="198">
        <v>-84908.92</v>
      </c>
      <c r="E291" s="198">
        <v>-70609.429999999993</v>
      </c>
      <c r="F291" s="378">
        <v>-122254.42</v>
      </c>
      <c r="G291" s="128">
        <f t="shared" si="13"/>
        <v>-358776.93</v>
      </c>
      <c r="I291" s="220"/>
      <c r="J291" s="221"/>
      <c r="K291" s="199" t="s">
        <v>735</v>
      </c>
      <c r="L291" s="197" t="s">
        <v>1111</v>
      </c>
      <c r="M291" s="117"/>
      <c r="N291" s="198">
        <v>-84908.92</v>
      </c>
      <c r="O291" s="117">
        <f t="shared" si="15"/>
        <v>-84908.92</v>
      </c>
      <c r="P291" s="50"/>
      <c r="Q291" s="96"/>
      <c r="R291" s="199" t="s">
        <v>735</v>
      </c>
      <c r="S291" s="197" t="s">
        <v>1111</v>
      </c>
      <c r="T291" s="117">
        <v>-102911.39</v>
      </c>
      <c r="U291" s="129">
        <v>-81004.160000000003</v>
      </c>
      <c r="V291" s="315">
        <v>-81004.160000000003</v>
      </c>
      <c r="AE291"/>
      <c r="AF291"/>
      <c r="AG291"/>
      <c r="AH291"/>
      <c r="AI291"/>
      <c r="AJ291"/>
      <c r="BA291" s="199" t="s">
        <v>735</v>
      </c>
      <c r="BB291" s="197" t="s">
        <v>1111</v>
      </c>
      <c r="BC291" s="77">
        <f t="shared" si="14"/>
        <v>0</v>
      </c>
      <c r="BE291" s="50" t="s">
        <v>735</v>
      </c>
      <c r="BF291" s="50" t="s">
        <v>1111</v>
      </c>
      <c r="BG291" s="376">
        <v>-122254.42</v>
      </c>
    </row>
    <row r="292" spans="1:59">
      <c r="A292" s="199" t="s">
        <v>737</v>
      </c>
      <c r="B292" s="197" t="s">
        <v>1112</v>
      </c>
      <c r="C292" s="332">
        <v>-154244.42000000001</v>
      </c>
      <c r="D292" s="198">
        <v>-32531.91</v>
      </c>
      <c r="E292" s="198">
        <v>-55792.91</v>
      </c>
      <c r="F292" s="378">
        <v>-123768.22</v>
      </c>
      <c r="G292" s="128">
        <f t="shared" si="13"/>
        <v>-366337.46</v>
      </c>
      <c r="I292" s="220"/>
      <c r="J292" s="221"/>
      <c r="K292" s="199" t="s">
        <v>737</v>
      </c>
      <c r="L292" s="197" t="s">
        <v>1112</v>
      </c>
      <c r="M292" s="117"/>
      <c r="N292" s="198">
        <v>-32531.91</v>
      </c>
      <c r="O292" s="117">
        <f t="shared" si="15"/>
        <v>-32531.91</v>
      </c>
      <c r="P292" s="50"/>
      <c r="R292" s="199" t="s">
        <v>737</v>
      </c>
      <c r="S292" s="197" t="s">
        <v>1112</v>
      </c>
      <c r="T292" s="117">
        <v>-76446.850000000006</v>
      </c>
      <c r="U292" s="129">
        <v>-154244.42000000001</v>
      </c>
      <c r="V292" s="54">
        <v>-154244.42000000001</v>
      </c>
      <c r="BA292" s="199" t="s">
        <v>737</v>
      </c>
      <c r="BB292" s="197" t="s">
        <v>1112</v>
      </c>
      <c r="BC292" s="77">
        <f t="shared" si="14"/>
        <v>0</v>
      </c>
      <c r="BE292" s="50" t="s">
        <v>737</v>
      </c>
      <c r="BF292" s="50" t="s">
        <v>1112</v>
      </c>
      <c r="BG292" s="376">
        <v>-123768.22</v>
      </c>
    </row>
    <row r="293" spans="1:59">
      <c r="A293" s="199" t="s">
        <v>739</v>
      </c>
      <c r="B293" s="197" t="s">
        <v>1054</v>
      </c>
      <c r="C293" s="333">
        <v>1292248.71</v>
      </c>
      <c r="D293" s="198">
        <v>-22745.86</v>
      </c>
      <c r="E293" s="198">
        <v>-232291.87</v>
      </c>
      <c r="F293" s="378">
        <v>-157578.5</v>
      </c>
      <c r="G293" s="128">
        <f t="shared" si="13"/>
        <v>879632.47999999986</v>
      </c>
      <c r="J293" s="50"/>
      <c r="K293" s="199" t="s">
        <v>739</v>
      </c>
      <c r="L293" s="197" t="s">
        <v>1054</v>
      </c>
      <c r="M293" s="117">
        <f t="shared" ref="M293" si="17">+C293</f>
        <v>1292248.71</v>
      </c>
      <c r="N293" s="198">
        <v>-22745.86</v>
      </c>
      <c r="O293" s="117">
        <f t="shared" si="15"/>
        <v>1269502.8499999999</v>
      </c>
      <c r="P293" s="50"/>
      <c r="R293" s="199" t="s">
        <v>739</v>
      </c>
      <c r="S293" s="197" t="s">
        <v>1054</v>
      </c>
      <c r="T293" s="117">
        <v>1083633.33</v>
      </c>
      <c r="U293" s="129">
        <v>208615.38</v>
      </c>
      <c r="V293" s="323">
        <v>1292248.71</v>
      </c>
      <c r="BA293" s="199" t="s">
        <v>739</v>
      </c>
      <c r="BB293" s="197" t="s">
        <v>1054</v>
      </c>
      <c r="BC293" s="77">
        <f t="shared" si="14"/>
        <v>0</v>
      </c>
      <c r="BE293" s="50" t="s">
        <v>739</v>
      </c>
      <c r="BF293" s="50" t="s">
        <v>1054</v>
      </c>
      <c r="BG293" s="376">
        <v>-157578.5</v>
      </c>
    </row>
    <row r="294" spans="1:59">
      <c r="A294" s="199" t="s">
        <v>740</v>
      </c>
      <c r="B294" s="197" t="s">
        <v>1113</v>
      </c>
      <c r="C294" s="332">
        <v>-47854.36</v>
      </c>
      <c r="D294" s="198">
        <v>-99095.7</v>
      </c>
      <c r="E294" s="198">
        <v>30549.66</v>
      </c>
      <c r="F294" s="378">
        <v>-29118.84</v>
      </c>
      <c r="G294" s="128">
        <f t="shared" si="13"/>
        <v>-145519.24</v>
      </c>
      <c r="I294" s="210"/>
      <c r="K294" s="199" t="s">
        <v>740</v>
      </c>
      <c r="L294" s="197" t="s">
        <v>1113</v>
      </c>
      <c r="M294" s="117"/>
      <c r="N294" s="198">
        <v>-99095.7</v>
      </c>
      <c r="O294" s="117">
        <f t="shared" si="15"/>
        <v>-99095.7</v>
      </c>
      <c r="P294" s="50"/>
      <c r="R294" s="199" t="s">
        <v>740</v>
      </c>
      <c r="S294" s="197" t="s">
        <v>1113</v>
      </c>
      <c r="T294" s="117">
        <v>-59791.29</v>
      </c>
      <c r="U294" s="129">
        <v>-47854.36</v>
      </c>
      <c r="V294" s="54">
        <v>-47854.36</v>
      </c>
      <c r="BA294" s="199" t="s">
        <v>740</v>
      </c>
      <c r="BB294" s="197" t="s">
        <v>1113</v>
      </c>
      <c r="BC294" s="77">
        <f t="shared" si="14"/>
        <v>0</v>
      </c>
      <c r="BE294" s="50" t="s">
        <v>740</v>
      </c>
      <c r="BF294" s="50" t="s">
        <v>1113</v>
      </c>
      <c r="BG294" s="376">
        <v>-29118.84</v>
      </c>
    </row>
    <row r="295" spans="1:59">
      <c r="A295"/>
      <c r="B295" s="212" t="s">
        <v>1680</v>
      </c>
      <c r="I295" s="210"/>
      <c r="K295" s="50"/>
      <c r="L295" s="50"/>
      <c r="M295" s="50"/>
      <c r="N295" s="50"/>
      <c r="O295" s="50"/>
      <c r="P295" s="50"/>
      <c r="BC295" s="77"/>
    </row>
    <row r="296" spans="1:59">
      <c r="A296" s="211" t="s">
        <v>167</v>
      </c>
      <c r="B296" s="212" t="s">
        <v>168</v>
      </c>
      <c r="I296" s="210"/>
      <c r="K296" s="119"/>
      <c r="L296" s="119"/>
      <c r="M296" s="119"/>
      <c r="N296" s="119"/>
      <c r="O296" s="119"/>
      <c r="P296" s="50"/>
      <c r="BC296" s="77"/>
    </row>
    <row r="297" spans="1:59">
      <c r="A297" s="211" t="s">
        <v>193</v>
      </c>
      <c r="B297" s="212" t="s">
        <v>194</v>
      </c>
      <c r="I297" s="210"/>
      <c r="K297" s="50"/>
      <c r="L297" s="50"/>
      <c r="M297" s="50"/>
      <c r="N297" s="50"/>
      <c r="O297" s="50"/>
      <c r="P297" s="50"/>
    </row>
    <row r="298" spans="1:59">
      <c r="A298" s="211" t="s">
        <v>233</v>
      </c>
      <c r="B298" s="212" t="s">
        <v>234</v>
      </c>
      <c r="F298" s="225"/>
      <c r="I298" s="210"/>
      <c r="K298" s="50"/>
      <c r="L298" s="50"/>
      <c r="M298" s="50"/>
      <c r="N298" s="50"/>
      <c r="O298" s="50"/>
      <c r="P298" s="50"/>
    </row>
    <row r="299" spans="1:59">
      <c r="A299" s="211" t="s">
        <v>273</v>
      </c>
      <c r="B299" s="212" t="s">
        <v>274</v>
      </c>
      <c r="I299" s="210"/>
      <c r="K299" s="50"/>
      <c r="L299" s="50"/>
      <c r="M299" s="50"/>
      <c r="N299" s="50"/>
      <c r="O299" s="50"/>
      <c r="P299" s="50"/>
    </row>
    <row r="300" spans="1:59">
      <c r="A300" s="213" t="s">
        <v>1237</v>
      </c>
      <c r="B300" s="214" t="s">
        <v>1250</v>
      </c>
      <c r="I300" s="210"/>
    </row>
    <row r="301" spans="1:59">
      <c r="A301" s="215" t="s">
        <v>1238</v>
      </c>
      <c r="B301" s="138" t="s">
        <v>1251</v>
      </c>
      <c r="I301" s="210"/>
    </row>
    <row r="302" spans="1:59">
      <c r="A302" s="215" t="s">
        <v>1619</v>
      </c>
      <c r="B302" s="216" t="s">
        <v>1637</v>
      </c>
      <c r="I302" s="210"/>
    </row>
    <row r="303" spans="1:59">
      <c r="A303" s="217" t="s">
        <v>1620</v>
      </c>
      <c r="B303" s="216" t="s">
        <v>1633</v>
      </c>
      <c r="I303" s="210"/>
    </row>
    <row r="304" spans="1:59">
      <c r="A304" s="215" t="s">
        <v>1239</v>
      </c>
      <c r="B304" s="138" t="s">
        <v>1252</v>
      </c>
      <c r="I304" s="210"/>
    </row>
    <row r="305" spans="1:9">
      <c r="A305" s="211" t="s">
        <v>387</v>
      </c>
      <c r="B305" s="212" t="s">
        <v>388</v>
      </c>
      <c r="I305" s="210"/>
    </row>
    <row r="306" spans="1:9">
      <c r="A306" s="211" t="s">
        <v>401</v>
      </c>
      <c r="B306" s="212" t="s">
        <v>402</v>
      </c>
      <c r="I306" s="210"/>
    </row>
    <row r="307" spans="1:9">
      <c r="A307" s="211" t="s">
        <v>405</v>
      </c>
      <c r="B307" s="212" t="s">
        <v>406</v>
      </c>
      <c r="I307" s="210"/>
    </row>
    <row r="308" spans="1:9">
      <c r="A308" s="211" t="s">
        <v>411</v>
      </c>
      <c r="B308" s="212" t="s">
        <v>412</v>
      </c>
      <c r="I308" s="210"/>
    </row>
    <row r="309" spans="1:9">
      <c r="A309" s="211" t="s">
        <v>421</v>
      </c>
      <c r="B309" s="212" t="s">
        <v>422</v>
      </c>
      <c r="I309" s="210"/>
    </row>
    <row r="310" spans="1:9">
      <c r="A310" s="211" t="s">
        <v>538</v>
      </c>
      <c r="B310" s="212" t="s">
        <v>539</v>
      </c>
      <c r="I310" s="210"/>
    </row>
    <row r="311" spans="1:9">
      <c r="A311" s="211" t="s">
        <v>561</v>
      </c>
      <c r="B311" s="212" t="s">
        <v>562</v>
      </c>
      <c r="I311" s="210"/>
    </row>
    <row r="312" spans="1:9">
      <c r="A312" s="211" t="s">
        <v>597</v>
      </c>
      <c r="B312" s="212" t="s">
        <v>598</v>
      </c>
      <c r="I312" s="210"/>
    </row>
    <row r="313" spans="1:9">
      <c r="A313" s="211" t="s">
        <v>599</v>
      </c>
      <c r="B313" s="212" t="s">
        <v>600</v>
      </c>
      <c r="I313" s="210"/>
    </row>
    <row r="314" spans="1:9">
      <c r="A314" s="207" t="s">
        <v>1678</v>
      </c>
      <c r="B314" s="207" t="s">
        <v>1677</v>
      </c>
      <c r="I314" s="210"/>
    </row>
    <row r="315" spans="1:9">
      <c r="A315" s="211" t="s">
        <v>688</v>
      </c>
      <c r="B315" s="212" t="s">
        <v>689</v>
      </c>
      <c r="I315" s="210"/>
    </row>
    <row r="316" spans="1:9">
      <c r="A316" s="211" t="s">
        <v>702</v>
      </c>
      <c r="B316" s="212" t="s">
        <v>703</v>
      </c>
    </row>
    <row r="317" spans="1:9">
      <c r="A317" s="211" t="s">
        <v>712</v>
      </c>
      <c r="B317" s="212" t="s">
        <v>713</v>
      </c>
    </row>
  </sheetData>
  <sortState ref="J2:K314">
    <sortCondition ref="J2:J314"/>
  </sortState>
  <conditionalFormatting sqref="G2 G4:G15 G17:G36 G38:G56 G58:G109 G116:G120 G123:G128 G130 G132:G133 G135:G286">
    <cfRule type="cellIs" dxfId="30" priority="10" operator="greaterThan">
      <formula>0</formula>
    </cfRule>
  </conditionalFormatting>
  <conditionalFormatting sqref="T92">
    <cfRule type="cellIs" dxfId="29" priority="2" operator="greaterThan">
      <formula>0</formula>
    </cfRule>
  </conditionalFormatting>
  <conditionalFormatting sqref="G293">
    <cfRule type="cellIs" dxfId="28" priority="1" operator="greaterThan">
      <formula>0</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1"/>
  <sheetViews>
    <sheetView workbookViewId="0">
      <selection activeCell="O2" sqref="O2"/>
    </sheetView>
  </sheetViews>
  <sheetFormatPr defaultRowHeight="15"/>
  <cols>
    <col min="1" max="1" width="6.42578125" bestFit="1" customWidth="1"/>
    <col min="2" max="2" width="18.85546875" bestFit="1" customWidth="1"/>
    <col min="3" max="7" width="13.28515625" bestFit="1" customWidth="1"/>
    <col min="9" max="10" width="13.28515625" bestFit="1" customWidth="1"/>
    <col min="11" max="11" width="12.42578125" bestFit="1" customWidth="1"/>
    <col min="13" max="13" width="14" bestFit="1" customWidth="1"/>
    <col min="15" max="15" width="13.28515625" bestFit="1" customWidth="1"/>
    <col min="16" max="26" width="10.140625" customWidth="1"/>
    <col min="28" max="28" width="28.140625" bestFit="1" customWidth="1"/>
    <col min="29" max="29" width="13.28515625" bestFit="1" customWidth="1"/>
    <col min="30" max="30" width="11.5703125" bestFit="1" customWidth="1"/>
    <col min="31" max="33" width="13.28515625" bestFit="1" customWidth="1"/>
  </cols>
  <sheetData>
    <row r="1" spans="1:35" s="119" customFormat="1">
      <c r="K1" s="119" t="s">
        <v>1659</v>
      </c>
    </row>
    <row r="2" spans="1:35" ht="15.75">
      <c r="A2" s="107" t="s">
        <v>80</v>
      </c>
      <c r="B2" s="107" t="s">
        <v>836</v>
      </c>
      <c r="C2" s="106" t="s">
        <v>1233</v>
      </c>
      <c r="D2" s="106" t="s">
        <v>1598</v>
      </c>
      <c r="E2" s="106" t="s">
        <v>1599</v>
      </c>
      <c r="F2" s="106" t="s">
        <v>1621</v>
      </c>
      <c r="G2" s="126" t="s">
        <v>838</v>
      </c>
      <c r="I2" s="106" t="s">
        <v>1212</v>
      </c>
      <c r="J2" s="106" t="s">
        <v>1233</v>
      </c>
      <c r="K2" s="195" t="s">
        <v>1233</v>
      </c>
      <c r="AA2" t="s">
        <v>80</v>
      </c>
      <c r="AB2" t="s">
        <v>836</v>
      </c>
      <c r="AC2" t="s">
        <v>1233</v>
      </c>
      <c r="AD2" t="s">
        <v>1598</v>
      </c>
      <c r="AE2" t="s">
        <v>1599</v>
      </c>
      <c r="AF2" t="s">
        <v>1621</v>
      </c>
      <c r="AG2" t="s">
        <v>838</v>
      </c>
    </row>
    <row r="3" spans="1:35">
      <c r="A3" s="113" t="s">
        <v>165</v>
      </c>
      <c r="B3" s="197" t="s">
        <v>839</v>
      </c>
      <c r="C3" s="117">
        <v>-47075.199999999997</v>
      </c>
      <c r="D3" s="117">
        <v>-54082.14</v>
      </c>
      <c r="E3" s="127">
        <v>-36062.68</v>
      </c>
      <c r="F3" s="198">
        <v>-38477.24</v>
      </c>
      <c r="G3" s="128">
        <f t="shared" ref="G3:G66" si="0">SUM(C3:F3)</f>
        <v>-175697.25999999998</v>
      </c>
      <c r="I3" s="117">
        <v>-40118.49</v>
      </c>
      <c r="J3" s="117">
        <v>-47075.199999999997</v>
      </c>
      <c r="M3" s="54">
        <v>-215815.75</v>
      </c>
      <c r="O3" s="196">
        <f>+G3+I3-M3</f>
        <v>0</v>
      </c>
      <c r="AA3" t="s">
        <v>165</v>
      </c>
      <c r="AB3" t="s">
        <v>839</v>
      </c>
      <c r="AC3" s="115">
        <v>-47075.199999999997</v>
      </c>
      <c r="AD3" s="115">
        <v>-54082.14</v>
      </c>
      <c r="AE3" s="115">
        <v>-36062.68</v>
      </c>
      <c r="AF3" s="115">
        <v>-38477.24</v>
      </c>
      <c r="AG3" s="115">
        <f>SUM(AC3:AF3)</f>
        <v>-175697.25999999998</v>
      </c>
      <c r="AI3" s="115">
        <f>+AG3-G3</f>
        <v>0</v>
      </c>
    </row>
    <row r="4" spans="1:35">
      <c r="A4" s="199" t="s">
        <v>169</v>
      </c>
      <c r="B4" s="197" t="s">
        <v>840</v>
      </c>
      <c r="C4" s="117">
        <v>-40589.410000000003</v>
      </c>
      <c r="D4" s="117">
        <v>-43095.69</v>
      </c>
      <c r="E4" s="129">
        <v>17643.810000000001</v>
      </c>
      <c r="F4" s="198">
        <v>-34579.379999999997</v>
      </c>
      <c r="G4" s="128">
        <f t="shared" si="0"/>
        <v>-100620.67000000001</v>
      </c>
      <c r="I4" s="117">
        <v>-180164</v>
      </c>
      <c r="J4" s="117">
        <v>-40589.410000000003</v>
      </c>
      <c r="M4" s="54">
        <v>-280784.67</v>
      </c>
      <c r="O4" s="196">
        <f t="shared" ref="O4:O67" si="1">+G4+I4-M4</f>
        <v>0</v>
      </c>
      <c r="AA4" t="s">
        <v>169</v>
      </c>
      <c r="AB4" t="s">
        <v>840</v>
      </c>
      <c r="AC4" s="115">
        <v>-40589.410000000003</v>
      </c>
      <c r="AD4" s="115">
        <v>-43095.69</v>
      </c>
      <c r="AE4" s="115">
        <v>17643.810000000001</v>
      </c>
      <c r="AF4" s="115">
        <v>-34579.379999999997</v>
      </c>
      <c r="AG4" s="115">
        <f t="shared" ref="AG4:AG67" si="2">SUM(AC4:AF4)</f>
        <v>-100620.67000000001</v>
      </c>
      <c r="AI4" s="115">
        <f t="shared" ref="AI4:AI67" si="3">+AG4-G4</f>
        <v>0</v>
      </c>
    </row>
    <row r="5" spans="1:35">
      <c r="A5" s="199" t="s">
        <v>171</v>
      </c>
      <c r="B5" s="197" t="s">
        <v>841</v>
      </c>
      <c r="C5" s="117">
        <v>-71639.61</v>
      </c>
      <c r="D5" s="117">
        <v>-82313.94</v>
      </c>
      <c r="E5" s="129">
        <v>-79338.7</v>
      </c>
      <c r="F5" s="198">
        <v>-79479.850000000006</v>
      </c>
      <c r="G5" s="128">
        <f t="shared" si="0"/>
        <v>-312772.09999999998</v>
      </c>
      <c r="I5" s="117">
        <v>-61597.95</v>
      </c>
      <c r="J5" s="117">
        <v>-71639.61</v>
      </c>
      <c r="M5" s="54">
        <v>-374370.05000000005</v>
      </c>
      <c r="O5" s="196">
        <f t="shared" si="1"/>
        <v>0</v>
      </c>
      <c r="AA5" t="s">
        <v>171</v>
      </c>
      <c r="AB5" t="s">
        <v>841</v>
      </c>
      <c r="AC5" s="115">
        <v>-71639.61</v>
      </c>
      <c r="AD5" s="115">
        <v>-82313.94</v>
      </c>
      <c r="AE5" s="115">
        <v>-79338.7</v>
      </c>
      <c r="AF5" s="115">
        <v>-79479.850000000006</v>
      </c>
      <c r="AG5" s="115">
        <f t="shared" si="2"/>
        <v>-312772.09999999998</v>
      </c>
      <c r="AI5" s="115">
        <f t="shared" si="3"/>
        <v>0</v>
      </c>
    </row>
    <row r="6" spans="1:35">
      <c r="A6" s="199" t="s">
        <v>173</v>
      </c>
      <c r="B6" s="197" t="s">
        <v>842</v>
      </c>
      <c r="C6" s="117">
        <v>-75387.95</v>
      </c>
      <c r="D6" s="117">
        <v>-48204.02</v>
      </c>
      <c r="E6" s="129">
        <v>-90080.48</v>
      </c>
      <c r="F6" s="198">
        <v>-82727.63</v>
      </c>
      <c r="G6" s="128">
        <f t="shared" si="0"/>
        <v>-296400.08</v>
      </c>
      <c r="I6" s="117">
        <v>-63335.89</v>
      </c>
      <c r="J6" s="117">
        <v>-75387.95</v>
      </c>
      <c r="M6" s="54">
        <v>-359735.97</v>
      </c>
      <c r="O6" s="196">
        <f t="shared" si="1"/>
        <v>0</v>
      </c>
      <c r="AA6" t="s">
        <v>173</v>
      </c>
      <c r="AB6" t="s">
        <v>842</v>
      </c>
      <c r="AC6" s="115">
        <v>-75387.95</v>
      </c>
      <c r="AD6" s="115">
        <v>-48204.02</v>
      </c>
      <c r="AE6" s="115">
        <v>-90080.48</v>
      </c>
      <c r="AF6" s="115">
        <v>-82727.63</v>
      </c>
      <c r="AG6" s="115">
        <f t="shared" si="2"/>
        <v>-296400.08</v>
      </c>
      <c r="AI6" s="115">
        <f t="shared" si="3"/>
        <v>0</v>
      </c>
    </row>
    <row r="7" spans="1:35">
      <c r="A7" s="199" t="s">
        <v>175</v>
      </c>
      <c r="B7" s="197" t="s">
        <v>843</v>
      </c>
      <c r="C7" s="117">
        <v>-122173.79</v>
      </c>
      <c r="D7" s="117">
        <v>-117877.45</v>
      </c>
      <c r="E7" s="129">
        <v>-145589.54</v>
      </c>
      <c r="F7" s="198">
        <v>-174024.92</v>
      </c>
      <c r="G7" s="128">
        <f t="shared" si="0"/>
        <v>-559665.70000000007</v>
      </c>
      <c r="I7" s="117">
        <v>-67259.81</v>
      </c>
      <c r="J7" s="117">
        <v>-122173.79</v>
      </c>
      <c r="M7" s="54">
        <v>-626925.51</v>
      </c>
      <c r="O7" s="196">
        <f t="shared" si="1"/>
        <v>0</v>
      </c>
      <c r="AA7" t="s">
        <v>175</v>
      </c>
      <c r="AB7" t="s">
        <v>843</v>
      </c>
      <c r="AC7" s="115">
        <v>-122173.79</v>
      </c>
      <c r="AD7" s="115">
        <v>-117877.45</v>
      </c>
      <c r="AE7" s="115">
        <v>-145589.54</v>
      </c>
      <c r="AF7" s="115">
        <v>-174024.92</v>
      </c>
      <c r="AG7" s="115">
        <f t="shared" si="2"/>
        <v>-559665.70000000007</v>
      </c>
      <c r="AI7" s="115">
        <f t="shared" si="3"/>
        <v>0</v>
      </c>
    </row>
    <row r="8" spans="1:35">
      <c r="A8" s="199" t="s">
        <v>177</v>
      </c>
      <c r="B8" s="197" t="s">
        <v>844</v>
      </c>
      <c r="C8" s="117">
        <v>-33514.93</v>
      </c>
      <c r="D8" s="117">
        <v>-54076.480000000003</v>
      </c>
      <c r="E8" s="129">
        <v>-71421.600000000006</v>
      </c>
      <c r="F8" s="198">
        <v>-90429.59</v>
      </c>
      <c r="G8" s="128">
        <f t="shared" si="0"/>
        <v>-249442.6</v>
      </c>
      <c r="I8" s="117">
        <v>-35281.03</v>
      </c>
      <c r="J8" s="117">
        <v>-33514.93</v>
      </c>
      <c r="M8" s="54">
        <v>-284723.63</v>
      </c>
      <c r="O8" s="196">
        <f t="shared" si="1"/>
        <v>0</v>
      </c>
      <c r="AA8" t="s">
        <v>177</v>
      </c>
      <c r="AB8" t="s">
        <v>844</v>
      </c>
      <c r="AC8" s="115">
        <v>-33514.93</v>
      </c>
      <c r="AD8" s="115">
        <v>-54076.480000000003</v>
      </c>
      <c r="AE8" s="115">
        <v>-71421.600000000006</v>
      </c>
      <c r="AF8" s="115">
        <v>-90429.59</v>
      </c>
      <c r="AG8" s="115">
        <f t="shared" si="2"/>
        <v>-249442.6</v>
      </c>
      <c r="AI8" s="115">
        <f t="shared" si="3"/>
        <v>0</v>
      </c>
    </row>
    <row r="9" spans="1:35">
      <c r="A9" s="199" t="s">
        <v>179</v>
      </c>
      <c r="B9" s="197" t="s">
        <v>845</v>
      </c>
      <c r="C9" s="117">
        <v>-794129.87</v>
      </c>
      <c r="D9" s="117">
        <v>-728320.67</v>
      </c>
      <c r="E9" s="129">
        <v>-1085526.56</v>
      </c>
      <c r="F9" s="198">
        <v>-1095493.98</v>
      </c>
      <c r="G9" s="128">
        <f t="shared" si="0"/>
        <v>-3703471.08</v>
      </c>
      <c r="I9" s="117">
        <v>-642613.66</v>
      </c>
      <c r="J9" s="117">
        <v>-794129.87</v>
      </c>
      <c r="M9" s="54">
        <v>-4346084.74</v>
      </c>
      <c r="O9" s="196">
        <f t="shared" si="1"/>
        <v>0</v>
      </c>
      <c r="AA9" t="s">
        <v>179</v>
      </c>
      <c r="AB9" t="s">
        <v>845</v>
      </c>
      <c r="AC9" s="115">
        <v>-794129.87</v>
      </c>
      <c r="AD9" s="115">
        <v>-728320.67</v>
      </c>
      <c r="AE9" s="115">
        <v>-1085526.56</v>
      </c>
      <c r="AF9" s="115">
        <v>-1095493.98</v>
      </c>
      <c r="AG9" s="115">
        <f t="shared" si="2"/>
        <v>-3703471.08</v>
      </c>
      <c r="AI9" s="115">
        <f t="shared" si="3"/>
        <v>0</v>
      </c>
    </row>
    <row r="10" spans="1:35">
      <c r="A10" s="199" t="s">
        <v>181</v>
      </c>
      <c r="B10" s="197" t="s">
        <v>846</v>
      </c>
      <c r="C10" s="117">
        <v>-61575.8</v>
      </c>
      <c r="D10" s="117">
        <v>-52237.86</v>
      </c>
      <c r="E10" s="129">
        <v>-52417.25</v>
      </c>
      <c r="F10" s="198">
        <v>-66269.47</v>
      </c>
      <c r="G10" s="128">
        <f t="shared" si="0"/>
        <v>-232500.38</v>
      </c>
      <c r="I10" s="117">
        <v>-63364.68</v>
      </c>
      <c r="J10" s="117">
        <v>-61575.8</v>
      </c>
      <c r="M10" s="54">
        <v>-295865.06000000006</v>
      </c>
      <c r="O10" s="196">
        <f t="shared" si="1"/>
        <v>0</v>
      </c>
      <c r="AA10" t="s">
        <v>181</v>
      </c>
      <c r="AB10" t="s">
        <v>846</v>
      </c>
      <c r="AC10" s="115">
        <v>-61575.8</v>
      </c>
      <c r="AD10" s="115">
        <v>-52237.86</v>
      </c>
      <c r="AE10" s="115">
        <v>-52417.25</v>
      </c>
      <c r="AF10" s="115">
        <v>-66269.47</v>
      </c>
      <c r="AG10" s="115">
        <f t="shared" si="2"/>
        <v>-232500.38</v>
      </c>
      <c r="AI10" s="115">
        <f t="shared" si="3"/>
        <v>0</v>
      </c>
    </row>
    <row r="11" spans="1:35">
      <c r="A11" s="199" t="s">
        <v>183</v>
      </c>
      <c r="B11" s="197" t="s">
        <v>847</v>
      </c>
      <c r="C11" s="117">
        <v>50404.36</v>
      </c>
      <c r="D11" s="117">
        <v>-9562.59</v>
      </c>
      <c r="E11" s="129">
        <v>-20589.36</v>
      </c>
      <c r="F11" s="198">
        <v>-30691.7</v>
      </c>
      <c r="G11" s="128">
        <f t="shared" si="0"/>
        <v>-10439.289999999997</v>
      </c>
      <c r="I11" s="117">
        <v>29388.45</v>
      </c>
      <c r="J11" s="117">
        <v>21015.91</v>
      </c>
      <c r="K11" s="115">
        <v>50404.36</v>
      </c>
      <c r="M11" s="54">
        <v>-10439.289999999997</v>
      </c>
      <c r="O11" s="196">
        <f t="shared" si="1"/>
        <v>29388.45</v>
      </c>
      <c r="AA11" t="s">
        <v>183</v>
      </c>
      <c r="AB11" t="s">
        <v>847</v>
      </c>
      <c r="AC11" s="115">
        <v>50404.36</v>
      </c>
      <c r="AD11" s="115">
        <v>-9562.59</v>
      </c>
      <c r="AE11" s="115">
        <v>-20589.36</v>
      </c>
      <c r="AF11" s="115">
        <v>-30691.7</v>
      </c>
      <c r="AG11" s="115">
        <f t="shared" si="2"/>
        <v>-10439.289999999997</v>
      </c>
      <c r="AI11" s="115">
        <f t="shared" si="3"/>
        <v>0</v>
      </c>
    </row>
    <row r="12" spans="1:35">
      <c r="A12" s="199" t="s">
        <v>185</v>
      </c>
      <c r="B12" s="197" t="s">
        <v>848</v>
      </c>
      <c r="C12" s="117">
        <v>-98107.25</v>
      </c>
      <c r="D12" s="117">
        <v>-101242.41</v>
      </c>
      <c r="E12" s="129">
        <v>-130255.65</v>
      </c>
      <c r="F12" s="198">
        <v>-138117.04999999999</v>
      </c>
      <c r="G12" s="128">
        <f t="shared" si="0"/>
        <v>-467722.36</v>
      </c>
      <c r="I12" s="117">
        <v>-79531.13</v>
      </c>
      <c r="J12" s="117">
        <v>-98107.25</v>
      </c>
      <c r="M12" s="54">
        <v>-547253.49</v>
      </c>
      <c r="O12" s="196">
        <f t="shared" si="1"/>
        <v>0</v>
      </c>
      <c r="AA12" t="s">
        <v>185</v>
      </c>
      <c r="AB12" t="s">
        <v>848</v>
      </c>
      <c r="AC12" s="115">
        <v>-98107.25</v>
      </c>
      <c r="AD12" s="115">
        <v>-101242.41</v>
      </c>
      <c r="AE12" s="115">
        <v>-130255.65</v>
      </c>
      <c r="AF12" s="115">
        <v>-138117.04999999999</v>
      </c>
      <c r="AG12" s="115">
        <f t="shared" si="2"/>
        <v>-467722.36</v>
      </c>
      <c r="AI12" s="115">
        <f t="shared" si="3"/>
        <v>0</v>
      </c>
    </row>
    <row r="13" spans="1:35">
      <c r="A13" s="199" t="s">
        <v>187</v>
      </c>
      <c r="B13" s="197" t="s">
        <v>849</v>
      </c>
      <c r="C13" s="117">
        <v>-159587.53</v>
      </c>
      <c r="D13" s="117">
        <v>-94931.39</v>
      </c>
      <c r="E13" s="129">
        <v>-174832.48</v>
      </c>
      <c r="F13" s="198">
        <v>-248375.35</v>
      </c>
      <c r="G13" s="128">
        <f t="shared" si="0"/>
        <v>-677726.75</v>
      </c>
      <c r="I13" s="117">
        <v>-102662.38</v>
      </c>
      <c r="J13" s="117">
        <v>-159587.53</v>
      </c>
      <c r="M13" s="54">
        <v>-780389.13</v>
      </c>
      <c r="O13" s="196">
        <f t="shared" si="1"/>
        <v>0</v>
      </c>
      <c r="AA13" t="s">
        <v>187</v>
      </c>
      <c r="AB13" t="s">
        <v>849</v>
      </c>
      <c r="AC13" s="115">
        <v>-159587.53</v>
      </c>
      <c r="AD13" s="115">
        <v>-94931.39</v>
      </c>
      <c r="AE13" s="115">
        <v>-174832.48</v>
      </c>
      <c r="AF13" s="115">
        <v>-248375.35</v>
      </c>
      <c r="AG13" s="115">
        <f t="shared" si="2"/>
        <v>-677726.75</v>
      </c>
      <c r="AI13" s="115">
        <f t="shared" si="3"/>
        <v>0</v>
      </c>
    </row>
    <row r="14" spans="1:35">
      <c r="A14" s="199" t="s">
        <v>189</v>
      </c>
      <c r="B14" s="197" t="s">
        <v>850</v>
      </c>
      <c r="C14" s="117">
        <v>-434476.59</v>
      </c>
      <c r="D14" s="117">
        <v>-290702.68</v>
      </c>
      <c r="E14" s="129">
        <v>-653592.43999999994</v>
      </c>
      <c r="F14" s="198">
        <v>-852377.72</v>
      </c>
      <c r="G14" s="128">
        <f t="shared" si="0"/>
        <v>-2231149.4299999997</v>
      </c>
      <c r="I14" s="117">
        <v>-276591.90999999997</v>
      </c>
      <c r="J14" s="117">
        <v>-434476.59</v>
      </c>
      <c r="M14" s="54">
        <v>-2507741.34</v>
      </c>
      <c r="O14" s="196">
        <f t="shared" si="1"/>
        <v>0</v>
      </c>
      <c r="AA14" t="s">
        <v>189</v>
      </c>
      <c r="AB14" t="s">
        <v>850</v>
      </c>
      <c r="AC14" s="115">
        <v>-434476.59</v>
      </c>
      <c r="AD14" s="115">
        <v>-290702.68</v>
      </c>
      <c r="AE14" s="115">
        <v>-653592.43999999994</v>
      </c>
      <c r="AF14" s="115">
        <v>-852377.72</v>
      </c>
      <c r="AG14" s="115">
        <f t="shared" si="2"/>
        <v>-2231149.4299999997</v>
      </c>
      <c r="AI14" s="115">
        <f t="shared" si="3"/>
        <v>0</v>
      </c>
    </row>
    <row r="15" spans="1:35">
      <c r="A15" s="199" t="s">
        <v>191</v>
      </c>
      <c r="B15" s="197" t="s">
        <v>851</v>
      </c>
      <c r="C15" s="117">
        <v>-59920.92</v>
      </c>
      <c r="D15" s="117">
        <v>-139726.82999999999</v>
      </c>
      <c r="E15" s="129">
        <v>-155496.48000000001</v>
      </c>
      <c r="F15" s="198">
        <v>-148699.88</v>
      </c>
      <c r="G15" s="128">
        <f t="shared" si="0"/>
        <v>-503844.11</v>
      </c>
      <c r="I15" s="117">
        <v>-21732.84</v>
      </c>
      <c r="J15" s="117">
        <v>-59920.92</v>
      </c>
      <c r="M15" s="54">
        <v>-525576.94999999995</v>
      </c>
      <c r="O15" s="196">
        <f t="shared" si="1"/>
        <v>0</v>
      </c>
      <c r="AA15" t="s">
        <v>191</v>
      </c>
      <c r="AB15" t="s">
        <v>851</v>
      </c>
      <c r="AC15" s="115">
        <v>-59920.92</v>
      </c>
      <c r="AD15" s="115">
        <v>-139726.82999999999</v>
      </c>
      <c r="AE15" s="115">
        <v>-155496.48000000001</v>
      </c>
      <c r="AF15" s="115">
        <v>-148699.88</v>
      </c>
      <c r="AG15" s="115">
        <f t="shared" si="2"/>
        <v>-503844.11</v>
      </c>
      <c r="AI15" s="115">
        <f t="shared" si="3"/>
        <v>0</v>
      </c>
    </row>
    <row r="16" spans="1:35">
      <c r="A16" s="199" t="s">
        <v>195</v>
      </c>
      <c r="B16" s="197" t="s">
        <v>852</v>
      </c>
      <c r="C16" s="117">
        <v>-40609.08</v>
      </c>
      <c r="D16" s="117">
        <v>-77064.100000000006</v>
      </c>
      <c r="E16" s="129">
        <v>-82475.56</v>
      </c>
      <c r="F16" s="198">
        <v>-72855.48</v>
      </c>
      <c r="G16" s="128">
        <f t="shared" si="0"/>
        <v>-273004.21999999997</v>
      </c>
      <c r="I16" s="117">
        <v>-51633.95</v>
      </c>
      <c r="J16" s="117">
        <v>-40609.08</v>
      </c>
      <c r="M16" s="54">
        <v>-324638.17</v>
      </c>
      <c r="O16" s="196">
        <f t="shared" si="1"/>
        <v>0</v>
      </c>
      <c r="AA16" t="s">
        <v>195</v>
      </c>
      <c r="AB16" t="s">
        <v>852</v>
      </c>
      <c r="AC16" s="115">
        <v>-40609.08</v>
      </c>
      <c r="AD16" s="115">
        <v>-77064.100000000006</v>
      </c>
      <c r="AE16" s="115">
        <v>-82475.56</v>
      </c>
      <c r="AF16" s="115">
        <v>-72855.48</v>
      </c>
      <c r="AG16" s="115">
        <f t="shared" si="2"/>
        <v>-273004.21999999997</v>
      </c>
      <c r="AI16" s="115">
        <f t="shared" si="3"/>
        <v>0</v>
      </c>
    </row>
    <row r="17" spans="1:35">
      <c r="A17" s="199" t="s">
        <v>197</v>
      </c>
      <c r="B17" s="197" t="s">
        <v>853</v>
      </c>
      <c r="C17" s="117">
        <v>-142809.26</v>
      </c>
      <c r="D17" s="117">
        <v>-217278.9</v>
      </c>
      <c r="E17" s="129">
        <v>-261869.91</v>
      </c>
      <c r="F17" s="198">
        <v>-266191.05</v>
      </c>
      <c r="G17" s="128">
        <f t="shared" si="0"/>
        <v>-888149.12000000011</v>
      </c>
      <c r="I17" s="117">
        <v>-142230.10999999999</v>
      </c>
      <c r="J17" s="117">
        <v>-142809.26</v>
      </c>
      <c r="M17" s="54">
        <v>-1030379.23</v>
      </c>
      <c r="O17" s="196">
        <f t="shared" si="1"/>
        <v>0</v>
      </c>
      <c r="AA17" t="s">
        <v>197</v>
      </c>
      <c r="AB17" t="s">
        <v>853</v>
      </c>
      <c r="AC17" s="115">
        <v>-142809.26</v>
      </c>
      <c r="AD17" s="115">
        <v>-217278.9</v>
      </c>
      <c r="AE17" s="115">
        <v>-261869.91</v>
      </c>
      <c r="AF17" s="115">
        <v>-266191.05</v>
      </c>
      <c r="AG17" s="115">
        <f t="shared" si="2"/>
        <v>-888149.12000000011</v>
      </c>
      <c r="AI17" s="115">
        <f t="shared" si="3"/>
        <v>0</v>
      </c>
    </row>
    <row r="18" spans="1:35">
      <c r="A18" s="199" t="s">
        <v>199</v>
      </c>
      <c r="B18" s="197" t="s">
        <v>854</v>
      </c>
      <c r="C18" s="117">
        <v>-94090.85</v>
      </c>
      <c r="D18" s="117">
        <v>-96878.35</v>
      </c>
      <c r="E18" s="129">
        <v>-94611.91</v>
      </c>
      <c r="F18" s="198">
        <v>-54032.33</v>
      </c>
      <c r="G18" s="128">
        <f t="shared" si="0"/>
        <v>-339613.44</v>
      </c>
      <c r="I18" s="117">
        <v>-100895.79</v>
      </c>
      <c r="J18" s="117">
        <v>-94090.85</v>
      </c>
      <c r="M18" s="54">
        <v>-440509.23000000004</v>
      </c>
      <c r="O18" s="196">
        <f t="shared" si="1"/>
        <v>0</v>
      </c>
      <c r="AA18" t="s">
        <v>199</v>
      </c>
      <c r="AB18" t="s">
        <v>854</v>
      </c>
      <c r="AC18" s="115">
        <v>-94090.85</v>
      </c>
      <c r="AD18" s="115">
        <v>-96878.35</v>
      </c>
      <c r="AE18" s="115">
        <v>-94611.91</v>
      </c>
      <c r="AF18" s="115">
        <v>-54032.33</v>
      </c>
      <c r="AG18" s="115">
        <f t="shared" si="2"/>
        <v>-339613.44</v>
      </c>
      <c r="AI18" s="115">
        <f t="shared" si="3"/>
        <v>0</v>
      </c>
    </row>
    <row r="19" spans="1:35">
      <c r="A19" s="199" t="s">
        <v>201</v>
      </c>
      <c r="B19" s="197" t="s">
        <v>855</v>
      </c>
      <c r="C19" s="117">
        <v>-149187.70000000001</v>
      </c>
      <c r="D19" s="117">
        <v>-141725.65</v>
      </c>
      <c r="E19" s="129">
        <v>-183439.03</v>
      </c>
      <c r="F19" s="198">
        <v>-210277.41</v>
      </c>
      <c r="G19" s="128">
        <f t="shared" si="0"/>
        <v>-684629.79</v>
      </c>
      <c r="I19" s="117">
        <v>-112038.78</v>
      </c>
      <c r="J19" s="117">
        <v>-149187.70000000001</v>
      </c>
      <c r="M19" s="54">
        <v>-796668.57000000007</v>
      </c>
      <c r="O19" s="196">
        <f t="shared" si="1"/>
        <v>0</v>
      </c>
      <c r="AA19" t="s">
        <v>201</v>
      </c>
      <c r="AB19" t="s">
        <v>855</v>
      </c>
      <c r="AC19" s="115">
        <v>-149187.70000000001</v>
      </c>
      <c r="AD19" s="115">
        <v>-141725.65</v>
      </c>
      <c r="AE19" s="115">
        <v>-183439.03</v>
      </c>
      <c r="AF19" s="115">
        <v>-210277.41</v>
      </c>
      <c r="AG19" s="115">
        <f t="shared" si="2"/>
        <v>-684629.79</v>
      </c>
      <c r="AI19" s="115">
        <f t="shared" si="3"/>
        <v>0</v>
      </c>
    </row>
    <row r="20" spans="1:35">
      <c r="A20" s="199" t="s">
        <v>203</v>
      </c>
      <c r="B20" s="197" t="s">
        <v>856</v>
      </c>
      <c r="C20" s="117">
        <v>-81523.67</v>
      </c>
      <c r="D20" s="117">
        <v>-53312.52</v>
      </c>
      <c r="E20" s="129">
        <v>-181563.74</v>
      </c>
      <c r="F20" s="198">
        <v>-92984.66</v>
      </c>
      <c r="G20" s="128">
        <f t="shared" si="0"/>
        <v>-409384.58999999997</v>
      </c>
      <c r="I20" s="117">
        <v>63489.14</v>
      </c>
      <c r="J20" s="117">
        <v>-145012.81</v>
      </c>
      <c r="K20" s="115">
        <v>-81523.67</v>
      </c>
      <c r="M20" s="54">
        <v>-409384.58999999997</v>
      </c>
      <c r="O20" s="196">
        <f t="shared" si="1"/>
        <v>63489.140000000014</v>
      </c>
      <c r="AA20" t="s">
        <v>203</v>
      </c>
      <c r="AB20" t="s">
        <v>856</v>
      </c>
      <c r="AC20" s="115">
        <v>-81523.67</v>
      </c>
      <c r="AD20" s="115">
        <v>-53312.52</v>
      </c>
      <c r="AE20" s="115">
        <v>-181563.74</v>
      </c>
      <c r="AF20" s="115">
        <v>-92984.66</v>
      </c>
      <c r="AG20" s="115">
        <f t="shared" si="2"/>
        <v>-409384.58999999997</v>
      </c>
      <c r="AI20" s="115">
        <f t="shared" si="3"/>
        <v>0</v>
      </c>
    </row>
    <row r="21" spans="1:35">
      <c r="A21" s="199" t="s">
        <v>205</v>
      </c>
      <c r="B21" s="197" t="s">
        <v>857</v>
      </c>
      <c r="C21" s="117">
        <v>-163792.43</v>
      </c>
      <c r="D21" s="117">
        <v>-73164.62</v>
      </c>
      <c r="E21" s="129">
        <v>-163599.13</v>
      </c>
      <c r="F21" s="198">
        <v>-135854.56</v>
      </c>
      <c r="G21" s="128">
        <f t="shared" si="0"/>
        <v>-536410.74</v>
      </c>
      <c r="I21" s="117">
        <v>-103680.08</v>
      </c>
      <c r="J21" s="117">
        <v>-163792.43</v>
      </c>
      <c r="M21" s="54">
        <v>-640090.82000000007</v>
      </c>
      <c r="O21" s="196">
        <f t="shared" si="1"/>
        <v>0</v>
      </c>
      <c r="AA21" t="s">
        <v>205</v>
      </c>
      <c r="AB21" t="s">
        <v>857</v>
      </c>
      <c r="AC21" s="115">
        <v>-163792.43</v>
      </c>
      <c r="AD21" s="115">
        <v>-73164.62</v>
      </c>
      <c r="AE21" s="115">
        <v>-163599.13</v>
      </c>
      <c r="AF21" s="115">
        <v>-135854.56</v>
      </c>
      <c r="AG21" s="115">
        <f t="shared" si="2"/>
        <v>-536410.74</v>
      </c>
      <c r="AI21" s="115">
        <f t="shared" si="3"/>
        <v>0</v>
      </c>
    </row>
    <row r="22" spans="1:35">
      <c r="A22" s="199" t="s">
        <v>207</v>
      </c>
      <c r="B22" s="197" t="s">
        <v>858</v>
      </c>
      <c r="C22" s="117">
        <v>-47005.53</v>
      </c>
      <c r="D22" s="117">
        <v>-58246.06</v>
      </c>
      <c r="E22" s="129">
        <v>-56738.36</v>
      </c>
      <c r="F22" s="198">
        <v>-47473.07</v>
      </c>
      <c r="G22" s="128">
        <f t="shared" si="0"/>
        <v>-209463.02000000002</v>
      </c>
      <c r="I22" s="117">
        <v>-42992.39</v>
      </c>
      <c r="J22" s="117">
        <v>-47005.53</v>
      </c>
      <c r="M22" s="54">
        <v>-252455.40999999997</v>
      </c>
      <c r="O22" s="196">
        <f t="shared" si="1"/>
        <v>0</v>
      </c>
      <c r="AA22" t="s">
        <v>207</v>
      </c>
      <c r="AB22" t="s">
        <v>858</v>
      </c>
      <c r="AC22" s="115">
        <v>-47005.53</v>
      </c>
      <c r="AD22" s="115">
        <v>-58246.06</v>
      </c>
      <c r="AE22" s="115">
        <v>-56738.36</v>
      </c>
      <c r="AF22" s="115">
        <v>-47473.07</v>
      </c>
      <c r="AG22" s="115">
        <f t="shared" si="2"/>
        <v>-209463.02000000002</v>
      </c>
      <c r="AI22" s="115">
        <f t="shared" si="3"/>
        <v>0</v>
      </c>
    </row>
    <row r="23" spans="1:35">
      <c r="A23" s="199" t="s">
        <v>209</v>
      </c>
      <c r="B23" s="197" t="s">
        <v>859</v>
      </c>
      <c r="C23" s="117">
        <v>-92883.23</v>
      </c>
      <c r="D23" s="117">
        <v>-163559.16</v>
      </c>
      <c r="E23" s="129">
        <v>-303170.17</v>
      </c>
      <c r="F23" s="198">
        <v>-242357.05</v>
      </c>
      <c r="G23" s="128">
        <f t="shared" si="0"/>
        <v>-801969.6100000001</v>
      </c>
      <c r="I23" s="117">
        <v>-213732.18</v>
      </c>
      <c r="J23" s="117">
        <v>-92883.23</v>
      </c>
      <c r="M23" s="54">
        <v>-1015701.79</v>
      </c>
      <c r="O23" s="196">
        <f t="shared" si="1"/>
        <v>0</v>
      </c>
      <c r="AA23" t="s">
        <v>209</v>
      </c>
      <c r="AB23" t="s">
        <v>859</v>
      </c>
      <c r="AC23" s="115">
        <v>-92883.23</v>
      </c>
      <c r="AD23" s="115">
        <v>-163559.16</v>
      </c>
      <c r="AE23" s="115">
        <v>-303170.17</v>
      </c>
      <c r="AF23" s="115">
        <v>-242357.05</v>
      </c>
      <c r="AG23" s="115">
        <f t="shared" si="2"/>
        <v>-801969.6100000001</v>
      </c>
      <c r="AI23" s="115">
        <f t="shared" si="3"/>
        <v>0</v>
      </c>
    </row>
    <row r="24" spans="1:35">
      <c r="A24" s="199" t="s">
        <v>211</v>
      </c>
      <c r="B24" s="197" t="s">
        <v>860</v>
      </c>
      <c r="C24" s="117">
        <v>-232498</v>
      </c>
      <c r="D24" s="117">
        <v>-221871.41</v>
      </c>
      <c r="E24" s="129">
        <v>-243592.28</v>
      </c>
      <c r="F24" s="198">
        <v>-216692.35</v>
      </c>
      <c r="G24" s="128">
        <f t="shared" si="0"/>
        <v>-914654.04</v>
      </c>
      <c r="I24" s="117">
        <v>-252891.84</v>
      </c>
      <c r="J24" s="117">
        <v>-232498</v>
      </c>
      <c r="M24" s="54">
        <v>-1167545.8800000001</v>
      </c>
      <c r="O24" s="196">
        <f t="shared" si="1"/>
        <v>0</v>
      </c>
      <c r="AA24" t="s">
        <v>211</v>
      </c>
      <c r="AB24" t="s">
        <v>860</v>
      </c>
      <c r="AC24" s="115">
        <v>-232498</v>
      </c>
      <c r="AD24" s="115">
        <v>-221871.41</v>
      </c>
      <c r="AE24" s="115">
        <v>-243592.28</v>
      </c>
      <c r="AF24" s="115">
        <v>-216692.35</v>
      </c>
      <c r="AG24" s="115">
        <f t="shared" si="2"/>
        <v>-914654.04</v>
      </c>
      <c r="AI24" s="115">
        <f t="shared" si="3"/>
        <v>0</v>
      </c>
    </row>
    <row r="25" spans="1:35">
      <c r="A25" s="199" t="s">
        <v>213</v>
      </c>
      <c r="B25" s="197" t="s">
        <v>861</v>
      </c>
      <c r="C25" s="117">
        <v>-164235.70000000001</v>
      </c>
      <c r="D25" s="117">
        <v>-217196.92</v>
      </c>
      <c r="E25" s="129">
        <v>-124509.57</v>
      </c>
      <c r="F25" s="198">
        <v>-174441.91</v>
      </c>
      <c r="G25" s="128">
        <f t="shared" si="0"/>
        <v>-680384.1</v>
      </c>
      <c r="I25" s="117">
        <v>-125627.63</v>
      </c>
      <c r="J25" s="117">
        <v>-164235.70000000001</v>
      </c>
      <c r="M25" s="54">
        <v>-806011.7300000001</v>
      </c>
      <c r="O25" s="196">
        <f t="shared" si="1"/>
        <v>0</v>
      </c>
      <c r="AA25" t="s">
        <v>213</v>
      </c>
      <c r="AB25" t="s">
        <v>861</v>
      </c>
      <c r="AC25" s="115">
        <v>-164235.70000000001</v>
      </c>
      <c r="AD25" s="115">
        <v>-217196.92</v>
      </c>
      <c r="AE25" s="115">
        <v>-124509.57</v>
      </c>
      <c r="AF25" s="115">
        <v>-174441.91</v>
      </c>
      <c r="AG25" s="115">
        <f t="shared" si="2"/>
        <v>-680384.1</v>
      </c>
      <c r="AI25" s="115">
        <f t="shared" si="3"/>
        <v>0</v>
      </c>
    </row>
    <row r="26" spans="1:35">
      <c r="A26" s="200" t="s">
        <v>1639</v>
      </c>
      <c r="B26" s="201" t="s">
        <v>1660</v>
      </c>
      <c r="C26" s="117"/>
      <c r="D26" s="117"/>
      <c r="E26" s="129"/>
      <c r="F26" s="202">
        <v>-4164.71</v>
      </c>
      <c r="G26" s="128">
        <f t="shared" si="0"/>
        <v>-4164.71</v>
      </c>
      <c r="I26" s="117"/>
      <c r="J26" s="117"/>
      <c r="M26" s="54">
        <v>-4164.71</v>
      </c>
      <c r="O26" s="196">
        <f t="shared" si="1"/>
        <v>0</v>
      </c>
      <c r="AA26" t="s">
        <v>1639</v>
      </c>
      <c r="AB26" t="s">
        <v>1660</v>
      </c>
      <c r="AC26" s="115"/>
      <c r="AD26" s="115"/>
      <c r="AE26" s="115"/>
      <c r="AF26" s="115">
        <v>-4164.71</v>
      </c>
      <c r="AG26" s="115">
        <f t="shared" si="2"/>
        <v>-4164.71</v>
      </c>
      <c r="AI26" s="115">
        <f t="shared" si="3"/>
        <v>0</v>
      </c>
    </row>
    <row r="27" spans="1:35">
      <c r="A27" s="199" t="s">
        <v>215</v>
      </c>
      <c r="B27" s="197" t="s">
        <v>862</v>
      </c>
      <c r="C27" s="117">
        <v>-164143.65</v>
      </c>
      <c r="D27" s="117">
        <v>-154616.64000000001</v>
      </c>
      <c r="E27" s="129">
        <v>-267329.94</v>
      </c>
      <c r="F27" s="198">
        <v>-538682.05000000005</v>
      </c>
      <c r="G27" s="128">
        <f t="shared" si="0"/>
        <v>-1124772.28</v>
      </c>
      <c r="I27" s="117">
        <v>62225.53</v>
      </c>
      <c r="J27" s="117">
        <v>-226369.18</v>
      </c>
      <c r="K27" s="115">
        <v>-164143.65</v>
      </c>
      <c r="M27" s="54">
        <v>-1124772.28</v>
      </c>
      <c r="O27" s="196">
        <f t="shared" si="1"/>
        <v>62225.530000000028</v>
      </c>
      <c r="AA27" t="s">
        <v>215</v>
      </c>
      <c r="AB27" t="s">
        <v>862</v>
      </c>
      <c r="AC27" s="115">
        <v>-164143.65</v>
      </c>
      <c r="AD27" s="115">
        <v>-154616.64000000001</v>
      </c>
      <c r="AE27" s="115">
        <v>-267329.94</v>
      </c>
      <c r="AF27" s="115">
        <v>-538682.05000000005</v>
      </c>
      <c r="AG27" s="115">
        <f t="shared" si="2"/>
        <v>-1124772.28</v>
      </c>
      <c r="AI27" s="115">
        <f t="shared" si="3"/>
        <v>0</v>
      </c>
    </row>
    <row r="28" spans="1:35">
      <c r="A28" s="199" t="s">
        <v>217</v>
      </c>
      <c r="B28" s="197" t="s">
        <v>863</v>
      </c>
      <c r="C28" s="117">
        <v>-12546.15</v>
      </c>
      <c r="D28" s="117">
        <v>-18839.57</v>
      </c>
      <c r="E28" s="129">
        <v>-10248.14</v>
      </c>
      <c r="F28" s="198">
        <v>2386</v>
      </c>
      <c r="G28" s="128">
        <f t="shared" si="0"/>
        <v>-39247.86</v>
      </c>
      <c r="I28" s="117">
        <v>-39762.31</v>
      </c>
      <c r="J28" s="117">
        <v>-12546.15</v>
      </c>
      <c r="M28" s="54">
        <v>-79010.17</v>
      </c>
      <c r="O28" s="196">
        <f t="shared" si="1"/>
        <v>0</v>
      </c>
      <c r="AA28" t="s">
        <v>217</v>
      </c>
      <c r="AB28" t="s">
        <v>863</v>
      </c>
      <c r="AC28" s="115">
        <v>-12546.15</v>
      </c>
      <c r="AD28" s="115">
        <v>-18839.57</v>
      </c>
      <c r="AE28" s="115">
        <v>-10248.14</v>
      </c>
      <c r="AF28" s="115">
        <v>2386</v>
      </c>
      <c r="AG28" s="115">
        <f t="shared" si="2"/>
        <v>-39247.86</v>
      </c>
      <c r="AI28" s="115">
        <f t="shared" si="3"/>
        <v>0</v>
      </c>
    </row>
    <row r="29" spans="1:35">
      <c r="A29" s="199" t="s">
        <v>219</v>
      </c>
      <c r="B29" s="197" t="s">
        <v>864</v>
      </c>
      <c r="C29" s="117">
        <v>-77788.210000000006</v>
      </c>
      <c r="D29" s="117">
        <v>-81787.11</v>
      </c>
      <c r="E29" s="129">
        <v>-20210.2</v>
      </c>
      <c r="F29" s="198">
        <v>-143973.48000000001</v>
      </c>
      <c r="G29" s="128">
        <f t="shared" si="0"/>
        <v>-323759</v>
      </c>
      <c r="I29" s="117">
        <v>-51400.07</v>
      </c>
      <c r="J29" s="117">
        <v>-77788.210000000006</v>
      </c>
      <c r="M29" s="54">
        <v>-375159.07000000007</v>
      </c>
      <c r="O29" s="196">
        <f t="shared" si="1"/>
        <v>0</v>
      </c>
      <c r="AA29" t="s">
        <v>219</v>
      </c>
      <c r="AB29" t="s">
        <v>864</v>
      </c>
      <c r="AC29" s="115">
        <v>-77788.210000000006</v>
      </c>
      <c r="AD29" s="115">
        <v>-81787.11</v>
      </c>
      <c r="AE29" s="115">
        <v>-20210.2</v>
      </c>
      <c r="AF29" s="115">
        <v>-143973.48000000001</v>
      </c>
      <c r="AG29" s="115">
        <f t="shared" si="2"/>
        <v>-323759</v>
      </c>
      <c r="AI29" s="115">
        <f t="shared" si="3"/>
        <v>0</v>
      </c>
    </row>
    <row r="30" spans="1:35">
      <c r="A30" s="199" t="s">
        <v>220</v>
      </c>
      <c r="B30" s="197" t="s">
        <v>865</v>
      </c>
      <c r="C30" s="117">
        <v>-61708.07</v>
      </c>
      <c r="D30" s="117">
        <v>-32342.82</v>
      </c>
      <c r="E30" s="129">
        <v>-37334.660000000003</v>
      </c>
      <c r="F30" s="198">
        <v>-33311.08</v>
      </c>
      <c r="G30" s="128">
        <f t="shared" si="0"/>
        <v>-164696.63</v>
      </c>
      <c r="I30" s="117">
        <v>-40881.72</v>
      </c>
      <c r="J30" s="117">
        <v>-61708.07</v>
      </c>
      <c r="M30" s="54">
        <v>-205578.35000000003</v>
      </c>
      <c r="O30" s="196">
        <f t="shared" si="1"/>
        <v>0</v>
      </c>
      <c r="AA30" t="s">
        <v>220</v>
      </c>
      <c r="AB30" t="s">
        <v>865</v>
      </c>
      <c r="AC30" s="115">
        <v>-61708.07</v>
      </c>
      <c r="AD30" s="115">
        <v>-32342.82</v>
      </c>
      <c r="AE30" s="115">
        <v>-37334.660000000003</v>
      </c>
      <c r="AF30" s="115">
        <v>-33311.08</v>
      </c>
      <c r="AG30" s="115">
        <f t="shared" si="2"/>
        <v>-164696.63</v>
      </c>
      <c r="AI30" s="115">
        <f t="shared" si="3"/>
        <v>0</v>
      </c>
    </row>
    <row r="31" spans="1:35">
      <c r="A31" s="199" t="s">
        <v>222</v>
      </c>
      <c r="B31" s="197" t="s">
        <v>866</v>
      </c>
      <c r="C31" s="117">
        <v>-229544.16</v>
      </c>
      <c r="D31" s="117">
        <v>-156214.35999999999</v>
      </c>
      <c r="E31" s="129">
        <v>-112511.35</v>
      </c>
      <c r="F31" s="198">
        <v>-207174.13</v>
      </c>
      <c r="G31" s="128">
        <f t="shared" si="0"/>
        <v>-705444</v>
      </c>
      <c r="I31" s="117">
        <v>-209803.05</v>
      </c>
      <c r="J31" s="117">
        <v>-229544.16</v>
      </c>
      <c r="M31" s="54">
        <v>-915247.04999999993</v>
      </c>
      <c r="O31" s="196">
        <f t="shared" si="1"/>
        <v>0</v>
      </c>
      <c r="AA31" t="s">
        <v>222</v>
      </c>
      <c r="AB31" t="s">
        <v>866</v>
      </c>
      <c r="AC31" s="115">
        <v>-229544.16</v>
      </c>
      <c r="AD31" s="115">
        <v>-156214.35999999999</v>
      </c>
      <c r="AE31" s="115">
        <v>-112511.35</v>
      </c>
      <c r="AF31" s="115">
        <v>-207174.13</v>
      </c>
      <c r="AG31" s="115">
        <f t="shared" si="2"/>
        <v>-705444</v>
      </c>
      <c r="AI31" s="115">
        <f t="shared" si="3"/>
        <v>0</v>
      </c>
    </row>
    <row r="32" spans="1:35">
      <c r="A32" s="199" t="s">
        <v>224</v>
      </c>
      <c r="B32" s="197" t="s">
        <v>867</v>
      </c>
      <c r="C32" s="117">
        <v>1739801.43</v>
      </c>
      <c r="D32" s="117">
        <v>155336.70000000001</v>
      </c>
      <c r="E32" s="129">
        <v>-167107.25</v>
      </c>
      <c r="F32" s="198">
        <v>-259433.03</v>
      </c>
      <c r="G32" s="128">
        <f t="shared" si="0"/>
        <v>1468597.8499999999</v>
      </c>
      <c r="I32" s="117">
        <v>964542.60000000009</v>
      </c>
      <c r="J32" s="117">
        <v>775258.83</v>
      </c>
      <c r="K32" s="115">
        <v>1739801.4300000002</v>
      </c>
      <c r="M32" s="54">
        <v>1468597.85</v>
      </c>
      <c r="O32" s="196">
        <f t="shared" si="1"/>
        <v>964542.60000000009</v>
      </c>
      <c r="AA32" t="s">
        <v>224</v>
      </c>
      <c r="AB32" t="s">
        <v>867</v>
      </c>
      <c r="AC32" s="115">
        <v>1739801.43</v>
      </c>
      <c r="AD32" s="115">
        <v>155336.70000000001</v>
      </c>
      <c r="AE32" s="115">
        <v>-167107.25</v>
      </c>
      <c r="AF32" s="115">
        <v>-259433.03</v>
      </c>
      <c r="AG32" s="115">
        <f t="shared" si="2"/>
        <v>1468597.8499999999</v>
      </c>
      <c r="AI32" s="115">
        <f t="shared" si="3"/>
        <v>0</v>
      </c>
    </row>
    <row r="33" spans="1:35">
      <c r="A33" s="199" t="s">
        <v>225</v>
      </c>
      <c r="B33" s="197" t="s">
        <v>868</v>
      </c>
      <c r="C33" s="117">
        <v>-399145.24</v>
      </c>
      <c r="D33" s="117">
        <v>-306079.64</v>
      </c>
      <c r="E33" s="129">
        <v>-375406.34</v>
      </c>
      <c r="F33" s="198">
        <v>-517853.42</v>
      </c>
      <c r="G33" s="128">
        <f t="shared" si="0"/>
        <v>-1598484.64</v>
      </c>
      <c r="I33" s="117">
        <v>-253535.76</v>
      </c>
      <c r="J33" s="117">
        <v>-399145.24</v>
      </c>
      <c r="M33" s="54">
        <v>-1852020.4</v>
      </c>
      <c r="O33" s="196">
        <f t="shared" si="1"/>
        <v>0</v>
      </c>
      <c r="AA33" t="s">
        <v>225</v>
      </c>
      <c r="AB33" t="s">
        <v>868</v>
      </c>
      <c r="AC33" s="115">
        <v>-399145.24</v>
      </c>
      <c r="AD33" s="115">
        <v>-306079.64</v>
      </c>
      <c r="AE33" s="115">
        <v>-375406.34</v>
      </c>
      <c r="AF33" s="115">
        <v>-517853.42</v>
      </c>
      <c r="AG33" s="115">
        <f t="shared" si="2"/>
        <v>-1598484.64</v>
      </c>
      <c r="AI33" s="115">
        <f t="shared" si="3"/>
        <v>0</v>
      </c>
    </row>
    <row r="34" spans="1:35">
      <c r="A34" s="199" t="s">
        <v>227</v>
      </c>
      <c r="B34" s="197" t="s">
        <v>869</v>
      </c>
      <c r="C34" s="117">
        <v>-436584.9</v>
      </c>
      <c r="D34" s="117">
        <v>-263583.65999999997</v>
      </c>
      <c r="E34" s="129">
        <v>-307231.63</v>
      </c>
      <c r="F34" s="198">
        <v>-301352.25</v>
      </c>
      <c r="G34" s="128">
        <f t="shared" si="0"/>
        <v>-1308752.44</v>
      </c>
      <c r="I34" s="117">
        <v>-262723.18</v>
      </c>
      <c r="J34" s="117">
        <v>-436584.9</v>
      </c>
      <c r="M34" s="54">
        <v>-1571475.62</v>
      </c>
      <c r="O34" s="196">
        <f t="shared" si="1"/>
        <v>0</v>
      </c>
      <c r="AA34" t="s">
        <v>227</v>
      </c>
      <c r="AB34" t="s">
        <v>869</v>
      </c>
      <c r="AC34" s="115">
        <v>-436584.9</v>
      </c>
      <c r="AD34" s="115">
        <v>-263583.65999999997</v>
      </c>
      <c r="AE34" s="115">
        <v>-307231.63</v>
      </c>
      <c r="AF34" s="115">
        <v>-301352.25</v>
      </c>
      <c r="AG34" s="115">
        <f t="shared" si="2"/>
        <v>-1308752.44</v>
      </c>
      <c r="AI34" s="115">
        <f t="shared" si="3"/>
        <v>0</v>
      </c>
    </row>
    <row r="35" spans="1:35">
      <c r="A35" s="199" t="s">
        <v>229</v>
      </c>
      <c r="B35" s="197" t="s">
        <v>870</v>
      </c>
      <c r="C35" s="117">
        <v>0</v>
      </c>
      <c r="D35" s="117">
        <v>-21853.33</v>
      </c>
      <c r="E35" s="129">
        <v>-31829.66</v>
      </c>
      <c r="F35" s="198">
        <v>-43143.519999999997</v>
      </c>
      <c r="G35" s="128">
        <f t="shared" si="0"/>
        <v>-96826.510000000009</v>
      </c>
      <c r="I35" s="117">
        <v>0</v>
      </c>
      <c r="J35" s="117">
        <v>0</v>
      </c>
      <c r="M35" s="54">
        <v>-96826.510000000009</v>
      </c>
      <c r="O35" s="196">
        <f t="shared" si="1"/>
        <v>0</v>
      </c>
      <c r="AA35" t="s">
        <v>229</v>
      </c>
      <c r="AB35" t="s">
        <v>870</v>
      </c>
      <c r="AC35" s="115">
        <v>0</v>
      </c>
      <c r="AD35" s="115">
        <v>-21853.33</v>
      </c>
      <c r="AE35" s="115">
        <v>-31829.66</v>
      </c>
      <c r="AF35" s="115">
        <v>-43143.519999999997</v>
      </c>
      <c r="AG35" s="115">
        <f t="shared" si="2"/>
        <v>-96826.510000000009</v>
      </c>
      <c r="AI35" s="115">
        <f t="shared" si="3"/>
        <v>0</v>
      </c>
    </row>
    <row r="36" spans="1:35">
      <c r="A36" s="199" t="s">
        <v>231</v>
      </c>
      <c r="B36" s="197" t="s">
        <v>871</v>
      </c>
      <c r="C36" s="117">
        <v>-84702.35</v>
      </c>
      <c r="D36" s="117">
        <v>-71162.36</v>
      </c>
      <c r="E36" s="129">
        <v>-67520.31</v>
      </c>
      <c r="F36" s="198">
        <v>-81568.320000000007</v>
      </c>
      <c r="G36" s="128">
        <f t="shared" si="0"/>
        <v>-304953.34000000003</v>
      </c>
      <c r="I36" s="117">
        <v>-58794.5</v>
      </c>
      <c r="J36" s="117">
        <v>-84702.35</v>
      </c>
      <c r="M36" s="54">
        <v>-363747.84000000003</v>
      </c>
      <c r="O36" s="196">
        <f t="shared" si="1"/>
        <v>0</v>
      </c>
      <c r="AA36" t="s">
        <v>231</v>
      </c>
      <c r="AB36" t="s">
        <v>871</v>
      </c>
      <c r="AC36" s="115">
        <v>-84702.35</v>
      </c>
      <c r="AD36" s="115">
        <v>-71162.36</v>
      </c>
      <c r="AE36" s="115">
        <v>-67520.31</v>
      </c>
      <c r="AF36" s="115">
        <v>-81568.320000000007</v>
      </c>
      <c r="AG36" s="115">
        <f t="shared" si="2"/>
        <v>-304953.34000000003</v>
      </c>
      <c r="AI36" s="115">
        <f t="shared" si="3"/>
        <v>0</v>
      </c>
    </row>
    <row r="37" spans="1:35">
      <c r="A37" s="199" t="s">
        <v>235</v>
      </c>
      <c r="B37" s="197" t="s">
        <v>872</v>
      </c>
      <c r="C37" s="117">
        <v>-227047.4</v>
      </c>
      <c r="D37" s="117">
        <v>-62013.87</v>
      </c>
      <c r="E37" s="129">
        <v>-240248.66</v>
      </c>
      <c r="F37" s="198">
        <v>-513875.52</v>
      </c>
      <c r="G37" s="128">
        <f t="shared" si="0"/>
        <v>-1043185.4500000001</v>
      </c>
      <c r="I37" s="117">
        <v>-72150.19</v>
      </c>
      <c r="J37" s="117">
        <v>-227047.4</v>
      </c>
      <c r="M37" s="54">
        <v>-1115335.6400000001</v>
      </c>
      <c r="O37" s="196">
        <f t="shared" si="1"/>
        <v>0</v>
      </c>
      <c r="AA37" t="s">
        <v>235</v>
      </c>
      <c r="AB37" t="s">
        <v>872</v>
      </c>
      <c r="AC37" s="115">
        <v>-227047.4</v>
      </c>
      <c r="AD37" s="115">
        <v>-62013.87</v>
      </c>
      <c r="AE37" s="115">
        <v>-240248.66</v>
      </c>
      <c r="AF37" s="115">
        <v>-513875.52</v>
      </c>
      <c r="AG37" s="115">
        <f t="shared" si="2"/>
        <v>-1043185.4500000001</v>
      </c>
      <c r="AI37" s="115">
        <f t="shared" si="3"/>
        <v>0</v>
      </c>
    </row>
    <row r="38" spans="1:35">
      <c r="A38" s="199" t="s">
        <v>237</v>
      </c>
      <c r="B38" s="197" t="s">
        <v>873</v>
      </c>
      <c r="C38" s="117">
        <v>-46645.57</v>
      </c>
      <c r="D38" s="117">
        <v>-61773.23</v>
      </c>
      <c r="E38" s="129">
        <v>-60877.57</v>
      </c>
      <c r="F38" s="198">
        <v>-94892.04</v>
      </c>
      <c r="G38" s="128">
        <f t="shared" si="0"/>
        <v>-264188.40999999997</v>
      </c>
      <c r="I38" s="117">
        <v>-51881.279999999999</v>
      </c>
      <c r="J38" s="117">
        <v>-46645.57</v>
      </c>
      <c r="M38" s="54">
        <v>-316069.69</v>
      </c>
      <c r="O38" s="196">
        <f t="shared" si="1"/>
        <v>0</v>
      </c>
      <c r="AA38" t="s">
        <v>237</v>
      </c>
      <c r="AB38" t="s">
        <v>873</v>
      </c>
      <c r="AC38" s="115">
        <v>-46645.57</v>
      </c>
      <c r="AD38" s="115">
        <v>-61773.23</v>
      </c>
      <c r="AE38" s="115">
        <v>-60877.57</v>
      </c>
      <c r="AF38" s="115">
        <v>-94892.04</v>
      </c>
      <c r="AG38" s="115">
        <f t="shared" si="2"/>
        <v>-264188.40999999997</v>
      </c>
      <c r="AI38" s="115">
        <f t="shared" si="3"/>
        <v>0</v>
      </c>
    </row>
    <row r="39" spans="1:35">
      <c r="A39" s="199" t="s">
        <v>239</v>
      </c>
      <c r="B39" s="197" t="s">
        <v>874</v>
      </c>
      <c r="C39" s="117">
        <v>-67951.259999999995</v>
      </c>
      <c r="D39" s="117">
        <v>-49866.81</v>
      </c>
      <c r="E39" s="129">
        <v>-37494.730000000003</v>
      </c>
      <c r="F39" s="198">
        <v>-145818.62</v>
      </c>
      <c r="G39" s="128">
        <f t="shared" si="0"/>
        <v>-301131.42</v>
      </c>
      <c r="I39" s="117">
        <v>-10691.48</v>
      </c>
      <c r="J39" s="117">
        <v>-67951.259999999995</v>
      </c>
      <c r="M39" s="54">
        <v>-311822.90000000002</v>
      </c>
      <c r="O39" s="196">
        <f t="shared" si="1"/>
        <v>0</v>
      </c>
      <c r="AA39" t="s">
        <v>239</v>
      </c>
      <c r="AB39" t="s">
        <v>874</v>
      </c>
      <c r="AC39" s="115">
        <v>-67951.259999999995</v>
      </c>
      <c r="AD39" s="115">
        <v>-49866.81</v>
      </c>
      <c r="AE39" s="115">
        <v>-37494.730000000003</v>
      </c>
      <c r="AF39" s="115">
        <v>-145818.62</v>
      </c>
      <c r="AG39" s="115">
        <f t="shared" si="2"/>
        <v>-301131.42</v>
      </c>
      <c r="AI39" s="115">
        <f t="shared" si="3"/>
        <v>0</v>
      </c>
    </row>
    <row r="40" spans="1:35">
      <c r="A40" s="199" t="s">
        <v>241</v>
      </c>
      <c r="B40" s="197" t="s">
        <v>875</v>
      </c>
      <c r="C40" s="117">
        <v>-68827.34</v>
      </c>
      <c r="D40" s="117">
        <v>-29821.78</v>
      </c>
      <c r="E40" s="129">
        <v>-27617.52</v>
      </c>
      <c r="F40" s="198">
        <v>-53387.15</v>
      </c>
      <c r="G40" s="128">
        <f t="shared" si="0"/>
        <v>-179653.79</v>
      </c>
      <c r="I40" s="117">
        <v>-46953.56</v>
      </c>
      <c r="J40" s="117">
        <v>-68827.34</v>
      </c>
      <c r="M40" s="54">
        <v>-226607.34999999998</v>
      </c>
      <c r="O40" s="196">
        <f t="shared" si="1"/>
        <v>0</v>
      </c>
      <c r="AA40" t="s">
        <v>241</v>
      </c>
      <c r="AB40" t="s">
        <v>875</v>
      </c>
      <c r="AC40" s="115">
        <v>-68827.34</v>
      </c>
      <c r="AD40" s="115">
        <v>-29821.78</v>
      </c>
      <c r="AE40" s="115">
        <v>-27617.52</v>
      </c>
      <c r="AF40" s="115">
        <v>-53387.15</v>
      </c>
      <c r="AG40" s="115">
        <f t="shared" si="2"/>
        <v>-179653.79</v>
      </c>
      <c r="AI40" s="115">
        <f t="shared" si="3"/>
        <v>0</v>
      </c>
    </row>
    <row r="41" spans="1:35">
      <c r="A41" s="199" t="s">
        <v>243</v>
      </c>
      <c r="B41" s="197" t="s">
        <v>876</v>
      </c>
      <c r="C41" s="117">
        <v>-67666.289999999994</v>
      </c>
      <c r="D41" s="117">
        <v>-115391.77</v>
      </c>
      <c r="E41" s="129">
        <v>-185521.5</v>
      </c>
      <c r="F41" s="198">
        <v>-233071.31</v>
      </c>
      <c r="G41" s="128">
        <f t="shared" si="0"/>
        <v>-601650.87</v>
      </c>
      <c r="I41" s="117">
        <v>-55236.85</v>
      </c>
      <c r="J41" s="117">
        <v>-67666.289999999994</v>
      </c>
      <c r="M41" s="54">
        <v>-656887.72</v>
      </c>
      <c r="O41" s="196">
        <f t="shared" si="1"/>
        <v>0</v>
      </c>
      <c r="AA41" t="s">
        <v>243</v>
      </c>
      <c r="AB41" t="s">
        <v>876</v>
      </c>
      <c r="AC41" s="115">
        <v>-67666.289999999994</v>
      </c>
      <c r="AD41" s="115">
        <v>-115391.77</v>
      </c>
      <c r="AE41" s="115">
        <v>-185521.5</v>
      </c>
      <c r="AF41" s="115">
        <v>-233071.31</v>
      </c>
      <c r="AG41" s="115">
        <f t="shared" si="2"/>
        <v>-601650.87</v>
      </c>
      <c r="AI41" s="115">
        <f t="shared" si="3"/>
        <v>0</v>
      </c>
    </row>
    <row r="42" spans="1:35">
      <c r="A42" s="199" t="s">
        <v>245</v>
      </c>
      <c r="B42" s="197" t="s">
        <v>877</v>
      </c>
      <c r="C42" s="117">
        <v>-323409.99</v>
      </c>
      <c r="D42" s="117">
        <v>-419708.37</v>
      </c>
      <c r="E42" s="129">
        <v>-468727.82</v>
      </c>
      <c r="F42" s="198">
        <v>-364945.26</v>
      </c>
      <c r="G42" s="128">
        <f t="shared" si="0"/>
        <v>-1576791.44</v>
      </c>
      <c r="I42" s="117">
        <v>-186828.62</v>
      </c>
      <c r="J42" s="117">
        <v>-323409.99</v>
      </c>
      <c r="M42" s="54">
        <v>-1763620.06</v>
      </c>
      <c r="O42" s="196">
        <f t="shared" si="1"/>
        <v>0</v>
      </c>
      <c r="AA42" t="s">
        <v>245</v>
      </c>
      <c r="AB42" t="s">
        <v>877</v>
      </c>
      <c r="AC42" s="115">
        <v>-323409.99</v>
      </c>
      <c r="AD42" s="115">
        <v>-419708.37</v>
      </c>
      <c r="AE42" s="115">
        <v>-468727.82</v>
      </c>
      <c r="AF42" s="115">
        <v>-364945.26</v>
      </c>
      <c r="AG42" s="115">
        <f t="shared" si="2"/>
        <v>-1576791.44</v>
      </c>
      <c r="AI42" s="115">
        <f t="shared" si="3"/>
        <v>0</v>
      </c>
    </row>
    <row r="43" spans="1:35">
      <c r="A43" s="199" t="s">
        <v>247</v>
      </c>
      <c r="B43" s="197" t="s">
        <v>878</v>
      </c>
      <c r="C43" s="117">
        <v>-30145.75</v>
      </c>
      <c r="D43" s="117">
        <v>-25943.42</v>
      </c>
      <c r="E43" s="129">
        <v>-15760.33</v>
      </c>
      <c r="F43" s="198">
        <v>-44667.82</v>
      </c>
      <c r="G43" s="128">
        <f t="shared" si="0"/>
        <v>-116517.32</v>
      </c>
      <c r="I43" s="117">
        <v>-14865.74</v>
      </c>
      <c r="J43" s="117">
        <v>-30145.75</v>
      </c>
      <c r="M43" s="54">
        <v>-131383.06</v>
      </c>
      <c r="O43" s="196">
        <f t="shared" si="1"/>
        <v>0</v>
      </c>
      <c r="AA43" t="s">
        <v>247</v>
      </c>
      <c r="AB43" t="s">
        <v>878</v>
      </c>
      <c r="AC43" s="115">
        <v>-30145.75</v>
      </c>
      <c r="AD43" s="115">
        <v>-25943.42</v>
      </c>
      <c r="AE43" s="115">
        <v>-15760.33</v>
      </c>
      <c r="AF43" s="115">
        <v>-44667.82</v>
      </c>
      <c r="AG43" s="115">
        <f t="shared" si="2"/>
        <v>-116517.32</v>
      </c>
      <c r="AI43" s="115">
        <f t="shared" si="3"/>
        <v>0</v>
      </c>
    </row>
    <row r="44" spans="1:35">
      <c r="A44" s="199" t="s">
        <v>249</v>
      </c>
      <c r="B44" s="197" t="s">
        <v>879</v>
      </c>
      <c r="C44" s="117">
        <v>-90346.52</v>
      </c>
      <c r="D44" s="117">
        <v>-63763.28</v>
      </c>
      <c r="E44" s="129">
        <v>-159396.29</v>
      </c>
      <c r="F44" s="198">
        <v>-163457.51</v>
      </c>
      <c r="G44" s="128">
        <f t="shared" si="0"/>
        <v>-476963.6</v>
      </c>
      <c r="I44" s="117">
        <v>-73029.11</v>
      </c>
      <c r="J44" s="117">
        <v>-90346.52</v>
      </c>
      <c r="M44" s="54">
        <v>-549992.71</v>
      </c>
      <c r="O44" s="196">
        <f t="shared" si="1"/>
        <v>0</v>
      </c>
      <c r="AA44" t="s">
        <v>249</v>
      </c>
      <c r="AB44" t="s">
        <v>879</v>
      </c>
      <c r="AC44" s="115">
        <v>-90346.52</v>
      </c>
      <c r="AD44" s="115">
        <v>-63763.28</v>
      </c>
      <c r="AE44" s="115">
        <v>-159396.29</v>
      </c>
      <c r="AF44" s="115">
        <v>-163457.51</v>
      </c>
      <c r="AG44" s="115">
        <f t="shared" si="2"/>
        <v>-476963.6</v>
      </c>
      <c r="AI44" s="115">
        <f t="shared" si="3"/>
        <v>0</v>
      </c>
    </row>
    <row r="45" spans="1:35">
      <c r="A45" s="199" t="s">
        <v>251</v>
      </c>
      <c r="B45" s="197" t="s">
        <v>880</v>
      </c>
      <c r="C45" s="117">
        <v>-23790.98</v>
      </c>
      <c r="D45" s="117">
        <v>-24829.48</v>
      </c>
      <c r="E45" s="129">
        <v>-24910.09</v>
      </c>
      <c r="F45" s="198">
        <v>-29711.5</v>
      </c>
      <c r="G45" s="128">
        <f t="shared" si="0"/>
        <v>-103242.05</v>
      </c>
      <c r="I45" s="117">
        <v>-20843.36</v>
      </c>
      <c r="J45" s="117">
        <v>-23790.98</v>
      </c>
      <c r="M45" s="54">
        <v>-124085.40999999999</v>
      </c>
      <c r="O45" s="196">
        <f t="shared" si="1"/>
        <v>0</v>
      </c>
      <c r="AA45" t="s">
        <v>251</v>
      </c>
      <c r="AB45" t="s">
        <v>880</v>
      </c>
      <c r="AC45" s="115">
        <v>-23790.98</v>
      </c>
      <c r="AD45" s="115">
        <v>-24829.48</v>
      </c>
      <c r="AE45" s="115">
        <v>-24910.09</v>
      </c>
      <c r="AF45" s="115">
        <v>-29711.5</v>
      </c>
      <c r="AG45" s="115">
        <f t="shared" si="2"/>
        <v>-103242.05</v>
      </c>
      <c r="AI45" s="115">
        <f t="shared" si="3"/>
        <v>0</v>
      </c>
    </row>
    <row r="46" spans="1:35">
      <c r="A46" s="199" t="s">
        <v>253</v>
      </c>
      <c r="B46" s="197" t="s">
        <v>881</v>
      </c>
      <c r="C46" s="117">
        <v>-108108.18</v>
      </c>
      <c r="D46" s="117">
        <v>-98741.79</v>
      </c>
      <c r="E46" s="129">
        <v>-92396.3</v>
      </c>
      <c r="F46" s="198">
        <v>-251143.82</v>
      </c>
      <c r="G46" s="128">
        <f t="shared" si="0"/>
        <v>-550390.09</v>
      </c>
      <c r="I46" s="117">
        <v>-94769</v>
      </c>
      <c r="J46" s="117">
        <v>-108108.18</v>
      </c>
      <c r="M46" s="54">
        <v>-645159.09</v>
      </c>
      <c r="O46" s="196">
        <f t="shared" si="1"/>
        <v>0</v>
      </c>
      <c r="AA46" t="s">
        <v>253</v>
      </c>
      <c r="AB46" t="s">
        <v>881</v>
      </c>
      <c r="AC46" s="115">
        <v>-108108.18</v>
      </c>
      <c r="AD46" s="115">
        <v>-98741.79</v>
      </c>
      <c r="AE46" s="115">
        <v>-92396.3</v>
      </c>
      <c r="AF46" s="115">
        <v>-251143.82</v>
      </c>
      <c r="AG46" s="115">
        <f t="shared" si="2"/>
        <v>-550390.09</v>
      </c>
      <c r="AI46" s="115">
        <f t="shared" si="3"/>
        <v>0</v>
      </c>
    </row>
    <row r="47" spans="1:35">
      <c r="A47" s="199" t="s">
        <v>255</v>
      </c>
      <c r="B47" s="197" t="s">
        <v>882</v>
      </c>
      <c r="C47" s="117">
        <v>-80743.320000000007</v>
      </c>
      <c r="D47" s="117">
        <v>-72982.66</v>
      </c>
      <c r="E47" s="129">
        <v>-70438.289999999994</v>
      </c>
      <c r="F47" s="198">
        <v>-50440.62</v>
      </c>
      <c r="G47" s="128">
        <f t="shared" si="0"/>
        <v>-274604.89</v>
      </c>
      <c r="I47" s="117">
        <v>-65058.13</v>
      </c>
      <c r="J47" s="117">
        <v>-80743.320000000007</v>
      </c>
      <c r="M47" s="54">
        <v>-339663.02</v>
      </c>
      <c r="O47" s="196">
        <f t="shared" si="1"/>
        <v>0</v>
      </c>
      <c r="AA47" t="s">
        <v>255</v>
      </c>
      <c r="AB47" t="s">
        <v>882</v>
      </c>
      <c r="AC47" s="115">
        <v>-80743.320000000007</v>
      </c>
      <c r="AD47" s="115">
        <v>-72982.66</v>
      </c>
      <c r="AE47" s="115">
        <v>-70438.289999999994</v>
      </c>
      <c r="AF47" s="115">
        <v>-50440.62</v>
      </c>
      <c r="AG47" s="115">
        <f t="shared" si="2"/>
        <v>-274604.89</v>
      </c>
      <c r="AI47" s="115">
        <f t="shared" si="3"/>
        <v>0</v>
      </c>
    </row>
    <row r="48" spans="1:35">
      <c r="A48" s="199" t="s">
        <v>257</v>
      </c>
      <c r="B48" s="197" t="s">
        <v>883</v>
      </c>
      <c r="C48" s="117">
        <v>-43496.91</v>
      </c>
      <c r="D48" s="117">
        <v>-16879.21</v>
      </c>
      <c r="E48" s="129">
        <v>-39137.49</v>
      </c>
      <c r="F48" s="198">
        <v>-75899.97</v>
      </c>
      <c r="G48" s="128">
        <f t="shared" si="0"/>
        <v>-175413.58000000002</v>
      </c>
      <c r="I48" s="117">
        <v>-37884.639999999999</v>
      </c>
      <c r="J48" s="117">
        <v>-43496.91</v>
      </c>
      <c r="M48" s="54">
        <v>-213298.22</v>
      </c>
      <c r="O48" s="196">
        <f t="shared" si="1"/>
        <v>0</v>
      </c>
      <c r="AA48" t="s">
        <v>257</v>
      </c>
      <c r="AB48" t="s">
        <v>883</v>
      </c>
      <c r="AC48" s="115">
        <v>-43496.91</v>
      </c>
      <c r="AD48" s="115">
        <v>-16879.21</v>
      </c>
      <c r="AE48" s="115">
        <v>-39137.49</v>
      </c>
      <c r="AF48" s="115">
        <v>-75899.97</v>
      </c>
      <c r="AG48" s="115">
        <f t="shared" si="2"/>
        <v>-175413.58000000002</v>
      </c>
      <c r="AI48" s="115">
        <f t="shared" si="3"/>
        <v>0</v>
      </c>
    </row>
    <row r="49" spans="1:35">
      <c r="A49" s="199" t="s">
        <v>259</v>
      </c>
      <c r="B49" s="197" t="s">
        <v>884</v>
      </c>
      <c r="C49" s="117">
        <v>-50944.66</v>
      </c>
      <c r="D49" s="117">
        <v>-37930.43</v>
      </c>
      <c r="E49" s="129">
        <v>-51310.73</v>
      </c>
      <c r="F49" s="198">
        <v>-59351.360000000001</v>
      </c>
      <c r="G49" s="128">
        <f t="shared" si="0"/>
        <v>-199537.18</v>
      </c>
      <c r="I49" s="117">
        <v>-62267.63</v>
      </c>
      <c r="J49" s="117">
        <v>-50944.66</v>
      </c>
      <c r="M49" s="54">
        <v>-261804.81</v>
      </c>
      <c r="O49" s="196">
        <f t="shared" si="1"/>
        <v>0</v>
      </c>
      <c r="AA49" t="s">
        <v>259</v>
      </c>
      <c r="AB49" t="s">
        <v>884</v>
      </c>
      <c r="AC49" s="115">
        <v>-50944.66</v>
      </c>
      <c r="AD49" s="115">
        <v>-37930.43</v>
      </c>
      <c r="AE49" s="115">
        <v>-51310.73</v>
      </c>
      <c r="AF49" s="115">
        <v>-59351.360000000001</v>
      </c>
      <c r="AG49" s="115">
        <f t="shared" si="2"/>
        <v>-199537.18</v>
      </c>
      <c r="AI49" s="115">
        <f t="shared" si="3"/>
        <v>0</v>
      </c>
    </row>
    <row r="50" spans="1:35">
      <c r="A50" s="199" t="s">
        <v>261</v>
      </c>
      <c r="B50" s="197" t="s">
        <v>885</v>
      </c>
      <c r="C50" s="117">
        <v>-81329.440000000002</v>
      </c>
      <c r="D50" s="117">
        <v>-63708.25</v>
      </c>
      <c r="E50" s="129">
        <v>-68005.929999999993</v>
      </c>
      <c r="F50" s="198">
        <v>-48404.14</v>
      </c>
      <c r="G50" s="128">
        <f t="shared" si="0"/>
        <v>-261447.76</v>
      </c>
      <c r="I50" s="117">
        <v>-85611.95</v>
      </c>
      <c r="J50" s="117">
        <v>-81329.440000000002</v>
      </c>
      <c r="M50" s="54">
        <v>-347059.71</v>
      </c>
      <c r="O50" s="196">
        <f t="shared" si="1"/>
        <v>0</v>
      </c>
      <c r="AA50" t="s">
        <v>261</v>
      </c>
      <c r="AB50" t="s">
        <v>885</v>
      </c>
      <c r="AC50" s="115">
        <v>-81329.440000000002</v>
      </c>
      <c r="AD50" s="115">
        <v>-63708.25</v>
      </c>
      <c r="AE50" s="115">
        <v>-68005.929999999993</v>
      </c>
      <c r="AF50" s="115">
        <v>-48404.14</v>
      </c>
      <c r="AG50" s="115">
        <f t="shared" si="2"/>
        <v>-261447.76</v>
      </c>
      <c r="AI50" s="115">
        <f t="shared" si="3"/>
        <v>0</v>
      </c>
    </row>
    <row r="51" spans="1:35">
      <c r="A51" s="199" t="s">
        <v>263</v>
      </c>
      <c r="B51" s="197" t="s">
        <v>886</v>
      </c>
      <c r="C51" s="117">
        <v>-32050.36</v>
      </c>
      <c r="D51" s="117">
        <v>-27607.71</v>
      </c>
      <c r="E51" s="129">
        <v>-15476.44</v>
      </c>
      <c r="F51" s="198">
        <v>-21050.59</v>
      </c>
      <c r="G51" s="128">
        <f t="shared" si="0"/>
        <v>-96185.099999999991</v>
      </c>
      <c r="I51" s="117">
        <v>-29154.48</v>
      </c>
      <c r="J51" s="117">
        <v>-32050.36</v>
      </c>
      <c r="M51" s="54">
        <v>-125339.57999999999</v>
      </c>
      <c r="O51" s="196">
        <f t="shared" si="1"/>
        <v>0</v>
      </c>
      <c r="AA51" t="s">
        <v>263</v>
      </c>
      <c r="AB51" t="s">
        <v>886</v>
      </c>
      <c r="AC51" s="115">
        <v>-32050.36</v>
      </c>
      <c r="AD51" s="115">
        <v>-27607.71</v>
      </c>
      <c r="AE51" s="115">
        <v>-15476.44</v>
      </c>
      <c r="AF51" s="115">
        <v>-21050.59</v>
      </c>
      <c r="AG51" s="115">
        <f t="shared" si="2"/>
        <v>-96185.099999999991</v>
      </c>
      <c r="AI51" s="115">
        <f t="shared" si="3"/>
        <v>0</v>
      </c>
    </row>
    <row r="52" spans="1:35">
      <c r="A52" s="199" t="s">
        <v>265</v>
      </c>
      <c r="B52" s="197" t="s">
        <v>887</v>
      </c>
      <c r="C52" s="117">
        <v>-106080.17</v>
      </c>
      <c r="D52" s="117">
        <v>-83931.13</v>
      </c>
      <c r="E52" s="129">
        <v>-91746.34</v>
      </c>
      <c r="F52" s="198">
        <v>-109062.37</v>
      </c>
      <c r="G52" s="128">
        <f t="shared" si="0"/>
        <v>-390820.01</v>
      </c>
      <c r="I52" s="117">
        <v>-105789.27</v>
      </c>
      <c r="J52" s="117">
        <v>-106080.17</v>
      </c>
      <c r="M52" s="54">
        <v>-496609.28000000003</v>
      </c>
      <c r="O52" s="196">
        <f t="shared" si="1"/>
        <v>0</v>
      </c>
      <c r="AA52" t="s">
        <v>265</v>
      </c>
      <c r="AB52" t="s">
        <v>887</v>
      </c>
      <c r="AC52" s="115">
        <v>-106080.17</v>
      </c>
      <c r="AD52" s="115">
        <v>-83931.13</v>
      </c>
      <c r="AE52" s="115">
        <v>-91746.34</v>
      </c>
      <c r="AF52" s="115">
        <v>-109062.37</v>
      </c>
      <c r="AG52" s="115">
        <f t="shared" si="2"/>
        <v>-390820.01</v>
      </c>
      <c r="AI52" s="115">
        <f t="shared" si="3"/>
        <v>0</v>
      </c>
    </row>
    <row r="53" spans="1:35">
      <c r="A53" s="199" t="s">
        <v>267</v>
      </c>
      <c r="B53" s="197" t="s">
        <v>888</v>
      </c>
      <c r="C53" s="117">
        <v>-48138.69</v>
      </c>
      <c r="D53" s="117">
        <v>-66612.45</v>
      </c>
      <c r="E53" s="129">
        <v>-29129.64</v>
      </c>
      <c r="F53" s="198">
        <v>-46314.77</v>
      </c>
      <c r="G53" s="128">
        <f t="shared" si="0"/>
        <v>-190195.55</v>
      </c>
      <c r="I53" s="117">
        <v>-37495.69</v>
      </c>
      <c r="J53" s="117">
        <v>-48138.69</v>
      </c>
      <c r="M53" s="54">
        <v>-227691.24000000002</v>
      </c>
      <c r="O53" s="196">
        <f t="shared" si="1"/>
        <v>0</v>
      </c>
      <c r="AA53" t="s">
        <v>267</v>
      </c>
      <c r="AB53" t="s">
        <v>888</v>
      </c>
      <c r="AC53" s="115">
        <v>-48138.69</v>
      </c>
      <c r="AD53" s="115">
        <v>-66612.45</v>
      </c>
      <c r="AE53" s="115">
        <v>-29129.64</v>
      </c>
      <c r="AF53" s="115">
        <v>-46314.77</v>
      </c>
      <c r="AG53" s="115">
        <f t="shared" si="2"/>
        <v>-190195.55</v>
      </c>
      <c r="AI53" s="115">
        <f t="shared" si="3"/>
        <v>0</v>
      </c>
    </row>
    <row r="54" spans="1:35">
      <c r="A54" s="199" t="s">
        <v>269</v>
      </c>
      <c r="B54" s="197" t="s">
        <v>889</v>
      </c>
      <c r="C54" s="115">
        <v>863740.45000000007</v>
      </c>
      <c r="D54" s="117">
        <v>-218987.11</v>
      </c>
      <c r="E54" s="129">
        <v>-770341.21</v>
      </c>
      <c r="F54" s="198">
        <v>117247.22</v>
      </c>
      <c r="G54" s="128">
        <f t="shared" si="0"/>
        <v>-8340.6499999998778</v>
      </c>
      <c r="I54" s="117">
        <v>640938.17000000004</v>
      </c>
      <c r="J54" s="117">
        <v>222802.28</v>
      </c>
      <c r="K54" s="115">
        <v>863740.45000000007</v>
      </c>
      <c r="M54" s="54">
        <v>-8340.6499999998778</v>
      </c>
      <c r="O54" s="196">
        <f t="shared" si="1"/>
        <v>640938.17000000004</v>
      </c>
      <c r="AA54" t="s">
        <v>269</v>
      </c>
      <c r="AB54" t="s">
        <v>889</v>
      </c>
      <c r="AC54" s="115">
        <v>863740.45</v>
      </c>
      <c r="AD54" s="115">
        <v>-218987.11</v>
      </c>
      <c r="AE54" s="115">
        <v>-770341.21</v>
      </c>
      <c r="AF54" s="115">
        <v>117247.22</v>
      </c>
      <c r="AG54" s="115">
        <f t="shared" si="2"/>
        <v>-8340.6499999999942</v>
      </c>
      <c r="AI54" s="115">
        <f t="shared" si="3"/>
        <v>-1.1641532182693481E-10</v>
      </c>
    </row>
    <row r="55" spans="1:35">
      <c r="A55" s="199" t="s">
        <v>271</v>
      </c>
      <c r="B55" s="197" t="s">
        <v>890</v>
      </c>
      <c r="C55" s="115">
        <v>115130.27</v>
      </c>
      <c r="D55" s="117">
        <v>-56233.49</v>
      </c>
      <c r="E55" s="129">
        <v>-32757.53</v>
      </c>
      <c r="F55" s="198">
        <v>-65072.29</v>
      </c>
      <c r="G55" s="128">
        <f t="shared" si="0"/>
        <v>-38933.039999999994</v>
      </c>
      <c r="I55" s="117">
        <v>150011.41</v>
      </c>
      <c r="J55" s="117">
        <v>-34881.14</v>
      </c>
      <c r="K55" s="115">
        <v>115130.27</v>
      </c>
      <c r="M55" s="54">
        <v>-38933.039999999994</v>
      </c>
      <c r="O55" s="196">
        <f t="shared" si="1"/>
        <v>150011.41</v>
      </c>
      <c r="AA55" t="s">
        <v>271</v>
      </c>
      <c r="AB55" t="s">
        <v>890</v>
      </c>
      <c r="AC55" s="115">
        <v>115130.27</v>
      </c>
      <c r="AD55" s="115">
        <v>-56233.49</v>
      </c>
      <c r="AE55" s="115">
        <v>-32757.53</v>
      </c>
      <c r="AF55" s="115">
        <v>-65072.29</v>
      </c>
      <c r="AG55" s="115">
        <f t="shared" si="2"/>
        <v>-38933.039999999994</v>
      </c>
      <c r="AI55" s="115">
        <f t="shared" si="3"/>
        <v>0</v>
      </c>
    </row>
    <row r="56" spans="1:35">
      <c r="A56" s="199" t="s">
        <v>275</v>
      </c>
      <c r="B56" s="197" t="s">
        <v>891</v>
      </c>
      <c r="C56" s="117">
        <v>-52364.74</v>
      </c>
      <c r="D56" s="117">
        <v>-43727.24</v>
      </c>
      <c r="E56" s="129">
        <v>-54864.09</v>
      </c>
      <c r="F56" s="198">
        <v>-54044.06</v>
      </c>
      <c r="G56" s="128">
        <f t="shared" si="0"/>
        <v>-205000.13</v>
      </c>
      <c r="I56" s="117">
        <v>-48711.9</v>
      </c>
      <c r="J56" s="117">
        <v>-52364.74</v>
      </c>
      <c r="M56" s="54">
        <v>-253712.03</v>
      </c>
      <c r="O56" s="196">
        <f t="shared" si="1"/>
        <v>0</v>
      </c>
      <c r="AA56" t="s">
        <v>275</v>
      </c>
      <c r="AB56" t="s">
        <v>891</v>
      </c>
      <c r="AC56" s="115">
        <v>-52364.74</v>
      </c>
      <c r="AD56" s="115">
        <v>-43727.24</v>
      </c>
      <c r="AE56" s="115">
        <v>-54864.09</v>
      </c>
      <c r="AF56" s="115">
        <v>-54044.06</v>
      </c>
      <c r="AG56" s="115">
        <f t="shared" si="2"/>
        <v>-205000.13</v>
      </c>
      <c r="AI56" s="115">
        <f t="shared" si="3"/>
        <v>0</v>
      </c>
    </row>
    <row r="57" spans="1:35">
      <c r="A57" s="199" t="s">
        <v>277</v>
      </c>
      <c r="B57" s="197" t="s">
        <v>892</v>
      </c>
      <c r="C57" s="117">
        <v>-44645.82</v>
      </c>
      <c r="D57" s="117">
        <v>-45731.63</v>
      </c>
      <c r="E57" s="129">
        <v>-51746.28</v>
      </c>
      <c r="F57" s="198">
        <v>-44626.44</v>
      </c>
      <c r="G57" s="128">
        <f t="shared" si="0"/>
        <v>-186750.16999999998</v>
      </c>
      <c r="I57" s="117">
        <v>-32890.5</v>
      </c>
      <c r="J57" s="117">
        <v>-44645.82</v>
      </c>
      <c r="M57" s="54">
        <v>-219640.67</v>
      </c>
      <c r="O57" s="196">
        <f t="shared" si="1"/>
        <v>0</v>
      </c>
      <c r="AA57" t="s">
        <v>277</v>
      </c>
      <c r="AB57" t="s">
        <v>892</v>
      </c>
      <c r="AC57" s="115">
        <v>-44645.82</v>
      </c>
      <c r="AD57" s="115">
        <v>-45731.63</v>
      </c>
      <c r="AE57" s="115">
        <v>-51746.28</v>
      </c>
      <c r="AF57" s="115">
        <v>-44626.44</v>
      </c>
      <c r="AG57" s="115">
        <f t="shared" si="2"/>
        <v>-186750.16999999998</v>
      </c>
      <c r="AI57" s="115">
        <f t="shared" si="3"/>
        <v>0</v>
      </c>
    </row>
    <row r="58" spans="1:35">
      <c r="A58" s="199" t="s">
        <v>279</v>
      </c>
      <c r="B58" s="197" t="s">
        <v>893</v>
      </c>
      <c r="C58" s="115">
        <v>137669.42000000001</v>
      </c>
      <c r="D58" s="117">
        <v>30465.26</v>
      </c>
      <c r="E58" s="129">
        <v>51245.79</v>
      </c>
      <c r="F58" s="198">
        <v>-26143.94</v>
      </c>
      <c r="G58" s="128">
        <f t="shared" si="0"/>
        <v>193236.53000000003</v>
      </c>
      <c r="I58" s="117">
        <v>84949.94</v>
      </c>
      <c r="J58" s="117">
        <v>52719.48</v>
      </c>
      <c r="K58" s="115">
        <v>137669.42000000001</v>
      </c>
      <c r="M58" s="54">
        <v>193236.53000000003</v>
      </c>
      <c r="O58" s="196">
        <f t="shared" si="1"/>
        <v>84949.94</v>
      </c>
      <c r="AA58" t="s">
        <v>279</v>
      </c>
      <c r="AB58" t="s">
        <v>893</v>
      </c>
      <c r="AC58" s="115">
        <v>137669.42000000001</v>
      </c>
      <c r="AD58" s="115">
        <v>30465.26</v>
      </c>
      <c r="AE58" s="115">
        <v>51245.79</v>
      </c>
      <c r="AF58" s="115">
        <v>-26143.94</v>
      </c>
      <c r="AG58" s="115">
        <f t="shared" si="2"/>
        <v>193236.53000000003</v>
      </c>
      <c r="AI58" s="115">
        <f t="shared" si="3"/>
        <v>0</v>
      </c>
    </row>
    <row r="59" spans="1:35">
      <c r="A59" s="199" t="s">
        <v>281</v>
      </c>
      <c r="B59" s="197" t="s">
        <v>894</v>
      </c>
      <c r="C59" s="117">
        <v>-120585.68</v>
      </c>
      <c r="D59" s="117">
        <v>-223306.19</v>
      </c>
      <c r="E59" s="129">
        <v>-180958.89</v>
      </c>
      <c r="F59" s="198">
        <v>-196365.39</v>
      </c>
      <c r="G59" s="128">
        <f t="shared" si="0"/>
        <v>-721216.15</v>
      </c>
      <c r="I59" s="117">
        <v>-146124.98000000001</v>
      </c>
      <c r="J59" s="117">
        <v>-120585.68</v>
      </c>
      <c r="M59" s="54">
        <v>-867341.13</v>
      </c>
      <c r="O59" s="196">
        <f t="shared" si="1"/>
        <v>0</v>
      </c>
      <c r="AA59" t="s">
        <v>281</v>
      </c>
      <c r="AB59" t="s">
        <v>894</v>
      </c>
      <c r="AC59" s="115">
        <v>-120585.68</v>
      </c>
      <c r="AD59" s="115">
        <v>-223306.19</v>
      </c>
      <c r="AE59" s="115">
        <v>-180958.89</v>
      </c>
      <c r="AF59" s="115">
        <v>-196365.39</v>
      </c>
      <c r="AG59" s="115">
        <f t="shared" si="2"/>
        <v>-721216.15</v>
      </c>
      <c r="AI59" s="115">
        <f t="shared" si="3"/>
        <v>0</v>
      </c>
    </row>
    <row r="60" spans="1:35">
      <c r="A60" s="199" t="s">
        <v>283</v>
      </c>
      <c r="B60" s="197" t="s">
        <v>895</v>
      </c>
      <c r="C60" s="117">
        <v>-45892.02</v>
      </c>
      <c r="D60" s="117">
        <v>24175.35</v>
      </c>
      <c r="E60" s="129">
        <v>74974.009999999995</v>
      </c>
      <c r="F60" s="198">
        <v>34326.699999999997</v>
      </c>
      <c r="G60" s="128">
        <f t="shared" si="0"/>
        <v>87584.04</v>
      </c>
      <c r="I60" s="117">
        <v>-2369.65</v>
      </c>
      <c r="J60" s="117">
        <v>-45892.02</v>
      </c>
      <c r="M60" s="54">
        <v>85214.389999999985</v>
      </c>
      <c r="O60" s="196">
        <f t="shared" si="1"/>
        <v>0</v>
      </c>
      <c r="AA60" t="s">
        <v>283</v>
      </c>
      <c r="AB60" t="s">
        <v>895</v>
      </c>
      <c r="AC60" s="115">
        <v>-45892.02</v>
      </c>
      <c r="AD60" s="115">
        <v>24175.35</v>
      </c>
      <c r="AE60" s="115">
        <v>74974.009999999995</v>
      </c>
      <c r="AF60" s="115">
        <v>34326.699999999997</v>
      </c>
      <c r="AG60" s="115">
        <f t="shared" si="2"/>
        <v>87584.04</v>
      </c>
      <c r="AI60" s="115">
        <f t="shared" si="3"/>
        <v>0</v>
      </c>
    </row>
    <row r="61" spans="1:35">
      <c r="A61" s="199" t="s">
        <v>285</v>
      </c>
      <c r="B61" s="197" t="s">
        <v>896</v>
      </c>
      <c r="C61" s="117">
        <v>-49974.12</v>
      </c>
      <c r="D61" s="117">
        <v>-63551.91</v>
      </c>
      <c r="E61" s="129">
        <v>-68980.990000000005</v>
      </c>
      <c r="F61" s="198">
        <v>-77722.22</v>
      </c>
      <c r="G61" s="128">
        <f t="shared" si="0"/>
        <v>-260229.24000000002</v>
      </c>
      <c r="I61" s="117">
        <v>-63033.23</v>
      </c>
      <c r="J61" s="117">
        <v>-49974.12</v>
      </c>
      <c r="M61" s="54">
        <v>-323262.46999999997</v>
      </c>
      <c r="O61" s="196">
        <f t="shared" si="1"/>
        <v>0</v>
      </c>
      <c r="AA61" t="s">
        <v>285</v>
      </c>
      <c r="AB61" t="s">
        <v>896</v>
      </c>
      <c r="AC61" s="115">
        <v>-49974.12</v>
      </c>
      <c r="AD61" s="115">
        <v>-63551.91</v>
      </c>
      <c r="AE61" s="115">
        <v>-68980.990000000005</v>
      </c>
      <c r="AF61" s="115">
        <v>-77722.22</v>
      </c>
      <c r="AG61" s="115">
        <f t="shared" si="2"/>
        <v>-260229.24000000002</v>
      </c>
      <c r="AI61" s="115">
        <f t="shared" si="3"/>
        <v>0</v>
      </c>
    </row>
    <row r="62" spans="1:35">
      <c r="A62" s="199" t="s">
        <v>287</v>
      </c>
      <c r="B62" s="197" t="s">
        <v>897</v>
      </c>
      <c r="C62" s="117">
        <v>-132872.03</v>
      </c>
      <c r="D62" s="117">
        <v>-151785.44</v>
      </c>
      <c r="E62" s="129">
        <v>-117927.15</v>
      </c>
      <c r="F62" s="198">
        <v>-145625.35999999999</v>
      </c>
      <c r="G62" s="128">
        <f t="shared" si="0"/>
        <v>-548209.98</v>
      </c>
      <c r="I62" s="117">
        <v>-109636.45</v>
      </c>
      <c r="J62" s="117">
        <v>-132872.03</v>
      </c>
      <c r="M62" s="54">
        <v>-657846.42999999993</v>
      </c>
      <c r="O62" s="196">
        <f t="shared" si="1"/>
        <v>0</v>
      </c>
      <c r="AA62" t="s">
        <v>287</v>
      </c>
      <c r="AB62" t="s">
        <v>897</v>
      </c>
      <c r="AC62" s="115">
        <v>-132872.03</v>
      </c>
      <c r="AD62" s="115">
        <v>-151785.44</v>
      </c>
      <c r="AE62" s="115">
        <v>-117927.15</v>
      </c>
      <c r="AF62" s="115">
        <v>-145625.35999999999</v>
      </c>
      <c r="AG62" s="115">
        <f t="shared" si="2"/>
        <v>-548209.98</v>
      </c>
      <c r="AI62" s="115">
        <f t="shared" si="3"/>
        <v>0</v>
      </c>
    </row>
    <row r="63" spans="1:35">
      <c r="A63" s="199" t="s">
        <v>289</v>
      </c>
      <c r="B63" s="197" t="s">
        <v>898</v>
      </c>
      <c r="C63" s="115">
        <v>25682.089999999997</v>
      </c>
      <c r="D63" s="117">
        <v>55522.1</v>
      </c>
      <c r="E63" s="129">
        <v>-50752.01</v>
      </c>
      <c r="F63" s="198">
        <v>-42924.43</v>
      </c>
      <c r="G63" s="128">
        <f t="shared" si="0"/>
        <v>-12472.25</v>
      </c>
      <c r="I63" s="117">
        <v>-20150.22</v>
      </c>
      <c r="J63" s="117">
        <v>45832.31</v>
      </c>
      <c r="K63" s="115">
        <v>25682.089999999997</v>
      </c>
      <c r="M63" s="54">
        <v>-12472.25</v>
      </c>
      <c r="O63" s="196">
        <f t="shared" si="1"/>
        <v>-20150.22</v>
      </c>
      <c r="AA63" t="s">
        <v>289</v>
      </c>
      <c r="AB63" t="s">
        <v>898</v>
      </c>
      <c r="AC63" s="115">
        <v>25682.09</v>
      </c>
      <c r="AD63" s="115">
        <v>55522.1</v>
      </c>
      <c r="AE63" s="115">
        <v>-50752.01</v>
      </c>
      <c r="AF63" s="115">
        <v>-42924.43</v>
      </c>
      <c r="AG63" s="115">
        <f t="shared" si="2"/>
        <v>-12472.25</v>
      </c>
      <c r="AI63" s="115">
        <f t="shared" si="3"/>
        <v>0</v>
      </c>
    </row>
    <row r="64" spans="1:35">
      <c r="A64" s="199" t="s">
        <v>291</v>
      </c>
      <c r="B64" s="197" t="s">
        <v>899</v>
      </c>
      <c r="C64" s="117">
        <v>-260830.62</v>
      </c>
      <c r="D64" s="117">
        <v>-435217.16</v>
      </c>
      <c r="E64" s="129">
        <v>-365180.77</v>
      </c>
      <c r="F64" s="198">
        <v>-611544.76</v>
      </c>
      <c r="G64" s="128">
        <f t="shared" si="0"/>
        <v>-1672773.31</v>
      </c>
      <c r="I64" s="117">
        <v>-157840.47</v>
      </c>
      <c r="J64" s="117">
        <v>-260830.62</v>
      </c>
      <c r="M64" s="54">
        <v>-1830613.78</v>
      </c>
      <c r="O64" s="196">
        <f t="shared" si="1"/>
        <v>0</v>
      </c>
      <c r="AA64" t="s">
        <v>291</v>
      </c>
      <c r="AB64" t="s">
        <v>899</v>
      </c>
      <c r="AC64" s="115">
        <v>-260830.62</v>
      </c>
      <c r="AD64" s="115">
        <v>-435217.16</v>
      </c>
      <c r="AE64" s="115">
        <v>-365180.77</v>
      </c>
      <c r="AF64" s="115">
        <v>-611544.76</v>
      </c>
      <c r="AG64" s="115">
        <f t="shared" si="2"/>
        <v>-1672773.31</v>
      </c>
      <c r="AI64" s="115">
        <f t="shared" si="3"/>
        <v>0</v>
      </c>
    </row>
    <row r="65" spans="1:35">
      <c r="A65" s="199" t="s">
        <v>293</v>
      </c>
      <c r="B65" s="197" t="s">
        <v>900</v>
      </c>
      <c r="C65" s="117">
        <v>-84417.57</v>
      </c>
      <c r="D65" s="117">
        <v>-134479.93</v>
      </c>
      <c r="E65" s="129">
        <v>-151214.32</v>
      </c>
      <c r="F65" s="198">
        <v>-234094.46</v>
      </c>
      <c r="G65" s="128">
        <f t="shared" si="0"/>
        <v>-604206.28</v>
      </c>
      <c r="I65" s="117">
        <v>-105078.03</v>
      </c>
      <c r="J65" s="117">
        <v>-84417.57</v>
      </c>
      <c r="M65" s="54">
        <v>-709284.31</v>
      </c>
      <c r="O65" s="196">
        <f t="shared" si="1"/>
        <v>0</v>
      </c>
      <c r="AA65" t="s">
        <v>293</v>
      </c>
      <c r="AB65" t="s">
        <v>900</v>
      </c>
      <c r="AC65" s="115">
        <v>-84417.57</v>
      </c>
      <c r="AD65" s="115">
        <v>-134479.93</v>
      </c>
      <c r="AE65" s="115">
        <v>-151214.32</v>
      </c>
      <c r="AF65" s="115">
        <v>-234094.46</v>
      </c>
      <c r="AG65" s="115">
        <f t="shared" si="2"/>
        <v>-604206.28</v>
      </c>
      <c r="AI65" s="115">
        <f t="shared" si="3"/>
        <v>0</v>
      </c>
    </row>
    <row r="66" spans="1:35">
      <c r="A66" s="199" t="s">
        <v>295</v>
      </c>
      <c r="B66" s="197" t="s">
        <v>901</v>
      </c>
      <c r="C66" s="117">
        <v>-77005.789999999994</v>
      </c>
      <c r="D66" s="117">
        <v>-66282.05</v>
      </c>
      <c r="E66" s="129">
        <v>-78117.5</v>
      </c>
      <c r="F66" s="198">
        <v>-79330.69</v>
      </c>
      <c r="G66" s="128">
        <f t="shared" si="0"/>
        <v>-300736.03000000003</v>
      </c>
      <c r="I66" s="117">
        <v>-63437.52</v>
      </c>
      <c r="J66" s="117">
        <v>-77005.789999999994</v>
      </c>
      <c r="M66" s="54">
        <v>-364173.55</v>
      </c>
      <c r="O66" s="196">
        <f t="shared" si="1"/>
        <v>0</v>
      </c>
      <c r="AA66" t="s">
        <v>295</v>
      </c>
      <c r="AB66" t="s">
        <v>901</v>
      </c>
      <c r="AC66" s="115">
        <v>-77005.789999999994</v>
      </c>
      <c r="AD66" s="115">
        <v>-66282.05</v>
      </c>
      <c r="AE66" s="115">
        <v>-78117.5</v>
      </c>
      <c r="AF66" s="115">
        <v>-79330.69</v>
      </c>
      <c r="AG66" s="115">
        <f t="shared" si="2"/>
        <v>-300736.03000000003</v>
      </c>
      <c r="AI66" s="115">
        <f t="shared" si="3"/>
        <v>0</v>
      </c>
    </row>
    <row r="67" spans="1:35">
      <c r="A67" s="199" t="s">
        <v>297</v>
      </c>
      <c r="B67" s="197" t="s">
        <v>902</v>
      </c>
      <c r="C67" s="117">
        <v>-74643.5</v>
      </c>
      <c r="D67" s="117">
        <v>-76198.38</v>
      </c>
      <c r="E67" s="129">
        <v>-58319.41</v>
      </c>
      <c r="F67" s="198">
        <v>-60365.17</v>
      </c>
      <c r="G67" s="128">
        <f t="shared" ref="G67:G130" si="4">SUM(C67:F67)</f>
        <v>-269526.46000000002</v>
      </c>
      <c r="I67" s="117">
        <v>-47929.67</v>
      </c>
      <c r="J67" s="117">
        <v>-74643.5</v>
      </c>
      <c r="M67" s="54">
        <v>-317456.13</v>
      </c>
      <c r="O67" s="196">
        <f t="shared" si="1"/>
        <v>0</v>
      </c>
      <c r="AA67" t="s">
        <v>297</v>
      </c>
      <c r="AB67" t="s">
        <v>902</v>
      </c>
      <c r="AC67" s="115">
        <v>-74643.5</v>
      </c>
      <c r="AD67" s="115">
        <v>-76198.38</v>
      </c>
      <c r="AE67" s="115">
        <v>-58319.41</v>
      </c>
      <c r="AF67" s="115">
        <v>-60365.17</v>
      </c>
      <c r="AG67" s="115">
        <f t="shared" si="2"/>
        <v>-269526.46000000002</v>
      </c>
      <c r="AI67" s="115">
        <f t="shared" si="3"/>
        <v>0</v>
      </c>
    </row>
    <row r="68" spans="1:35">
      <c r="A68" s="199" t="s">
        <v>299</v>
      </c>
      <c r="B68" s="197" t="s">
        <v>903</v>
      </c>
      <c r="C68" s="117">
        <v>-328346.93</v>
      </c>
      <c r="D68" s="117">
        <v>-227492.04</v>
      </c>
      <c r="E68" s="129">
        <v>-178143.28</v>
      </c>
      <c r="F68" s="198">
        <v>-160428.53</v>
      </c>
      <c r="G68" s="128">
        <f t="shared" si="4"/>
        <v>-894410.78</v>
      </c>
      <c r="I68" s="117">
        <v>-206096.54</v>
      </c>
      <c r="J68" s="117">
        <v>-328346.93</v>
      </c>
      <c r="M68" s="54">
        <v>-1100507.32</v>
      </c>
      <c r="O68" s="196">
        <f t="shared" ref="O68:O131" si="5">+G68+I68-M68</f>
        <v>0</v>
      </c>
      <c r="AA68" t="s">
        <v>299</v>
      </c>
      <c r="AB68" t="s">
        <v>903</v>
      </c>
      <c r="AC68" s="115">
        <v>-328346.93</v>
      </c>
      <c r="AD68" s="115">
        <v>-227492.04</v>
      </c>
      <c r="AE68" s="115">
        <v>-178143.28</v>
      </c>
      <c r="AF68" s="115">
        <v>-160428.53</v>
      </c>
      <c r="AG68" s="115">
        <f t="shared" ref="AG68:AG131" si="6">SUM(AC68:AF68)</f>
        <v>-894410.78</v>
      </c>
      <c r="AI68" s="115">
        <f t="shared" ref="AI68:AI131" si="7">+AG68-G68</f>
        <v>0</v>
      </c>
    </row>
    <row r="69" spans="1:35">
      <c r="A69" s="199" t="s">
        <v>301</v>
      </c>
      <c r="B69" s="197" t="s">
        <v>904</v>
      </c>
      <c r="C69" s="117">
        <v>-118147.22</v>
      </c>
      <c r="D69" s="117">
        <v>-39771.300000000003</v>
      </c>
      <c r="E69" s="129">
        <v>8769.31</v>
      </c>
      <c r="F69" s="198">
        <v>-103353.01</v>
      </c>
      <c r="G69" s="128">
        <f t="shared" si="4"/>
        <v>-252502.22000000003</v>
      </c>
      <c r="I69" s="117">
        <v>-51869.53</v>
      </c>
      <c r="J69" s="117">
        <v>-118147.22</v>
      </c>
      <c r="M69" s="54">
        <v>-304371.75</v>
      </c>
      <c r="O69" s="196">
        <f t="shared" si="5"/>
        <v>0</v>
      </c>
      <c r="AA69" t="s">
        <v>301</v>
      </c>
      <c r="AB69" t="s">
        <v>904</v>
      </c>
      <c r="AC69" s="115">
        <v>-118147.22</v>
      </c>
      <c r="AD69" s="115">
        <v>-39771.300000000003</v>
      </c>
      <c r="AE69" s="115">
        <v>8769.31</v>
      </c>
      <c r="AF69" s="115">
        <v>-103353.01</v>
      </c>
      <c r="AG69" s="115">
        <f t="shared" si="6"/>
        <v>-252502.22000000003</v>
      </c>
      <c r="AI69" s="115">
        <f t="shared" si="7"/>
        <v>0</v>
      </c>
    </row>
    <row r="70" spans="1:35">
      <c r="A70" s="199" t="s">
        <v>303</v>
      </c>
      <c r="B70" s="197" t="s">
        <v>905</v>
      </c>
      <c r="C70" s="117">
        <v>-43845.47</v>
      </c>
      <c r="D70" s="117">
        <v>-42603.61</v>
      </c>
      <c r="E70" s="129">
        <v>-37707.300000000003</v>
      </c>
      <c r="F70" s="198">
        <v>-63771.44</v>
      </c>
      <c r="G70" s="128">
        <f t="shared" si="4"/>
        <v>-187927.82</v>
      </c>
      <c r="I70" s="117">
        <v>-35763.040000000001</v>
      </c>
      <c r="J70" s="117">
        <v>-43845.47</v>
      </c>
      <c r="M70" s="54">
        <v>-223690.86000000002</v>
      </c>
      <c r="O70" s="196">
        <f t="shared" si="5"/>
        <v>0</v>
      </c>
      <c r="AA70" t="s">
        <v>303</v>
      </c>
      <c r="AB70" t="s">
        <v>905</v>
      </c>
      <c r="AC70" s="115">
        <v>-43845.47</v>
      </c>
      <c r="AD70" s="115">
        <v>-42603.61</v>
      </c>
      <c r="AE70" s="115">
        <v>-37707.300000000003</v>
      </c>
      <c r="AF70" s="115">
        <v>-63771.44</v>
      </c>
      <c r="AG70" s="115">
        <f t="shared" si="6"/>
        <v>-187927.82</v>
      </c>
      <c r="AI70" s="115">
        <f t="shared" si="7"/>
        <v>0</v>
      </c>
    </row>
    <row r="71" spans="1:35">
      <c r="A71" s="199" t="s">
        <v>305</v>
      </c>
      <c r="B71" s="197" t="s">
        <v>906</v>
      </c>
      <c r="C71" s="117">
        <v>-22883.38</v>
      </c>
      <c r="D71" s="117">
        <v>-36240.800000000003</v>
      </c>
      <c r="E71" s="129">
        <v>-35838.86</v>
      </c>
      <c r="F71" s="198">
        <v>-42731.040000000001</v>
      </c>
      <c r="G71" s="128">
        <f t="shared" si="4"/>
        <v>-137694.08000000002</v>
      </c>
      <c r="I71" s="117">
        <v>-30819.26</v>
      </c>
      <c r="J71" s="117">
        <v>-22883.38</v>
      </c>
      <c r="M71" s="54">
        <v>-168513.34</v>
      </c>
      <c r="O71" s="196">
        <f t="shared" si="5"/>
        <v>0</v>
      </c>
      <c r="AA71" t="s">
        <v>305</v>
      </c>
      <c r="AB71" t="s">
        <v>906</v>
      </c>
      <c r="AC71" s="115">
        <v>-22883.38</v>
      </c>
      <c r="AD71" s="115">
        <v>-36240.800000000003</v>
      </c>
      <c r="AE71" s="115">
        <v>-35838.86</v>
      </c>
      <c r="AF71" s="115">
        <v>-42731.040000000001</v>
      </c>
      <c r="AG71" s="115">
        <f t="shared" si="6"/>
        <v>-137694.08000000002</v>
      </c>
      <c r="AI71" s="115">
        <f t="shared" si="7"/>
        <v>0</v>
      </c>
    </row>
    <row r="72" spans="1:35">
      <c r="A72" s="199" t="s">
        <v>307</v>
      </c>
      <c r="B72" s="197" t="s">
        <v>907</v>
      </c>
      <c r="C72" s="117">
        <v>-91716.45</v>
      </c>
      <c r="D72" s="117">
        <v>-68930.05</v>
      </c>
      <c r="E72" s="129">
        <v>-63032.43</v>
      </c>
      <c r="F72" s="198">
        <v>-49205.36</v>
      </c>
      <c r="G72" s="128">
        <f t="shared" si="4"/>
        <v>-272884.28999999998</v>
      </c>
      <c r="I72" s="117">
        <v>-71447.509999999995</v>
      </c>
      <c r="J72" s="117">
        <v>-91716.45</v>
      </c>
      <c r="M72" s="54">
        <v>-344331.8</v>
      </c>
      <c r="O72" s="196">
        <f t="shared" si="5"/>
        <v>0</v>
      </c>
      <c r="AA72" t="s">
        <v>307</v>
      </c>
      <c r="AB72" t="s">
        <v>907</v>
      </c>
      <c r="AC72" s="115">
        <v>-91716.45</v>
      </c>
      <c r="AD72" s="115">
        <v>-68930.05</v>
      </c>
      <c r="AE72" s="115">
        <v>-63032.43</v>
      </c>
      <c r="AF72" s="115">
        <v>-49205.36</v>
      </c>
      <c r="AG72" s="115">
        <f t="shared" si="6"/>
        <v>-272884.28999999998</v>
      </c>
      <c r="AI72" s="115">
        <f t="shared" si="7"/>
        <v>0</v>
      </c>
    </row>
    <row r="73" spans="1:35">
      <c r="A73" s="199" t="s">
        <v>309</v>
      </c>
      <c r="B73" s="197" t="s">
        <v>908</v>
      </c>
      <c r="C73" s="117">
        <v>-176013.87</v>
      </c>
      <c r="D73" s="117">
        <v>-315071.44</v>
      </c>
      <c r="E73" s="129">
        <v>-237367.55</v>
      </c>
      <c r="F73" s="198">
        <v>-264205.21000000002</v>
      </c>
      <c r="G73" s="128">
        <f t="shared" si="4"/>
        <v>-992658.07000000007</v>
      </c>
      <c r="I73" s="117">
        <v>-105136.34</v>
      </c>
      <c r="J73" s="117">
        <v>-176013.87</v>
      </c>
      <c r="M73" s="54">
        <v>-1097794.4099999999</v>
      </c>
      <c r="O73" s="196">
        <f t="shared" si="5"/>
        <v>0</v>
      </c>
      <c r="AA73" t="s">
        <v>309</v>
      </c>
      <c r="AB73" t="s">
        <v>908</v>
      </c>
      <c r="AC73" s="115">
        <v>-176013.87</v>
      </c>
      <c r="AD73" s="115">
        <v>-315071.44</v>
      </c>
      <c r="AE73" s="115">
        <v>-237367.55</v>
      </c>
      <c r="AF73" s="115">
        <v>-264205.21000000002</v>
      </c>
      <c r="AG73" s="115">
        <f t="shared" si="6"/>
        <v>-992658.07000000007</v>
      </c>
      <c r="AI73" s="115">
        <f t="shared" si="7"/>
        <v>0</v>
      </c>
    </row>
    <row r="74" spans="1:35">
      <c r="A74" s="199" t="s">
        <v>311</v>
      </c>
      <c r="B74" s="197" t="s">
        <v>909</v>
      </c>
      <c r="C74" s="117">
        <v>-162025.39000000001</v>
      </c>
      <c r="D74" s="117">
        <v>-185432.51</v>
      </c>
      <c r="E74" s="129">
        <v>-165664.91</v>
      </c>
      <c r="F74" s="198">
        <v>-250473.45</v>
      </c>
      <c r="G74" s="128">
        <f t="shared" si="4"/>
        <v>-763596.26</v>
      </c>
      <c r="I74" s="117">
        <v>-142046.09</v>
      </c>
      <c r="J74" s="117">
        <v>-162025.39000000001</v>
      </c>
      <c r="M74" s="54">
        <v>-905642.35000000009</v>
      </c>
      <c r="O74" s="196">
        <f t="shared" si="5"/>
        <v>0</v>
      </c>
      <c r="AA74" t="s">
        <v>311</v>
      </c>
      <c r="AB74" t="s">
        <v>909</v>
      </c>
      <c r="AC74" s="115">
        <v>-162025.39000000001</v>
      </c>
      <c r="AD74" s="115">
        <v>-185432.51</v>
      </c>
      <c r="AE74" s="115">
        <v>-165664.91</v>
      </c>
      <c r="AF74" s="115">
        <v>-250473.45</v>
      </c>
      <c r="AG74" s="115">
        <f t="shared" si="6"/>
        <v>-763596.26</v>
      </c>
      <c r="AI74" s="115">
        <f t="shared" si="7"/>
        <v>0</v>
      </c>
    </row>
    <row r="75" spans="1:35">
      <c r="A75" s="199" t="s">
        <v>313</v>
      </c>
      <c r="B75" s="197" t="s">
        <v>910</v>
      </c>
      <c r="C75" s="117">
        <v>-133827.49</v>
      </c>
      <c r="D75" s="117">
        <v>-85363.56</v>
      </c>
      <c r="E75" s="129">
        <v>-52517.8</v>
      </c>
      <c r="F75" s="198">
        <v>-84335.81</v>
      </c>
      <c r="G75" s="128">
        <f t="shared" si="4"/>
        <v>-356044.66</v>
      </c>
      <c r="I75" s="117">
        <v>-94435.23</v>
      </c>
      <c r="J75" s="117">
        <v>-133827.49</v>
      </c>
      <c r="M75" s="54">
        <v>-450479.88999999996</v>
      </c>
      <c r="O75" s="196">
        <f t="shared" si="5"/>
        <v>0</v>
      </c>
      <c r="AA75" t="s">
        <v>313</v>
      </c>
      <c r="AB75" t="s">
        <v>910</v>
      </c>
      <c r="AC75" s="115">
        <v>-133827.49</v>
      </c>
      <c r="AD75" s="115">
        <v>-85363.56</v>
      </c>
      <c r="AE75" s="115">
        <v>-52517.8</v>
      </c>
      <c r="AF75" s="115">
        <v>-84335.81</v>
      </c>
      <c r="AG75" s="115">
        <f t="shared" si="6"/>
        <v>-356044.66</v>
      </c>
      <c r="AI75" s="115">
        <f t="shared" si="7"/>
        <v>0</v>
      </c>
    </row>
    <row r="76" spans="1:35">
      <c r="A76" s="199" t="s">
        <v>315</v>
      </c>
      <c r="B76" s="197" t="s">
        <v>911</v>
      </c>
      <c r="C76" s="117">
        <v>-17083.400000000001</v>
      </c>
      <c r="D76" s="117">
        <v>-34071.03</v>
      </c>
      <c r="E76" s="129">
        <v>-18247.009999999998</v>
      </c>
      <c r="F76" s="198">
        <v>-22374.28</v>
      </c>
      <c r="G76" s="128">
        <f t="shared" si="4"/>
        <v>-91775.72</v>
      </c>
      <c r="I76" s="117">
        <v>-6631.64</v>
      </c>
      <c r="J76" s="117">
        <v>-17083.400000000001</v>
      </c>
      <c r="M76" s="54">
        <v>-98407.360000000001</v>
      </c>
      <c r="O76" s="196">
        <f t="shared" si="5"/>
        <v>0</v>
      </c>
      <c r="AA76" t="s">
        <v>315</v>
      </c>
      <c r="AB76" t="s">
        <v>911</v>
      </c>
      <c r="AC76" s="115">
        <v>-17083.400000000001</v>
      </c>
      <c r="AD76" s="115">
        <v>-34071.03</v>
      </c>
      <c r="AE76" s="115">
        <v>-18247.009999999998</v>
      </c>
      <c r="AF76" s="115">
        <v>-22374.28</v>
      </c>
      <c r="AG76" s="115">
        <f t="shared" si="6"/>
        <v>-91775.72</v>
      </c>
      <c r="AI76" s="115">
        <f t="shared" si="7"/>
        <v>0</v>
      </c>
    </row>
    <row r="77" spans="1:35">
      <c r="A77" s="199" t="s">
        <v>317</v>
      </c>
      <c r="B77" s="197" t="s">
        <v>912</v>
      </c>
      <c r="C77" s="117">
        <v>-17578.43</v>
      </c>
      <c r="D77" s="117">
        <v>-17732.07</v>
      </c>
      <c r="E77" s="129">
        <v>-18423.89</v>
      </c>
      <c r="F77" s="198">
        <v>-19797.849999999999</v>
      </c>
      <c r="G77" s="128">
        <f t="shared" si="4"/>
        <v>-73532.239999999991</v>
      </c>
      <c r="I77" s="117">
        <v>-16032.83</v>
      </c>
      <c r="J77" s="117">
        <v>-17578.43</v>
      </c>
      <c r="M77" s="54">
        <v>-89565.07</v>
      </c>
      <c r="O77" s="196">
        <f t="shared" si="5"/>
        <v>0</v>
      </c>
      <c r="AA77" t="s">
        <v>317</v>
      </c>
      <c r="AB77" t="s">
        <v>912</v>
      </c>
      <c r="AC77" s="115">
        <v>-17578.43</v>
      </c>
      <c r="AD77" s="115">
        <v>-17732.07</v>
      </c>
      <c r="AE77" s="115">
        <v>-18423.89</v>
      </c>
      <c r="AF77" s="115">
        <v>-19797.849999999999</v>
      </c>
      <c r="AG77" s="115">
        <f t="shared" si="6"/>
        <v>-73532.239999999991</v>
      </c>
      <c r="AI77" s="115">
        <f t="shared" si="7"/>
        <v>0</v>
      </c>
    </row>
    <row r="78" spans="1:35">
      <c r="A78" s="199" t="s">
        <v>319</v>
      </c>
      <c r="B78" s="197" t="s">
        <v>913</v>
      </c>
      <c r="C78" s="117">
        <v>-61583.8</v>
      </c>
      <c r="D78" s="117">
        <v>-59011.06</v>
      </c>
      <c r="E78" s="129">
        <v>-149934.04</v>
      </c>
      <c r="F78" s="198">
        <v>-215350.06</v>
      </c>
      <c r="G78" s="128">
        <f t="shared" si="4"/>
        <v>-485878.96</v>
      </c>
      <c r="I78" s="117">
        <v>-72949.33</v>
      </c>
      <c r="J78" s="117">
        <v>-61583.8</v>
      </c>
      <c r="M78" s="54">
        <v>-558828.29</v>
      </c>
      <c r="O78" s="196">
        <f t="shared" si="5"/>
        <v>0</v>
      </c>
      <c r="AA78" t="s">
        <v>319</v>
      </c>
      <c r="AB78" t="s">
        <v>913</v>
      </c>
      <c r="AC78" s="115">
        <v>-61583.8</v>
      </c>
      <c r="AD78" s="115">
        <v>-59011.06</v>
      </c>
      <c r="AE78" s="115">
        <v>-149934.04</v>
      </c>
      <c r="AF78" s="115">
        <v>-215350.06</v>
      </c>
      <c r="AG78" s="115">
        <f t="shared" si="6"/>
        <v>-485878.96</v>
      </c>
      <c r="AI78" s="115">
        <f t="shared" si="7"/>
        <v>0</v>
      </c>
    </row>
    <row r="79" spans="1:35">
      <c r="A79" s="199" t="s">
        <v>321</v>
      </c>
      <c r="B79" s="197" t="s">
        <v>914</v>
      </c>
      <c r="C79" s="117">
        <v>-72403.98</v>
      </c>
      <c r="D79" s="117">
        <v>-61938.400000000001</v>
      </c>
      <c r="E79" s="129">
        <v>-158464.60999999999</v>
      </c>
      <c r="F79" s="198">
        <v>-185346.94</v>
      </c>
      <c r="G79" s="128">
        <f t="shared" si="4"/>
        <v>-478153.93</v>
      </c>
      <c r="I79" s="117">
        <v>-65503.8</v>
      </c>
      <c r="J79" s="117">
        <v>-72403.98</v>
      </c>
      <c r="M79" s="54">
        <v>-543657.73</v>
      </c>
      <c r="O79" s="196">
        <f t="shared" si="5"/>
        <v>0</v>
      </c>
      <c r="AA79" t="s">
        <v>321</v>
      </c>
      <c r="AB79" t="s">
        <v>914</v>
      </c>
      <c r="AC79" s="115">
        <v>-72403.98</v>
      </c>
      <c r="AD79" s="115">
        <v>-61938.400000000001</v>
      </c>
      <c r="AE79" s="115">
        <v>-158464.60999999999</v>
      </c>
      <c r="AF79" s="115">
        <v>-185346.94</v>
      </c>
      <c r="AG79" s="115">
        <f t="shared" si="6"/>
        <v>-478153.93</v>
      </c>
      <c r="AI79" s="115">
        <f t="shared" si="7"/>
        <v>0</v>
      </c>
    </row>
    <row r="80" spans="1:35">
      <c r="A80" s="199" t="s">
        <v>323</v>
      </c>
      <c r="B80" s="197" t="s">
        <v>915</v>
      </c>
      <c r="C80" s="117">
        <v>-57423.57</v>
      </c>
      <c r="D80" s="117">
        <v>-70541.759999999995</v>
      </c>
      <c r="E80" s="129">
        <v>-86944.52</v>
      </c>
      <c r="F80" s="198">
        <v>-36919.26</v>
      </c>
      <c r="G80" s="128">
        <f t="shared" si="4"/>
        <v>-251829.11</v>
      </c>
      <c r="I80" s="117">
        <v>-47951.64</v>
      </c>
      <c r="J80" s="117">
        <v>-57423.57</v>
      </c>
      <c r="M80" s="54">
        <v>-299780.75</v>
      </c>
      <c r="O80" s="196">
        <f t="shared" si="5"/>
        <v>0</v>
      </c>
      <c r="AA80" t="s">
        <v>323</v>
      </c>
      <c r="AB80" t="s">
        <v>915</v>
      </c>
      <c r="AC80" s="115">
        <v>-57423.57</v>
      </c>
      <c r="AD80" s="115">
        <v>-70541.759999999995</v>
      </c>
      <c r="AE80" s="115">
        <v>-86944.52</v>
      </c>
      <c r="AF80" s="115">
        <v>-36919.26</v>
      </c>
      <c r="AG80" s="115">
        <f t="shared" si="6"/>
        <v>-251829.11</v>
      </c>
      <c r="AI80" s="115">
        <f t="shared" si="7"/>
        <v>0</v>
      </c>
    </row>
    <row r="81" spans="1:35">
      <c r="A81" s="199" t="s">
        <v>325</v>
      </c>
      <c r="B81" s="197" t="s">
        <v>916</v>
      </c>
      <c r="C81" s="117">
        <v>-254568.51</v>
      </c>
      <c r="D81" s="117">
        <v>-298034.40000000002</v>
      </c>
      <c r="E81" s="129">
        <v>-433519.92</v>
      </c>
      <c r="F81" s="198">
        <v>-464427.88</v>
      </c>
      <c r="G81" s="128">
        <f t="shared" si="4"/>
        <v>-1450550.71</v>
      </c>
      <c r="I81" s="117">
        <v>-270665.15999999997</v>
      </c>
      <c r="J81" s="117">
        <v>-254568.51</v>
      </c>
      <c r="M81" s="54">
        <v>-1721215.87</v>
      </c>
      <c r="O81" s="196">
        <f t="shared" si="5"/>
        <v>0</v>
      </c>
      <c r="AA81" t="s">
        <v>325</v>
      </c>
      <c r="AB81" t="s">
        <v>916</v>
      </c>
      <c r="AC81" s="115">
        <v>-254568.51</v>
      </c>
      <c r="AD81" s="115">
        <v>-298034.40000000002</v>
      </c>
      <c r="AE81" s="115">
        <v>-433519.92</v>
      </c>
      <c r="AF81" s="115">
        <v>-464427.88</v>
      </c>
      <c r="AG81" s="115">
        <f t="shared" si="6"/>
        <v>-1450550.71</v>
      </c>
      <c r="AI81" s="115">
        <f t="shared" si="7"/>
        <v>0</v>
      </c>
    </row>
    <row r="82" spans="1:35">
      <c r="A82" s="199" t="s">
        <v>327</v>
      </c>
      <c r="B82" s="197" t="s">
        <v>917</v>
      </c>
      <c r="C82" s="117">
        <v>-97978.05</v>
      </c>
      <c r="D82" s="117">
        <v>-38342.959999999999</v>
      </c>
      <c r="E82" s="129">
        <v>-18481.32</v>
      </c>
      <c r="F82" s="198">
        <v>-39229.32</v>
      </c>
      <c r="G82" s="128">
        <f t="shared" si="4"/>
        <v>-194031.65000000002</v>
      </c>
      <c r="I82" s="117">
        <v>-131283.70000000001</v>
      </c>
      <c r="J82" s="117">
        <v>-97978.05</v>
      </c>
      <c r="M82" s="54">
        <v>-325315.35000000003</v>
      </c>
      <c r="O82" s="196">
        <f t="shared" si="5"/>
        <v>0</v>
      </c>
      <c r="AA82" t="s">
        <v>327</v>
      </c>
      <c r="AB82" t="s">
        <v>917</v>
      </c>
      <c r="AC82" s="115">
        <v>-97978.05</v>
      </c>
      <c r="AD82" s="115">
        <v>-38342.959999999999</v>
      </c>
      <c r="AE82" s="115">
        <v>-18481.32</v>
      </c>
      <c r="AF82" s="115">
        <v>-39229.32</v>
      </c>
      <c r="AG82" s="115">
        <f t="shared" si="6"/>
        <v>-194031.65000000002</v>
      </c>
      <c r="AI82" s="115">
        <f t="shared" si="7"/>
        <v>0</v>
      </c>
    </row>
    <row r="83" spans="1:35">
      <c r="A83" s="199" t="s">
        <v>329</v>
      </c>
      <c r="B83" s="197" t="s">
        <v>918</v>
      </c>
      <c r="C83" s="117">
        <v>-276891.43</v>
      </c>
      <c r="D83" s="117">
        <v>-259007</v>
      </c>
      <c r="E83" s="129">
        <v>-309810.11</v>
      </c>
      <c r="F83" s="198">
        <v>-302567.36</v>
      </c>
      <c r="G83" s="128">
        <f t="shared" si="4"/>
        <v>-1148275.8999999999</v>
      </c>
      <c r="I83" s="117">
        <v>-290663.90999999997</v>
      </c>
      <c r="J83" s="117">
        <v>-276891.43</v>
      </c>
      <c r="M83" s="54">
        <v>-1438939.81</v>
      </c>
      <c r="O83" s="196">
        <f t="shared" si="5"/>
        <v>0</v>
      </c>
      <c r="AA83" t="s">
        <v>329</v>
      </c>
      <c r="AB83" t="s">
        <v>918</v>
      </c>
      <c r="AC83" s="115">
        <v>-276891.43</v>
      </c>
      <c r="AD83" s="115">
        <v>-259007</v>
      </c>
      <c r="AE83" s="115">
        <v>-309810.11</v>
      </c>
      <c r="AF83" s="115">
        <v>-302567.36</v>
      </c>
      <c r="AG83" s="115">
        <f t="shared" si="6"/>
        <v>-1148275.8999999999</v>
      </c>
      <c r="AI83" s="115">
        <f t="shared" si="7"/>
        <v>0</v>
      </c>
    </row>
    <row r="84" spans="1:35">
      <c r="A84" s="199" t="s">
        <v>331</v>
      </c>
      <c r="B84" s="197" t="s">
        <v>919</v>
      </c>
      <c r="C84" s="117">
        <v>-82385.259999999995</v>
      </c>
      <c r="D84" s="117">
        <v>-76894.53</v>
      </c>
      <c r="E84" s="129">
        <v>-105990.63</v>
      </c>
      <c r="F84" s="198">
        <v>-84985.34</v>
      </c>
      <c r="G84" s="128">
        <f t="shared" si="4"/>
        <v>-350255.76</v>
      </c>
      <c r="I84" s="117">
        <v>-79624.89</v>
      </c>
      <c r="J84" s="117">
        <v>-82385.259999999995</v>
      </c>
      <c r="M84" s="54">
        <v>-429880.65</v>
      </c>
      <c r="O84" s="196">
        <f t="shared" si="5"/>
        <v>0</v>
      </c>
      <c r="AA84" t="s">
        <v>331</v>
      </c>
      <c r="AB84" t="s">
        <v>919</v>
      </c>
      <c r="AC84" s="115">
        <v>-82385.259999999995</v>
      </c>
      <c r="AD84" s="115">
        <v>-76894.53</v>
      </c>
      <c r="AE84" s="115">
        <v>-105990.63</v>
      </c>
      <c r="AF84" s="115">
        <v>-84985.34</v>
      </c>
      <c r="AG84" s="115">
        <f t="shared" si="6"/>
        <v>-350255.76</v>
      </c>
      <c r="AI84" s="115">
        <f t="shared" si="7"/>
        <v>0</v>
      </c>
    </row>
    <row r="85" spans="1:35">
      <c r="A85" s="199" t="s">
        <v>333</v>
      </c>
      <c r="B85" s="197" t="s">
        <v>920</v>
      </c>
      <c r="C85" s="117">
        <v>-22100.71</v>
      </c>
      <c r="D85" s="117">
        <v>-28016.9</v>
      </c>
      <c r="E85" s="129">
        <v>-36493.35</v>
      </c>
      <c r="F85" s="198">
        <v>-23423.74</v>
      </c>
      <c r="G85" s="128">
        <f t="shared" si="4"/>
        <v>-110034.7</v>
      </c>
      <c r="I85" s="117">
        <v>-27216.82</v>
      </c>
      <c r="J85" s="117">
        <v>-22100.71</v>
      </c>
      <c r="M85" s="54">
        <v>-137251.51999999999</v>
      </c>
      <c r="O85" s="196">
        <f t="shared" si="5"/>
        <v>0</v>
      </c>
      <c r="AA85" t="s">
        <v>333</v>
      </c>
      <c r="AB85" t="s">
        <v>920</v>
      </c>
      <c r="AC85" s="115">
        <v>-22100.71</v>
      </c>
      <c r="AD85" s="115">
        <v>-28016.9</v>
      </c>
      <c r="AE85" s="115">
        <v>-36493.35</v>
      </c>
      <c r="AF85" s="115">
        <v>-23423.74</v>
      </c>
      <c r="AG85" s="115">
        <f t="shared" si="6"/>
        <v>-110034.7</v>
      </c>
      <c r="AI85" s="115">
        <f t="shared" si="7"/>
        <v>0</v>
      </c>
    </row>
    <row r="86" spans="1:35">
      <c r="A86" s="199" t="s">
        <v>335</v>
      </c>
      <c r="B86" s="197" t="s">
        <v>921</v>
      </c>
      <c r="C86" s="117">
        <v>-27461.75</v>
      </c>
      <c r="D86" s="117">
        <v>-39387.5</v>
      </c>
      <c r="E86" s="129">
        <v>-40000.870000000003</v>
      </c>
      <c r="F86" s="198">
        <v>-40744.199999999997</v>
      </c>
      <c r="G86" s="128">
        <f t="shared" si="4"/>
        <v>-147594.32</v>
      </c>
      <c r="I86" s="117">
        <v>-30703.72</v>
      </c>
      <c r="J86" s="117">
        <v>-27461.75</v>
      </c>
      <c r="M86" s="54">
        <v>-178298.03999999998</v>
      </c>
      <c r="O86" s="196">
        <f t="shared" si="5"/>
        <v>0</v>
      </c>
      <c r="AA86" t="s">
        <v>335</v>
      </c>
      <c r="AB86" t="s">
        <v>921</v>
      </c>
      <c r="AC86" s="115">
        <v>-27461.75</v>
      </c>
      <c r="AD86" s="115">
        <v>-39387.5</v>
      </c>
      <c r="AE86" s="115">
        <v>-40000.870000000003</v>
      </c>
      <c r="AF86" s="115">
        <v>-40744.199999999997</v>
      </c>
      <c r="AG86" s="115">
        <f t="shared" si="6"/>
        <v>-147594.32</v>
      </c>
      <c r="AI86" s="115">
        <f t="shared" si="7"/>
        <v>0</v>
      </c>
    </row>
    <row r="87" spans="1:35">
      <c r="A87" s="199" t="s">
        <v>337</v>
      </c>
      <c r="B87" s="197" t="s">
        <v>922</v>
      </c>
      <c r="C87" s="117">
        <v>-54484.59</v>
      </c>
      <c r="D87" s="117">
        <v>-75269.97</v>
      </c>
      <c r="E87" s="129">
        <v>-65106.79</v>
      </c>
      <c r="F87" s="198">
        <v>-120332.72</v>
      </c>
      <c r="G87" s="128">
        <f t="shared" si="4"/>
        <v>-315194.07</v>
      </c>
      <c r="I87" s="117">
        <v>-58318.6</v>
      </c>
      <c r="J87" s="117">
        <v>-54484.59</v>
      </c>
      <c r="M87" s="54">
        <v>-373512.67000000004</v>
      </c>
      <c r="O87" s="196">
        <f t="shared" si="5"/>
        <v>0</v>
      </c>
      <c r="AA87" t="s">
        <v>337</v>
      </c>
      <c r="AB87" t="s">
        <v>922</v>
      </c>
      <c r="AC87" s="115">
        <v>-54484.59</v>
      </c>
      <c r="AD87" s="115">
        <v>-75269.97</v>
      </c>
      <c r="AE87" s="115">
        <v>-65106.79</v>
      </c>
      <c r="AF87" s="115">
        <v>-120332.72</v>
      </c>
      <c r="AG87" s="115">
        <f t="shared" si="6"/>
        <v>-315194.07</v>
      </c>
      <c r="AI87" s="115">
        <f t="shared" si="7"/>
        <v>0</v>
      </c>
    </row>
    <row r="88" spans="1:35">
      <c r="A88" s="199" t="s">
        <v>339</v>
      </c>
      <c r="B88" s="197" t="s">
        <v>923</v>
      </c>
      <c r="C88" s="117">
        <v>-140083.10999999999</v>
      </c>
      <c r="D88" s="117">
        <v>-169752.36</v>
      </c>
      <c r="E88" s="129">
        <v>-175636.89</v>
      </c>
      <c r="F88" s="198">
        <v>-146252.35</v>
      </c>
      <c r="G88" s="128">
        <f t="shared" si="4"/>
        <v>-631724.71</v>
      </c>
      <c r="I88" s="117">
        <v>-138947.91</v>
      </c>
      <c r="J88" s="117">
        <v>-140083.10999999999</v>
      </c>
      <c r="M88" s="54">
        <v>-770672.62</v>
      </c>
      <c r="O88" s="196">
        <f t="shared" si="5"/>
        <v>0</v>
      </c>
      <c r="AA88" t="s">
        <v>339</v>
      </c>
      <c r="AB88" t="s">
        <v>923</v>
      </c>
      <c r="AC88" s="115">
        <v>-140083.10999999999</v>
      </c>
      <c r="AD88" s="115">
        <v>-169752.36</v>
      </c>
      <c r="AE88" s="115">
        <v>-175636.89</v>
      </c>
      <c r="AF88" s="115">
        <v>-146252.35</v>
      </c>
      <c r="AG88" s="115">
        <f t="shared" si="6"/>
        <v>-631724.71</v>
      </c>
      <c r="AI88" s="115">
        <f t="shared" si="7"/>
        <v>0</v>
      </c>
    </row>
    <row r="89" spans="1:35">
      <c r="A89" s="199" t="s">
        <v>341</v>
      </c>
      <c r="B89" s="197" t="s">
        <v>924</v>
      </c>
      <c r="C89" s="117">
        <v>-592898.27</v>
      </c>
      <c r="D89" s="117">
        <v>-626122.97</v>
      </c>
      <c r="E89" s="129">
        <v>-1286517.23</v>
      </c>
      <c r="F89" s="198">
        <v>-1947475.28</v>
      </c>
      <c r="G89" s="128">
        <f t="shared" si="4"/>
        <v>-4453013.75</v>
      </c>
      <c r="I89" s="117">
        <v>-257667.62</v>
      </c>
      <c r="J89" s="117">
        <v>-592898.27</v>
      </c>
      <c r="M89" s="54">
        <v>-4710681.37</v>
      </c>
      <c r="O89" s="196">
        <f t="shared" si="5"/>
        <v>0</v>
      </c>
      <c r="AA89" t="s">
        <v>341</v>
      </c>
      <c r="AB89" t="s">
        <v>924</v>
      </c>
      <c r="AC89" s="115">
        <v>-592898.27</v>
      </c>
      <c r="AD89" s="115">
        <v>-626122.97</v>
      </c>
      <c r="AE89" s="115">
        <v>-1286517.23</v>
      </c>
      <c r="AF89" s="115">
        <v>-1947475.28</v>
      </c>
      <c r="AG89" s="115">
        <f t="shared" si="6"/>
        <v>-4453013.75</v>
      </c>
      <c r="AI89" s="115">
        <f t="shared" si="7"/>
        <v>0</v>
      </c>
    </row>
    <row r="90" spans="1:35">
      <c r="A90" s="199" t="s">
        <v>343</v>
      </c>
      <c r="B90" s="197" t="s">
        <v>925</v>
      </c>
      <c r="C90" s="119">
        <v>0</v>
      </c>
      <c r="D90" s="117">
        <v>232873.97</v>
      </c>
      <c r="E90" s="129">
        <v>-367128.58</v>
      </c>
      <c r="F90" s="198">
        <v>-428558.21</v>
      </c>
      <c r="G90" s="128">
        <f t="shared" si="4"/>
        <v>-562812.82000000007</v>
      </c>
      <c r="I90" s="117">
        <v>-1106364.8799999999</v>
      </c>
      <c r="J90" s="117">
        <v>82403.64</v>
      </c>
      <c r="K90">
        <v>0</v>
      </c>
      <c r="M90" s="54">
        <v>-1586774.0599999998</v>
      </c>
      <c r="O90" s="196">
        <f t="shared" si="5"/>
        <v>-82403.64000000013</v>
      </c>
      <c r="AA90" t="s">
        <v>343</v>
      </c>
      <c r="AB90" t="s">
        <v>925</v>
      </c>
      <c r="AC90" s="115">
        <v>0</v>
      </c>
      <c r="AD90" s="115">
        <v>232873.97</v>
      </c>
      <c r="AE90" s="115">
        <v>-367128.58</v>
      </c>
      <c r="AF90" s="115">
        <v>-428558.21</v>
      </c>
      <c r="AG90" s="115">
        <f t="shared" si="6"/>
        <v>-562812.82000000007</v>
      </c>
      <c r="AI90" s="115">
        <f t="shared" si="7"/>
        <v>0</v>
      </c>
    </row>
    <row r="91" spans="1:35">
      <c r="A91" s="199" t="s">
        <v>345</v>
      </c>
      <c r="B91" s="197" t="s">
        <v>926</v>
      </c>
      <c r="C91" s="117">
        <v>-421120.33</v>
      </c>
      <c r="D91" s="117">
        <v>-538801.77</v>
      </c>
      <c r="E91" s="129">
        <v>-697897.17</v>
      </c>
      <c r="F91" s="198">
        <v>-717511.46</v>
      </c>
      <c r="G91" s="128">
        <f t="shared" si="4"/>
        <v>-2375330.73</v>
      </c>
      <c r="I91" s="117">
        <v>-191166.65</v>
      </c>
      <c r="J91" s="117">
        <v>-421120.33</v>
      </c>
      <c r="M91" s="54">
        <v>-2566497.38</v>
      </c>
      <c r="O91" s="196">
        <f t="shared" si="5"/>
        <v>0</v>
      </c>
      <c r="AA91" t="s">
        <v>345</v>
      </c>
      <c r="AB91" t="s">
        <v>926</v>
      </c>
      <c r="AC91" s="115">
        <v>-421120.33</v>
      </c>
      <c r="AD91" s="115">
        <v>-538801.77</v>
      </c>
      <c r="AE91" s="115">
        <v>-697897.17</v>
      </c>
      <c r="AF91" s="115">
        <v>-717511.46</v>
      </c>
      <c r="AG91" s="115">
        <f t="shared" si="6"/>
        <v>-2375330.73</v>
      </c>
      <c r="AI91" s="115">
        <f t="shared" si="7"/>
        <v>0</v>
      </c>
    </row>
    <row r="92" spans="1:35">
      <c r="A92" s="199" t="s">
        <v>347</v>
      </c>
      <c r="B92" s="197" t="s">
        <v>927</v>
      </c>
      <c r="C92" s="117">
        <v>0</v>
      </c>
      <c r="D92" s="117">
        <v>-115287.27</v>
      </c>
      <c r="E92" s="129">
        <v>-175514.53</v>
      </c>
      <c r="F92" s="198">
        <v>-186044.31</v>
      </c>
      <c r="G92" s="128">
        <f t="shared" si="4"/>
        <v>-476846.11</v>
      </c>
      <c r="I92" s="117">
        <v>-187328.98</v>
      </c>
      <c r="J92" s="117">
        <v>0</v>
      </c>
      <c r="M92" s="54">
        <v>-664175.09000000008</v>
      </c>
      <c r="O92" s="196">
        <f t="shared" si="5"/>
        <v>0</v>
      </c>
      <c r="AA92" t="s">
        <v>347</v>
      </c>
      <c r="AB92" t="s">
        <v>927</v>
      </c>
      <c r="AC92" s="115">
        <v>0</v>
      </c>
      <c r="AD92" s="115">
        <v>-115287.27</v>
      </c>
      <c r="AE92" s="115">
        <v>-175514.53</v>
      </c>
      <c r="AF92" s="115">
        <v>-186044.31</v>
      </c>
      <c r="AG92" s="115">
        <f t="shared" si="6"/>
        <v>-476846.11</v>
      </c>
      <c r="AI92" s="115">
        <f t="shared" si="7"/>
        <v>0</v>
      </c>
    </row>
    <row r="93" spans="1:35">
      <c r="A93" s="199" t="s">
        <v>349</v>
      </c>
      <c r="B93" s="197" t="s">
        <v>928</v>
      </c>
      <c r="C93" s="117">
        <v>-360873.52</v>
      </c>
      <c r="D93" s="117">
        <v>161200.78</v>
      </c>
      <c r="E93" s="129">
        <v>433955.66</v>
      </c>
      <c r="F93" s="198">
        <v>675907.45</v>
      </c>
      <c r="G93" s="128">
        <f t="shared" si="4"/>
        <v>910190.36999999988</v>
      </c>
      <c r="I93" s="117">
        <v>0</v>
      </c>
      <c r="J93" s="117">
        <v>-360873.52</v>
      </c>
      <c r="M93" s="54">
        <v>910190.36999999988</v>
      </c>
      <c r="O93" s="196">
        <f t="shared" si="5"/>
        <v>0</v>
      </c>
      <c r="AA93" t="s">
        <v>349</v>
      </c>
      <c r="AB93" t="s">
        <v>928</v>
      </c>
      <c r="AC93" s="115">
        <v>-360873.52</v>
      </c>
      <c r="AD93" s="115">
        <v>161200.78</v>
      </c>
      <c r="AE93" s="115">
        <v>433955.66</v>
      </c>
      <c r="AF93" s="115">
        <v>675907.45</v>
      </c>
      <c r="AG93" s="115">
        <f t="shared" si="6"/>
        <v>910190.36999999988</v>
      </c>
      <c r="AI93" s="115">
        <f t="shared" si="7"/>
        <v>0</v>
      </c>
    </row>
    <row r="94" spans="1:35">
      <c r="A94" s="199" t="s">
        <v>351</v>
      </c>
      <c r="B94" s="197" t="s">
        <v>929</v>
      </c>
      <c r="C94" s="117">
        <v>-137340.73000000001</v>
      </c>
      <c r="D94" s="117">
        <v>-112322.59</v>
      </c>
      <c r="E94" s="129">
        <v>-83172.62</v>
      </c>
      <c r="F94" s="198">
        <v>-47622.12</v>
      </c>
      <c r="G94" s="128">
        <f t="shared" si="4"/>
        <v>-380458.06</v>
      </c>
      <c r="I94" s="117">
        <v>-51033.73</v>
      </c>
      <c r="J94" s="117">
        <v>-137340.73000000001</v>
      </c>
      <c r="M94" s="54">
        <v>-431491.79000000004</v>
      </c>
      <c r="O94" s="196">
        <f t="shared" si="5"/>
        <v>0</v>
      </c>
      <c r="AA94" t="s">
        <v>351</v>
      </c>
      <c r="AB94" t="s">
        <v>929</v>
      </c>
      <c r="AC94" s="115">
        <v>-137340.73000000001</v>
      </c>
      <c r="AD94" s="115">
        <v>-112322.59</v>
      </c>
      <c r="AE94" s="115">
        <v>-83172.62</v>
      </c>
      <c r="AF94" s="115">
        <v>-47622.12</v>
      </c>
      <c r="AG94" s="115">
        <f t="shared" si="6"/>
        <v>-380458.06</v>
      </c>
      <c r="AI94" s="115">
        <f t="shared" si="7"/>
        <v>0</v>
      </c>
    </row>
    <row r="95" spans="1:35">
      <c r="A95" s="199" t="s">
        <v>353</v>
      </c>
      <c r="B95" s="197" t="s">
        <v>930</v>
      </c>
      <c r="C95" s="115">
        <v>725100.14</v>
      </c>
      <c r="D95" s="117">
        <v>146122.44</v>
      </c>
      <c r="E95" s="129">
        <v>284077.61</v>
      </c>
      <c r="F95" s="198">
        <v>-68900.61</v>
      </c>
      <c r="G95" s="128">
        <f t="shared" si="4"/>
        <v>1086399.5799999998</v>
      </c>
      <c r="I95" s="117">
        <v>652876.69000000006</v>
      </c>
      <c r="J95" s="117">
        <v>72223.45</v>
      </c>
      <c r="K95" s="115">
        <v>725100.14</v>
      </c>
      <c r="M95" s="54">
        <v>1086399.5799999998</v>
      </c>
      <c r="O95" s="196">
        <f t="shared" si="5"/>
        <v>652876.69000000018</v>
      </c>
      <c r="AA95" t="s">
        <v>353</v>
      </c>
      <c r="AB95" t="s">
        <v>930</v>
      </c>
      <c r="AC95" s="115">
        <v>725100.14</v>
      </c>
      <c r="AD95" s="115">
        <v>146122.44</v>
      </c>
      <c r="AE95" s="115">
        <v>284077.61</v>
      </c>
      <c r="AF95" s="115">
        <v>-68900.61</v>
      </c>
      <c r="AG95" s="115">
        <f t="shared" si="6"/>
        <v>1086399.5799999998</v>
      </c>
      <c r="AI95" s="115">
        <f t="shared" si="7"/>
        <v>0</v>
      </c>
    </row>
    <row r="96" spans="1:35">
      <c r="A96" s="199" t="s">
        <v>355</v>
      </c>
      <c r="B96" s="197" t="s">
        <v>931</v>
      </c>
      <c r="C96" s="117">
        <v>-66009.89</v>
      </c>
      <c r="D96" s="117">
        <v>-72645.83</v>
      </c>
      <c r="E96" s="129">
        <v>-75704.740000000005</v>
      </c>
      <c r="F96" s="198">
        <v>-65764.460000000006</v>
      </c>
      <c r="G96" s="128">
        <f t="shared" si="4"/>
        <v>-280124.92000000004</v>
      </c>
      <c r="I96" s="117">
        <v>-53993.440000000002</v>
      </c>
      <c r="J96" s="117">
        <v>-66009.89</v>
      </c>
      <c r="M96" s="54">
        <v>-334118.36000000004</v>
      </c>
      <c r="O96" s="196">
        <f t="shared" si="5"/>
        <v>0</v>
      </c>
      <c r="AA96" t="s">
        <v>355</v>
      </c>
      <c r="AB96" t="s">
        <v>931</v>
      </c>
      <c r="AC96" s="115">
        <v>-66009.89</v>
      </c>
      <c r="AD96" s="115">
        <v>-72645.83</v>
      </c>
      <c r="AE96" s="115">
        <v>-75704.740000000005</v>
      </c>
      <c r="AF96" s="115">
        <v>-65764.460000000006</v>
      </c>
      <c r="AG96" s="115">
        <f t="shared" si="6"/>
        <v>-280124.92000000004</v>
      </c>
      <c r="AI96" s="115">
        <f t="shared" si="7"/>
        <v>0</v>
      </c>
    </row>
    <row r="97" spans="1:35">
      <c r="A97" s="199" t="s">
        <v>357</v>
      </c>
      <c r="B97" s="197" t="s">
        <v>932</v>
      </c>
      <c r="C97" s="117">
        <v>-201748.57</v>
      </c>
      <c r="D97" s="117">
        <v>-208987.94</v>
      </c>
      <c r="E97" s="129">
        <v>-530011.69999999995</v>
      </c>
      <c r="F97" s="198">
        <v>-157796.18</v>
      </c>
      <c r="G97" s="128">
        <f t="shared" si="4"/>
        <v>-1098544.3899999999</v>
      </c>
      <c r="I97" s="117">
        <v>-134421.06000000003</v>
      </c>
      <c r="J97" s="117">
        <v>-201748.57</v>
      </c>
      <c r="M97" s="54">
        <v>-1232965.45</v>
      </c>
      <c r="O97" s="196">
        <f t="shared" si="5"/>
        <v>0</v>
      </c>
      <c r="AA97" t="s">
        <v>357</v>
      </c>
      <c r="AB97" t="s">
        <v>932</v>
      </c>
      <c r="AC97" s="115">
        <v>-201748.57</v>
      </c>
      <c r="AD97" s="115">
        <v>-208987.94</v>
      </c>
      <c r="AE97" s="115">
        <v>-530011.69999999995</v>
      </c>
      <c r="AF97" s="115">
        <v>-157796.18</v>
      </c>
      <c r="AG97" s="115">
        <f t="shared" si="6"/>
        <v>-1098544.3899999999</v>
      </c>
      <c r="AI97" s="115">
        <f t="shared" si="7"/>
        <v>0</v>
      </c>
    </row>
    <row r="98" spans="1:35">
      <c r="A98" s="199" t="s">
        <v>359</v>
      </c>
      <c r="B98" s="197" t="s">
        <v>933</v>
      </c>
      <c r="C98" s="115">
        <v>-39093.320000000007</v>
      </c>
      <c r="D98" s="117">
        <v>-8710.56</v>
      </c>
      <c r="E98" s="129">
        <v>-262111.41</v>
      </c>
      <c r="F98" s="198">
        <v>-255411.53</v>
      </c>
      <c r="G98" s="128">
        <f t="shared" si="4"/>
        <v>-565326.82000000007</v>
      </c>
      <c r="I98" s="117">
        <v>46325.039999999994</v>
      </c>
      <c r="J98" s="117">
        <v>-85418.36</v>
      </c>
      <c r="K98" s="115">
        <v>-39093.320000000007</v>
      </c>
      <c r="M98" s="54">
        <v>-565326.82000000007</v>
      </c>
      <c r="O98" s="196">
        <f t="shared" si="5"/>
        <v>46325.039999999979</v>
      </c>
      <c r="AA98" t="s">
        <v>359</v>
      </c>
      <c r="AB98" t="s">
        <v>933</v>
      </c>
      <c r="AC98" s="115">
        <v>-39093.32</v>
      </c>
      <c r="AD98" s="115">
        <v>-8710.56</v>
      </c>
      <c r="AE98" s="115">
        <v>-262111.41</v>
      </c>
      <c r="AF98" s="115">
        <v>-255411.53</v>
      </c>
      <c r="AG98" s="115">
        <f t="shared" si="6"/>
        <v>-565326.81999999995</v>
      </c>
      <c r="AI98" s="115">
        <f t="shared" si="7"/>
        <v>0</v>
      </c>
    </row>
    <row r="99" spans="1:35">
      <c r="A99" s="199" t="s">
        <v>361</v>
      </c>
      <c r="B99" s="197" t="s">
        <v>934</v>
      </c>
      <c r="C99" s="117">
        <v>-100534.24</v>
      </c>
      <c r="D99" s="117">
        <v>-122947.39</v>
      </c>
      <c r="E99" s="129">
        <v>-108983.03</v>
      </c>
      <c r="F99" s="198">
        <v>-106471.66</v>
      </c>
      <c r="G99" s="128">
        <f t="shared" si="4"/>
        <v>-438936.32000000007</v>
      </c>
      <c r="I99" s="117">
        <v>-59173.48</v>
      </c>
      <c r="J99" s="117">
        <v>-100534.24</v>
      </c>
      <c r="M99" s="54">
        <v>-498109.80000000005</v>
      </c>
      <c r="O99" s="196">
        <f t="shared" si="5"/>
        <v>0</v>
      </c>
      <c r="AA99" t="s">
        <v>361</v>
      </c>
      <c r="AB99" t="s">
        <v>934</v>
      </c>
      <c r="AC99" s="115">
        <v>-100534.24</v>
      </c>
      <c r="AD99" s="115">
        <v>-122947.39</v>
      </c>
      <c r="AE99" s="115">
        <v>-108983.03</v>
      </c>
      <c r="AF99" s="115">
        <v>-106471.66</v>
      </c>
      <c r="AG99" s="115">
        <f t="shared" si="6"/>
        <v>-438936.32000000007</v>
      </c>
      <c r="AI99" s="115">
        <f t="shared" si="7"/>
        <v>0</v>
      </c>
    </row>
    <row r="100" spans="1:35">
      <c r="A100" s="199" t="s">
        <v>98</v>
      </c>
      <c r="B100" s="197" t="s">
        <v>935</v>
      </c>
      <c r="C100" s="115">
        <v>1938498.72</v>
      </c>
      <c r="D100" s="117">
        <v>276967.93</v>
      </c>
      <c r="E100" s="129">
        <v>317667.46999999997</v>
      </c>
      <c r="F100" s="198">
        <v>730985.32</v>
      </c>
      <c r="G100" s="128">
        <f t="shared" si="4"/>
        <v>3264119.44</v>
      </c>
      <c r="I100" s="117">
        <v>1420004.52</v>
      </c>
      <c r="J100" s="117">
        <v>518494.2</v>
      </c>
      <c r="K100" s="115">
        <v>1938498.72</v>
      </c>
      <c r="M100" s="54">
        <v>3264119.44</v>
      </c>
      <c r="O100" s="196">
        <f t="shared" si="5"/>
        <v>1420004.52</v>
      </c>
      <c r="AA100" t="s">
        <v>98</v>
      </c>
      <c r="AB100" t="s">
        <v>935</v>
      </c>
      <c r="AC100" s="115">
        <v>1938498.72</v>
      </c>
      <c r="AD100" s="115">
        <v>276967.93</v>
      </c>
      <c r="AE100" s="115">
        <v>317667.46999999997</v>
      </c>
      <c r="AF100" s="115">
        <v>730985.32</v>
      </c>
      <c r="AG100" s="115">
        <f t="shared" si="6"/>
        <v>3264119.44</v>
      </c>
      <c r="AI100" s="115">
        <f t="shared" si="7"/>
        <v>0</v>
      </c>
    </row>
    <row r="101" spans="1:35">
      <c r="A101" s="199" t="s">
        <v>364</v>
      </c>
      <c r="B101" s="197" t="s">
        <v>936</v>
      </c>
      <c r="C101" s="115">
        <v>143684.47</v>
      </c>
      <c r="D101" s="117">
        <v>-101721.72</v>
      </c>
      <c r="E101" s="129">
        <v>-88976.22</v>
      </c>
      <c r="F101" s="198">
        <v>-293736.26</v>
      </c>
      <c r="G101" s="128">
        <f t="shared" si="4"/>
        <v>-340749.73</v>
      </c>
      <c r="I101" s="117">
        <v>229291.79</v>
      </c>
      <c r="J101" s="117">
        <v>-85607.32</v>
      </c>
      <c r="K101" s="115">
        <v>143684.47</v>
      </c>
      <c r="M101" s="54">
        <v>-340749.73</v>
      </c>
      <c r="O101" s="196">
        <f t="shared" si="5"/>
        <v>229291.79</v>
      </c>
      <c r="AA101" t="s">
        <v>364</v>
      </c>
      <c r="AB101" t="s">
        <v>936</v>
      </c>
      <c r="AC101" s="115">
        <v>143684.47</v>
      </c>
      <c r="AD101" s="115">
        <v>-101721.72</v>
      </c>
      <c r="AE101" s="115">
        <v>-88976.22</v>
      </c>
      <c r="AF101" s="115">
        <v>-293736.26</v>
      </c>
      <c r="AG101" s="115">
        <f t="shared" si="6"/>
        <v>-340749.73</v>
      </c>
      <c r="AI101" s="115">
        <f t="shared" si="7"/>
        <v>0</v>
      </c>
    </row>
    <row r="102" spans="1:35">
      <c r="A102" s="199" t="s">
        <v>366</v>
      </c>
      <c r="B102" s="197" t="s">
        <v>937</v>
      </c>
      <c r="C102" s="117">
        <v>-518564.28</v>
      </c>
      <c r="D102" s="117">
        <v>-471358.75</v>
      </c>
      <c r="E102" s="129">
        <v>-645276.09</v>
      </c>
      <c r="F102" s="198">
        <v>-520610.59</v>
      </c>
      <c r="G102" s="128">
        <f t="shared" si="4"/>
        <v>-2155809.71</v>
      </c>
      <c r="I102" s="117">
        <v>-417926.1</v>
      </c>
      <c r="J102" s="117">
        <v>-518564.28</v>
      </c>
      <c r="M102" s="54">
        <v>-2573735.8099999996</v>
      </c>
      <c r="O102" s="196">
        <f t="shared" si="5"/>
        <v>0</v>
      </c>
      <c r="AA102" t="s">
        <v>366</v>
      </c>
      <c r="AB102" t="s">
        <v>937</v>
      </c>
      <c r="AC102" s="115">
        <v>-518564.28</v>
      </c>
      <c r="AD102" s="115">
        <v>-471358.75</v>
      </c>
      <c r="AE102" s="115">
        <v>-645276.09</v>
      </c>
      <c r="AF102" s="115">
        <v>-520610.59</v>
      </c>
      <c r="AG102" s="115">
        <f t="shared" si="6"/>
        <v>-2155809.71</v>
      </c>
      <c r="AI102" s="115">
        <f t="shared" si="7"/>
        <v>0</v>
      </c>
    </row>
    <row r="103" spans="1:35">
      <c r="A103" s="199" t="s">
        <v>367</v>
      </c>
      <c r="B103" s="197" t="s">
        <v>938</v>
      </c>
      <c r="C103" s="115">
        <v>1032782.39</v>
      </c>
      <c r="D103" s="117">
        <v>189313.36</v>
      </c>
      <c r="E103" s="129">
        <v>77362.25</v>
      </c>
      <c r="F103" s="198">
        <v>215317.4</v>
      </c>
      <c r="G103" s="128">
        <f t="shared" si="4"/>
        <v>1514775.4</v>
      </c>
      <c r="I103" s="117">
        <v>1009282.96</v>
      </c>
      <c r="J103" s="117">
        <v>23499.43</v>
      </c>
      <c r="K103" s="115">
        <v>1032782.39</v>
      </c>
      <c r="M103" s="54">
        <v>1514775.4</v>
      </c>
      <c r="O103" s="196">
        <f t="shared" si="5"/>
        <v>1009282.96</v>
      </c>
      <c r="AA103" t="s">
        <v>367</v>
      </c>
      <c r="AB103" t="s">
        <v>938</v>
      </c>
      <c r="AC103" s="115">
        <v>1032782.39</v>
      </c>
      <c r="AD103" s="115">
        <v>189313.36</v>
      </c>
      <c r="AE103" s="115">
        <v>77362.25</v>
      </c>
      <c r="AF103" s="115">
        <v>215317.4</v>
      </c>
      <c r="AG103" s="115">
        <f t="shared" si="6"/>
        <v>1514775.4</v>
      </c>
      <c r="AI103" s="115">
        <f t="shared" si="7"/>
        <v>0</v>
      </c>
    </row>
    <row r="104" spans="1:35">
      <c r="A104" s="199" t="s">
        <v>369</v>
      </c>
      <c r="B104" s="197" t="s">
        <v>939</v>
      </c>
      <c r="C104" s="117">
        <v>-188237.51</v>
      </c>
      <c r="D104" s="117">
        <v>-185875.91</v>
      </c>
      <c r="E104" s="129">
        <v>-260611.35</v>
      </c>
      <c r="F104" s="198">
        <v>-181060.45</v>
      </c>
      <c r="G104" s="128">
        <f t="shared" si="4"/>
        <v>-815785.22</v>
      </c>
      <c r="I104" s="117">
        <v>-196569.39</v>
      </c>
      <c r="J104" s="117">
        <v>-188237.51</v>
      </c>
      <c r="M104" s="54">
        <v>-1012354.6100000001</v>
      </c>
      <c r="O104" s="196">
        <f t="shared" si="5"/>
        <v>0</v>
      </c>
      <c r="AA104" t="s">
        <v>369</v>
      </c>
      <c r="AB104" t="s">
        <v>939</v>
      </c>
      <c r="AC104" s="115">
        <v>-188237.51</v>
      </c>
      <c r="AD104" s="115">
        <v>-185875.91</v>
      </c>
      <c r="AE104" s="115">
        <v>-260611.35</v>
      </c>
      <c r="AF104" s="115">
        <v>-181060.45</v>
      </c>
      <c r="AG104" s="115">
        <f t="shared" si="6"/>
        <v>-815785.22</v>
      </c>
      <c r="AI104" s="115">
        <f t="shared" si="7"/>
        <v>0</v>
      </c>
    </row>
    <row r="105" spans="1:35">
      <c r="A105" s="199" t="s">
        <v>371</v>
      </c>
      <c r="B105" s="197" t="s">
        <v>940</v>
      </c>
      <c r="C105" s="117">
        <v>-609097.02</v>
      </c>
      <c r="D105" s="117">
        <v>-407059.53</v>
      </c>
      <c r="E105" s="129">
        <v>-615663.81999999995</v>
      </c>
      <c r="F105" s="198">
        <v>-424279.52</v>
      </c>
      <c r="G105" s="128">
        <f t="shared" si="4"/>
        <v>-2056099.8900000001</v>
      </c>
      <c r="I105" s="117">
        <v>-433134.19</v>
      </c>
      <c r="J105" s="117">
        <v>-609097.02</v>
      </c>
      <c r="M105" s="54">
        <v>-2489234.08</v>
      </c>
      <c r="O105" s="196">
        <f t="shared" si="5"/>
        <v>0</v>
      </c>
      <c r="AA105" t="s">
        <v>371</v>
      </c>
      <c r="AB105" t="s">
        <v>940</v>
      </c>
      <c r="AC105" s="115">
        <v>-609097.02</v>
      </c>
      <c r="AD105" s="115">
        <v>-407059.53</v>
      </c>
      <c r="AE105" s="115">
        <v>-615663.81999999995</v>
      </c>
      <c r="AF105" s="115">
        <v>-424279.52</v>
      </c>
      <c r="AG105" s="115">
        <f t="shared" si="6"/>
        <v>-2056099.8900000001</v>
      </c>
      <c r="AI105" s="115">
        <f t="shared" si="7"/>
        <v>0</v>
      </c>
    </row>
    <row r="106" spans="1:35">
      <c r="A106" s="199" t="s">
        <v>373</v>
      </c>
      <c r="B106" s="197" t="s">
        <v>941</v>
      </c>
      <c r="C106" s="115">
        <v>761971.31</v>
      </c>
      <c r="D106" s="117">
        <v>338.48</v>
      </c>
      <c r="E106" s="129">
        <v>-140387.39000000001</v>
      </c>
      <c r="F106" s="198">
        <v>50366.39</v>
      </c>
      <c r="G106" s="128">
        <f t="shared" si="4"/>
        <v>672288.79</v>
      </c>
      <c r="I106" s="117">
        <v>496274.1</v>
      </c>
      <c r="J106" s="117">
        <v>265697.21000000002</v>
      </c>
      <c r="K106" s="115">
        <v>761971.31</v>
      </c>
      <c r="M106" s="54">
        <v>672288.79</v>
      </c>
      <c r="O106" s="196">
        <f t="shared" si="5"/>
        <v>496274.10000000009</v>
      </c>
      <c r="AA106" t="s">
        <v>373</v>
      </c>
      <c r="AB106" t="s">
        <v>941</v>
      </c>
      <c r="AC106" s="115">
        <v>761971.31</v>
      </c>
      <c r="AD106" s="115">
        <v>338.48</v>
      </c>
      <c r="AE106" s="115">
        <v>-140387.39000000001</v>
      </c>
      <c r="AF106" s="115">
        <v>50366.39</v>
      </c>
      <c r="AG106" s="115">
        <f t="shared" si="6"/>
        <v>672288.79</v>
      </c>
      <c r="AI106" s="115">
        <f t="shared" si="7"/>
        <v>0</v>
      </c>
    </row>
    <row r="107" spans="1:35">
      <c r="A107" s="199" t="s">
        <v>375</v>
      </c>
      <c r="B107" s="197" t="s">
        <v>942</v>
      </c>
      <c r="C107" s="117">
        <v>-45190.35</v>
      </c>
      <c r="D107" s="117">
        <v>-375302.72</v>
      </c>
      <c r="E107" s="129">
        <v>-494175.7</v>
      </c>
      <c r="F107" s="198">
        <v>-421662.85</v>
      </c>
      <c r="G107" s="128">
        <f t="shared" si="4"/>
        <v>-1336331.6200000001</v>
      </c>
      <c r="I107" s="117">
        <v>-256711.55</v>
      </c>
      <c r="J107" s="117">
        <v>-45190.35</v>
      </c>
      <c r="M107" s="54">
        <v>-1593043.17</v>
      </c>
      <c r="O107" s="196">
        <f t="shared" si="5"/>
        <v>0</v>
      </c>
      <c r="AA107" t="s">
        <v>375</v>
      </c>
      <c r="AB107" t="s">
        <v>942</v>
      </c>
      <c r="AC107" s="115">
        <v>-45190.35</v>
      </c>
      <c r="AD107" s="115">
        <v>-375302.72</v>
      </c>
      <c r="AE107" s="115">
        <v>-494175.7</v>
      </c>
      <c r="AF107" s="115">
        <v>-421662.85</v>
      </c>
      <c r="AG107" s="115">
        <f t="shared" si="6"/>
        <v>-1336331.6200000001</v>
      </c>
      <c r="AI107" s="115">
        <f t="shared" si="7"/>
        <v>0</v>
      </c>
    </row>
    <row r="108" spans="1:35">
      <c r="A108" s="200" t="s">
        <v>1547</v>
      </c>
      <c r="B108" s="197" t="s">
        <v>1661</v>
      </c>
      <c r="C108" s="117"/>
      <c r="D108" s="117"/>
      <c r="E108" s="129"/>
      <c r="F108" s="198">
        <v>-51741.599999999999</v>
      </c>
      <c r="G108" s="128">
        <f t="shared" si="4"/>
        <v>-51741.599999999999</v>
      </c>
      <c r="I108" s="117"/>
      <c r="J108" s="117"/>
      <c r="M108" s="54">
        <v>-51741.599999999999</v>
      </c>
      <c r="O108" s="196">
        <f t="shared" si="5"/>
        <v>0</v>
      </c>
      <c r="AA108" t="s">
        <v>1547</v>
      </c>
      <c r="AB108" t="s">
        <v>1661</v>
      </c>
      <c r="AC108" s="115"/>
      <c r="AD108" s="115"/>
      <c r="AE108" s="115"/>
      <c r="AF108" s="115">
        <v>-51741.599999999999</v>
      </c>
      <c r="AG108" s="115">
        <f t="shared" si="6"/>
        <v>-51741.599999999999</v>
      </c>
      <c r="AI108" s="115">
        <f t="shared" si="7"/>
        <v>0</v>
      </c>
    </row>
    <row r="109" spans="1:35">
      <c r="A109" s="200" t="s">
        <v>1353</v>
      </c>
      <c r="B109" s="197" t="s">
        <v>1662</v>
      </c>
      <c r="C109" s="117"/>
      <c r="D109" s="117"/>
      <c r="E109" s="129"/>
      <c r="F109" s="198">
        <v>-19866.52</v>
      </c>
      <c r="G109" s="128">
        <f t="shared" si="4"/>
        <v>-19866.52</v>
      </c>
      <c r="I109" s="117"/>
      <c r="J109" s="117"/>
      <c r="M109" s="54">
        <v>-19866.52</v>
      </c>
      <c r="O109" s="196">
        <f t="shared" si="5"/>
        <v>0</v>
      </c>
      <c r="AA109" t="s">
        <v>1353</v>
      </c>
      <c r="AB109" t="s">
        <v>1662</v>
      </c>
      <c r="AC109" s="115"/>
      <c r="AD109" s="115"/>
      <c r="AE109" s="115"/>
      <c r="AF109" s="115">
        <v>-19866.52</v>
      </c>
      <c r="AG109" s="115">
        <f t="shared" si="6"/>
        <v>-19866.52</v>
      </c>
      <c r="AI109" s="115">
        <f t="shared" si="7"/>
        <v>0</v>
      </c>
    </row>
    <row r="110" spans="1:35">
      <c r="A110" s="200" t="s">
        <v>1493</v>
      </c>
      <c r="B110" s="197" t="s">
        <v>1663</v>
      </c>
      <c r="C110" s="117"/>
      <c r="D110" s="117"/>
      <c r="E110" s="129"/>
      <c r="F110" s="198">
        <v>-20395.98</v>
      </c>
      <c r="G110" s="128">
        <f t="shared" si="4"/>
        <v>-20395.98</v>
      </c>
      <c r="I110" s="117"/>
      <c r="J110" s="117"/>
      <c r="M110" s="54">
        <v>-20395.98</v>
      </c>
      <c r="O110" s="196">
        <f t="shared" si="5"/>
        <v>0</v>
      </c>
      <c r="AA110" t="s">
        <v>1493</v>
      </c>
      <c r="AB110" t="s">
        <v>1663</v>
      </c>
      <c r="AC110" s="115"/>
      <c r="AD110" s="115"/>
      <c r="AE110" s="115"/>
      <c r="AF110" s="115">
        <v>-20395.98</v>
      </c>
      <c r="AG110" s="115">
        <f t="shared" si="6"/>
        <v>-20395.98</v>
      </c>
      <c r="AI110" s="115">
        <f t="shared" si="7"/>
        <v>0</v>
      </c>
    </row>
    <row r="111" spans="1:35">
      <c r="A111" s="199" t="s">
        <v>377</v>
      </c>
      <c r="B111" s="197" t="s">
        <v>943</v>
      </c>
      <c r="C111" s="115">
        <v>42600.28</v>
      </c>
      <c r="D111" s="117">
        <v>52158.720000000001</v>
      </c>
      <c r="E111" s="129">
        <v>39260.31</v>
      </c>
      <c r="F111" s="198">
        <v>-36063.129999999997</v>
      </c>
      <c r="G111" s="128">
        <f t="shared" si="4"/>
        <v>97956.18</v>
      </c>
      <c r="I111" s="117">
        <v>-17394.54</v>
      </c>
      <c r="J111" s="117">
        <v>59994.82</v>
      </c>
      <c r="K111" s="115">
        <v>42600.28</v>
      </c>
      <c r="M111" s="54">
        <v>97956.18</v>
      </c>
      <c r="O111" s="196">
        <f t="shared" si="5"/>
        <v>-17394.540000000008</v>
      </c>
      <c r="AA111" t="s">
        <v>377</v>
      </c>
      <c r="AB111" t="s">
        <v>943</v>
      </c>
      <c r="AC111" s="115">
        <v>42600.28</v>
      </c>
      <c r="AD111" s="115">
        <v>52158.720000000001</v>
      </c>
      <c r="AE111" s="115">
        <v>39260.31</v>
      </c>
      <c r="AF111" s="115">
        <v>-36063.129999999997</v>
      </c>
      <c r="AG111" s="115">
        <f t="shared" si="6"/>
        <v>97956.18</v>
      </c>
      <c r="AI111" s="115">
        <f t="shared" si="7"/>
        <v>0</v>
      </c>
    </row>
    <row r="112" spans="1:35">
      <c r="A112" s="199" t="s">
        <v>379</v>
      </c>
      <c r="B112" s="197" t="s">
        <v>944</v>
      </c>
      <c r="C112" s="117">
        <v>-82337.759999999995</v>
      </c>
      <c r="D112" s="117">
        <v>-143362.62</v>
      </c>
      <c r="E112" s="129">
        <v>-93654.29</v>
      </c>
      <c r="F112" s="198">
        <v>-151455.47</v>
      </c>
      <c r="G112" s="128">
        <f t="shared" si="4"/>
        <v>-470810.14</v>
      </c>
      <c r="I112" s="117">
        <v>-63847.06</v>
      </c>
      <c r="J112" s="117">
        <v>-82337.759999999995</v>
      </c>
      <c r="M112" s="54">
        <v>-534657.19999999995</v>
      </c>
      <c r="O112" s="196">
        <f t="shared" si="5"/>
        <v>0</v>
      </c>
      <c r="AA112" t="s">
        <v>379</v>
      </c>
      <c r="AB112" t="s">
        <v>944</v>
      </c>
      <c r="AC112" s="115">
        <v>-82337.759999999995</v>
      </c>
      <c r="AD112" s="115">
        <v>-143362.62</v>
      </c>
      <c r="AE112" s="115">
        <v>-93654.29</v>
      </c>
      <c r="AF112" s="115">
        <v>-151455.47</v>
      </c>
      <c r="AG112" s="115">
        <f t="shared" si="6"/>
        <v>-470810.14</v>
      </c>
      <c r="AI112" s="115">
        <f t="shared" si="7"/>
        <v>0</v>
      </c>
    </row>
    <row r="113" spans="1:35">
      <c r="A113" s="199" t="s">
        <v>381</v>
      </c>
      <c r="B113" s="197" t="s">
        <v>945</v>
      </c>
      <c r="C113" s="117">
        <v>-193644.53</v>
      </c>
      <c r="D113" s="117">
        <v>-211823.76</v>
      </c>
      <c r="E113" s="129">
        <v>-217163.17</v>
      </c>
      <c r="F113" s="198">
        <v>-263624.33</v>
      </c>
      <c r="G113" s="128">
        <f t="shared" si="4"/>
        <v>-886255.79</v>
      </c>
      <c r="I113" s="117">
        <v>-201617.78</v>
      </c>
      <c r="J113" s="117">
        <v>-193644.53</v>
      </c>
      <c r="M113" s="54">
        <v>-1087873.57</v>
      </c>
      <c r="O113" s="196">
        <f t="shared" si="5"/>
        <v>0</v>
      </c>
      <c r="AA113" t="s">
        <v>381</v>
      </c>
      <c r="AB113" t="s">
        <v>945</v>
      </c>
      <c r="AC113" s="115">
        <v>-193644.53</v>
      </c>
      <c r="AD113" s="115">
        <v>-211823.76</v>
      </c>
      <c r="AE113" s="115">
        <v>-217163.17</v>
      </c>
      <c r="AF113" s="115">
        <v>-263624.33</v>
      </c>
      <c r="AG113" s="115">
        <f t="shared" si="6"/>
        <v>-886255.79</v>
      </c>
      <c r="AI113" s="115">
        <f t="shared" si="7"/>
        <v>0</v>
      </c>
    </row>
    <row r="114" spans="1:35">
      <c r="A114" s="199" t="s">
        <v>383</v>
      </c>
      <c r="B114" s="197" t="s">
        <v>946</v>
      </c>
      <c r="C114" s="117">
        <v>-175274.32</v>
      </c>
      <c r="D114" s="117">
        <v>-196282.34</v>
      </c>
      <c r="E114" s="129">
        <v>-370753.21</v>
      </c>
      <c r="F114" s="198">
        <v>-449036.76</v>
      </c>
      <c r="G114" s="128">
        <f t="shared" si="4"/>
        <v>-1191346.6300000001</v>
      </c>
      <c r="I114" s="117">
        <v>-203826.58</v>
      </c>
      <c r="J114" s="117">
        <v>-175274.32</v>
      </c>
      <c r="M114" s="54">
        <v>-1395173.21</v>
      </c>
      <c r="O114" s="196">
        <f t="shared" si="5"/>
        <v>0</v>
      </c>
      <c r="AA114" t="s">
        <v>383</v>
      </c>
      <c r="AB114" t="s">
        <v>946</v>
      </c>
      <c r="AC114" s="115">
        <v>-175274.32</v>
      </c>
      <c r="AD114" s="115">
        <v>-196282.34</v>
      </c>
      <c r="AE114" s="115">
        <v>-370753.21</v>
      </c>
      <c r="AF114" s="115">
        <v>-449036.76</v>
      </c>
      <c r="AG114" s="115">
        <f t="shared" si="6"/>
        <v>-1191346.6300000001</v>
      </c>
      <c r="AI114" s="115">
        <f t="shared" si="7"/>
        <v>0</v>
      </c>
    </row>
    <row r="115" spans="1:35">
      <c r="A115" s="199" t="s">
        <v>385</v>
      </c>
      <c r="B115" s="197" t="s">
        <v>947</v>
      </c>
      <c r="C115" s="117">
        <v>0</v>
      </c>
      <c r="D115" s="117">
        <v>-354009.14</v>
      </c>
      <c r="E115" s="129">
        <v>-438348.87</v>
      </c>
      <c r="F115" s="198">
        <v>160609.20000000001</v>
      </c>
      <c r="G115" s="128">
        <f t="shared" si="4"/>
        <v>-631748.81000000006</v>
      </c>
      <c r="I115" s="117">
        <v>-112371.88</v>
      </c>
      <c r="J115" s="117">
        <v>0</v>
      </c>
      <c r="M115" s="54">
        <v>-744120.69</v>
      </c>
      <c r="O115" s="196">
        <f t="shared" si="5"/>
        <v>0</v>
      </c>
      <c r="AA115" t="s">
        <v>385</v>
      </c>
      <c r="AB115" t="s">
        <v>947</v>
      </c>
      <c r="AC115" s="115">
        <v>0</v>
      </c>
      <c r="AD115" s="115">
        <v>-354009.14</v>
      </c>
      <c r="AE115" s="115">
        <v>-438348.87</v>
      </c>
      <c r="AF115" s="115">
        <v>160609.20000000001</v>
      </c>
      <c r="AG115" s="115">
        <f t="shared" si="6"/>
        <v>-631748.81000000006</v>
      </c>
      <c r="AI115" s="115">
        <f t="shared" si="7"/>
        <v>0</v>
      </c>
    </row>
    <row r="116" spans="1:35">
      <c r="A116" s="199" t="s">
        <v>389</v>
      </c>
      <c r="B116" s="197" t="s">
        <v>948</v>
      </c>
      <c r="C116" s="117">
        <v>-43008.52</v>
      </c>
      <c r="D116" s="117">
        <v>-31997.98</v>
      </c>
      <c r="E116" s="129">
        <v>-39364.019999999997</v>
      </c>
      <c r="F116" s="198">
        <v>-49613.74</v>
      </c>
      <c r="G116" s="128">
        <f t="shared" si="4"/>
        <v>-163984.25999999998</v>
      </c>
      <c r="I116" s="117">
        <v>-45991.14</v>
      </c>
      <c r="J116" s="117">
        <v>-43008.52</v>
      </c>
      <c r="M116" s="54">
        <v>-209975.4</v>
      </c>
      <c r="O116" s="196">
        <f t="shared" si="5"/>
        <v>0</v>
      </c>
      <c r="AA116" t="s">
        <v>389</v>
      </c>
      <c r="AB116" t="s">
        <v>948</v>
      </c>
      <c r="AC116" s="115">
        <v>-43008.52</v>
      </c>
      <c r="AD116" s="115">
        <v>-31997.98</v>
      </c>
      <c r="AE116" s="115">
        <v>-39364.019999999997</v>
      </c>
      <c r="AF116" s="115">
        <v>-49613.74</v>
      </c>
      <c r="AG116" s="115">
        <f t="shared" si="6"/>
        <v>-163984.25999999998</v>
      </c>
      <c r="AI116" s="115">
        <f t="shared" si="7"/>
        <v>0</v>
      </c>
    </row>
    <row r="117" spans="1:35">
      <c r="A117" s="199" t="s">
        <v>391</v>
      </c>
      <c r="B117" s="197" t="s">
        <v>949</v>
      </c>
      <c r="C117" s="117">
        <v>-44735.94</v>
      </c>
      <c r="D117" s="117">
        <v>-45834.06</v>
      </c>
      <c r="E117" s="129">
        <v>-60407.25</v>
      </c>
      <c r="F117" s="198">
        <v>-141141.41</v>
      </c>
      <c r="G117" s="128">
        <f t="shared" si="4"/>
        <v>-292118.66000000003</v>
      </c>
      <c r="I117" s="117">
        <v>-40834.720000000001</v>
      </c>
      <c r="J117" s="117">
        <v>-44735.94</v>
      </c>
      <c r="M117" s="54">
        <v>-332953.38</v>
      </c>
      <c r="O117" s="196">
        <f t="shared" si="5"/>
        <v>0</v>
      </c>
      <c r="AA117" t="s">
        <v>391</v>
      </c>
      <c r="AB117" t="s">
        <v>949</v>
      </c>
      <c r="AC117" s="115">
        <v>-44735.94</v>
      </c>
      <c r="AD117" s="115">
        <v>-45834.06</v>
      </c>
      <c r="AE117" s="115">
        <v>-60407.25</v>
      </c>
      <c r="AF117" s="115">
        <v>-141141.41</v>
      </c>
      <c r="AG117" s="115">
        <f t="shared" si="6"/>
        <v>-292118.66000000003</v>
      </c>
      <c r="AI117" s="115">
        <f t="shared" si="7"/>
        <v>0</v>
      </c>
    </row>
    <row r="118" spans="1:35">
      <c r="A118" s="199" t="s">
        <v>393</v>
      </c>
      <c r="B118" s="197" t="s">
        <v>950</v>
      </c>
      <c r="C118" s="117">
        <v>-117752.06</v>
      </c>
      <c r="D118" s="117">
        <v>-85647.33</v>
      </c>
      <c r="E118" s="129">
        <v>-132652.07999999999</v>
      </c>
      <c r="F118" s="198">
        <v>-131294.49</v>
      </c>
      <c r="G118" s="128">
        <f t="shared" si="4"/>
        <v>-467345.95999999996</v>
      </c>
      <c r="I118" s="117">
        <v>-104059.79</v>
      </c>
      <c r="J118" s="117">
        <v>-117752.06</v>
      </c>
      <c r="M118" s="54">
        <v>-571405.75</v>
      </c>
      <c r="O118" s="196">
        <f t="shared" si="5"/>
        <v>0</v>
      </c>
      <c r="AA118" t="s">
        <v>393</v>
      </c>
      <c r="AB118" t="s">
        <v>950</v>
      </c>
      <c r="AC118" s="115">
        <v>-117752.06</v>
      </c>
      <c r="AD118" s="115">
        <v>-85647.33</v>
      </c>
      <c r="AE118" s="115">
        <v>-132652.07999999999</v>
      </c>
      <c r="AF118" s="115">
        <v>-131294.49</v>
      </c>
      <c r="AG118" s="115">
        <f t="shared" si="6"/>
        <v>-467345.95999999996</v>
      </c>
      <c r="AI118" s="115">
        <f t="shared" si="7"/>
        <v>0</v>
      </c>
    </row>
    <row r="119" spans="1:35">
      <c r="A119" s="199" t="s">
        <v>395</v>
      </c>
      <c r="B119" s="197" t="s">
        <v>951</v>
      </c>
      <c r="C119" s="117">
        <v>-78726.37</v>
      </c>
      <c r="D119" s="117">
        <v>-65945.119999999995</v>
      </c>
      <c r="E119" s="129">
        <v>-86397.99</v>
      </c>
      <c r="F119" s="198">
        <v>-92898.34</v>
      </c>
      <c r="G119" s="128">
        <f t="shared" si="4"/>
        <v>-323967.81999999995</v>
      </c>
      <c r="I119" s="117">
        <v>-62175.21</v>
      </c>
      <c r="J119" s="117">
        <v>-78726.37</v>
      </c>
      <c r="M119" s="54">
        <v>-386143.03</v>
      </c>
      <c r="O119" s="196">
        <f t="shared" si="5"/>
        <v>0</v>
      </c>
      <c r="AA119" t="s">
        <v>395</v>
      </c>
      <c r="AB119" t="s">
        <v>951</v>
      </c>
      <c r="AC119" s="115">
        <v>-78726.37</v>
      </c>
      <c r="AD119" s="115">
        <v>-65945.119999999995</v>
      </c>
      <c r="AE119" s="115">
        <v>-86397.99</v>
      </c>
      <c r="AF119" s="115">
        <v>-92898.34</v>
      </c>
      <c r="AG119" s="115">
        <f t="shared" si="6"/>
        <v>-323967.81999999995</v>
      </c>
      <c r="AI119" s="115">
        <f t="shared" si="7"/>
        <v>0</v>
      </c>
    </row>
    <row r="120" spans="1:35">
      <c r="A120" s="199" t="s">
        <v>397</v>
      </c>
      <c r="B120" s="197" t="s">
        <v>952</v>
      </c>
      <c r="C120" s="117">
        <v>-47882.58</v>
      </c>
      <c r="D120" s="117">
        <v>-94524.95</v>
      </c>
      <c r="E120" s="129">
        <v>-57631.28</v>
      </c>
      <c r="F120" s="198">
        <v>-92391.8</v>
      </c>
      <c r="G120" s="128">
        <f t="shared" si="4"/>
        <v>-292430.61</v>
      </c>
      <c r="I120" s="117">
        <v>-40150.47</v>
      </c>
      <c r="J120" s="117">
        <v>-47882.58</v>
      </c>
      <c r="M120" s="54">
        <v>-332581.08</v>
      </c>
      <c r="O120" s="196">
        <f t="shared" si="5"/>
        <v>0</v>
      </c>
      <c r="AA120" t="s">
        <v>397</v>
      </c>
      <c r="AB120" t="s">
        <v>952</v>
      </c>
      <c r="AC120" s="115">
        <v>-47882.58</v>
      </c>
      <c r="AD120" s="115">
        <v>-94524.95</v>
      </c>
      <c r="AE120" s="115">
        <v>-57631.28</v>
      </c>
      <c r="AF120" s="115">
        <v>-92391.8</v>
      </c>
      <c r="AG120" s="115">
        <f t="shared" si="6"/>
        <v>-292430.61</v>
      </c>
      <c r="AI120" s="115">
        <f t="shared" si="7"/>
        <v>0</v>
      </c>
    </row>
    <row r="121" spans="1:35">
      <c r="A121" s="199" t="s">
        <v>399</v>
      </c>
      <c r="B121" s="197" t="s">
        <v>953</v>
      </c>
      <c r="C121" s="117">
        <v>-48714.44</v>
      </c>
      <c r="D121" s="117">
        <v>-49048.77</v>
      </c>
      <c r="E121" s="129">
        <v>-51091.14</v>
      </c>
      <c r="F121" s="198">
        <v>-46749.73</v>
      </c>
      <c r="G121" s="128">
        <f t="shared" si="4"/>
        <v>-195604.08</v>
      </c>
      <c r="I121" s="117">
        <v>-40476.879999999997</v>
      </c>
      <c r="J121" s="117">
        <v>-48714.44</v>
      </c>
      <c r="M121" s="54">
        <v>-236080.96</v>
      </c>
      <c r="O121" s="196">
        <f t="shared" si="5"/>
        <v>0</v>
      </c>
      <c r="AA121" t="s">
        <v>399</v>
      </c>
      <c r="AB121" t="s">
        <v>953</v>
      </c>
      <c r="AC121" s="115">
        <v>-48714.44</v>
      </c>
      <c r="AD121" s="115">
        <v>-49048.77</v>
      </c>
      <c r="AE121" s="115">
        <v>-51091.14</v>
      </c>
      <c r="AF121" s="115">
        <v>-46749.73</v>
      </c>
      <c r="AG121" s="115">
        <f t="shared" si="6"/>
        <v>-195604.08</v>
      </c>
      <c r="AI121" s="115">
        <f t="shared" si="7"/>
        <v>0</v>
      </c>
    </row>
    <row r="122" spans="1:35">
      <c r="A122" s="199" t="s">
        <v>403</v>
      </c>
      <c r="B122" s="197" t="s">
        <v>954</v>
      </c>
      <c r="C122" s="117">
        <v>-36007.43</v>
      </c>
      <c r="D122" s="117">
        <v>-40246.410000000003</v>
      </c>
      <c r="E122" s="129">
        <v>-15564.15</v>
      </c>
      <c r="F122" s="198">
        <v>-21939.94</v>
      </c>
      <c r="G122" s="128">
        <f t="shared" si="4"/>
        <v>-113757.93</v>
      </c>
      <c r="I122" s="117">
        <v>-32816.44</v>
      </c>
      <c r="J122" s="117">
        <v>-36007.43</v>
      </c>
      <c r="M122" s="54">
        <v>-146574.37</v>
      </c>
      <c r="O122" s="196">
        <f t="shared" si="5"/>
        <v>0</v>
      </c>
      <c r="AA122" t="s">
        <v>403</v>
      </c>
      <c r="AB122" t="s">
        <v>954</v>
      </c>
      <c r="AC122" s="115">
        <v>-36007.43</v>
      </c>
      <c r="AD122" s="115">
        <v>-40246.410000000003</v>
      </c>
      <c r="AE122" s="115">
        <v>-15564.15</v>
      </c>
      <c r="AF122" s="115">
        <v>-21939.94</v>
      </c>
      <c r="AG122" s="115">
        <f t="shared" si="6"/>
        <v>-113757.93</v>
      </c>
      <c r="AI122" s="115">
        <f t="shared" si="7"/>
        <v>0</v>
      </c>
    </row>
    <row r="123" spans="1:35">
      <c r="A123" s="199" t="s">
        <v>407</v>
      </c>
      <c r="B123" s="197" t="s">
        <v>955</v>
      </c>
      <c r="C123" s="117">
        <v>-64116.73</v>
      </c>
      <c r="D123" s="117">
        <v>-96666.95</v>
      </c>
      <c r="E123" s="129">
        <v>-70873.929999999993</v>
      </c>
      <c r="F123" s="198">
        <v>-73872.5</v>
      </c>
      <c r="G123" s="128">
        <f t="shared" si="4"/>
        <v>-305530.11</v>
      </c>
      <c r="I123" s="117">
        <v>-69761.240000000005</v>
      </c>
      <c r="J123" s="117">
        <v>-64116.73</v>
      </c>
      <c r="M123" s="54">
        <v>-375291.35</v>
      </c>
      <c r="O123" s="196">
        <f t="shared" si="5"/>
        <v>0</v>
      </c>
      <c r="AA123" t="s">
        <v>407</v>
      </c>
      <c r="AB123" t="s">
        <v>955</v>
      </c>
      <c r="AC123" s="115">
        <v>-64116.73</v>
      </c>
      <c r="AD123" s="115">
        <v>-96666.95</v>
      </c>
      <c r="AE123" s="115">
        <v>-70873.929999999993</v>
      </c>
      <c r="AF123" s="115">
        <v>-73872.5</v>
      </c>
      <c r="AG123" s="115">
        <f t="shared" si="6"/>
        <v>-305530.11</v>
      </c>
      <c r="AI123" s="115">
        <f t="shared" si="7"/>
        <v>0</v>
      </c>
    </row>
    <row r="124" spans="1:35">
      <c r="A124" s="199" t="s">
        <v>409</v>
      </c>
      <c r="B124" s="197" t="s">
        <v>410</v>
      </c>
      <c r="C124" s="117">
        <v>-75468.75</v>
      </c>
      <c r="D124" s="117">
        <v>-82581.03</v>
      </c>
      <c r="E124" s="129">
        <v>-80287.570000000007</v>
      </c>
      <c r="F124" s="198">
        <v>-78426.92</v>
      </c>
      <c r="G124" s="128">
        <f t="shared" si="4"/>
        <v>-316764.27</v>
      </c>
      <c r="I124" s="117">
        <v>-68568.12</v>
      </c>
      <c r="J124" s="117">
        <v>-75468.75</v>
      </c>
      <c r="M124" s="54">
        <v>-385332.38999999996</v>
      </c>
      <c r="O124" s="196">
        <f t="shared" si="5"/>
        <v>0</v>
      </c>
      <c r="AA124" t="s">
        <v>409</v>
      </c>
      <c r="AB124" t="s">
        <v>410</v>
      </c>
      <c r="AC124" s="115">
        <v>-75468.75</v>
      </c>
      <c r="AD124" s="115">
        <v>-82581.03</v>
      </c>
      <c r="AE124" s="115">
        <v>-80287.570000000007</v>
      </c>
      <c r="AF124" s="115">
        <v>-78426.92</v>
      </c>
      <c r="AG124" s="115">
        <f t="shared" si="6"/>
        <v>-316764.27</v>
      </c>
      <c r="AI124" s="115">
        <f t="shared" si="7"/>
        <v>0</v>
      </c>
    </row>
    <row r="125" spans="1:35">
      <c r="A125" s="199" t="s">
        <v>413</v>
      </c>
      <c r="B125" s="197" t="s">
        <v>956</v>
      </c>
      <c r="C125" s="117">
        <v>-26223.759999999998</v>
      </c>
      <c r="D125" s="117">
        <v>0</v>
      </c>
      <c r="E125" s="129">
        <v>21674.67</v>
      </c>
      <c r="F125" s="198">
        <v>13916.01</v>
      </c>
      <c r="G125" s="128">
        <f t="shared" si="4"/>
        <v>9366.92</v>
      </c>
      <c r="I125" s="117">
        <v>-61785.24</v>
      </c>
      <c r="J125" s="117">
        <v>-26223.759999999998</v>
      </c>
      <c r="M125" s="54">
        <v>-52418.32</v>
      </c>
      <c r="O125" s="196">
        <f t="shared" si="5"/>
        <v>0</v>
      </c>
      <c r="AA125" t="s">
        <v>413</v>
      </c>
      <c r="AB125" t="s">
        <v>956</v>
      </c>
      <c r="AC125" s="115">
        <v>-26223.759999999998</v>
      </c>
      <c r="AD125" s="115">
        <v>0</v>
      </c>
      <c r="AE125" s="115">
        <v>21674.67</v>
      </c>
      <c r="AF125" s="115">
        <v>13916.01</v>
      </c>
      <c r="AG125" s="115">
        <f t="shared" si="6"/>
        <v>9366.92</v>
      </c>
      <c r="AI125" s="115">
        <f t="shared" si="7"/>
        <v>0</v>
      </c>
    </row>
    <row r="126" spans="1:35">
      <c r="A126" s="199" t="s">
        <v>415</v>
      </c>
      <c r="B126" s="197" t="s">
        <v>957</v>
      </c>
      <c r="C126" s="117">
        <v>-108782.43</v>
      </c>
      <c r="D126" s="117">
        <v>-81017.259999999995</v>
      </c>
      <c r="E126" s="129">
        <v>-53966.14</v>
      </c>
      <c r="F126" s="198">
        <v>-75737.179999999993</v>
      </c>
      <c r="G126" s="128">
        <f t="shared" si="4"/>
        <v>-319503.01</v>
      </c>
      <c r="I126" s="117">
        <v>-48572.58</v>
      </c>
      <c r="J126" s="117">
        <v>-108782.43</v>
      </c>
      <c r="M126" s="54">
        <v>-368075.59</v>
      </c>
      <c r="O126" s="196">
        <f t="shared" si="5"/>
        <v>0</v>
      </c>
      <c r="AA126" t="s">
        <v>415</v>
      </c>
      <c r="AB126" t="s">
        <v>957</v>
      </c>
      <c r="AC126" s="115">
        <v>-108782.43</v>
      </c>
      <c r="AD126" s="115">
        <v>-81017.259999999995</v>
      </c>
      <c r="AE126" s="115">
        <v>-53966.14</v>
      </c>
      <c r="AF126" s="115">
        <v>-75737.179999999993</v>
      </c>
      <c r="AG126" s="115">
        <f t="shared" si="6"/>
        <v>-319503.01</v>
      </c>
      <c r="AI126" s="115">
        <f t="shared" si="7"/>
        <v>0</v>
      </c>
    </row>
    <row r="127" spans="1:35">
      <c r="A127" s="199" t="s">
        <v>417</v>
      </c>
      <c r="B127" s="197" t="s">
        <v>958</v>
      </c>
      <c r="C127" s="117">
        <v>-51742.89</v>
      </c>
      <c r="D127" s="117">
        <v>-60819.86</v>
      </c>
      <c r="E127" s="129">
        <v>-104667.85</v>
      </c>
      <c r="F127" s="198">
        <v>-101114</v>
      </c>
      <c r="G127" s="128">
        <f t="shared" si="4"/>
        <v>-318344.59999999998</v>
      </c>
      <c r="I127" s="117">
        <v>-40144.550000000003</v>
      </c>
      <c r="J127" s="117">
        <v>-51742.89</v>
      </c>
      <c r="M127" s="54">
        <v>-358489.15</v>
      </c>
      <c r="O127" s="196">
        <f t="shared" si="5"/>
        <v>0</v>
      </c>
      <c r="AA127" t="s">
        <v>417</v>
      </c>
      <c r="AB127" t="s">
        <v>958</v>
      </c>
      <c r="AC127" s="115">
        <v>-51742.89</v>
      </c>
      <c r="AD127" s="115">
        <v>-60819.86</v>
      </c>
      <c r="AE127" s="115">
        <v>-104667.85</v>
      </c>
      <c r="AF127" s="115">
        <v>-101114</v>
      </c>
      <c r="AG127" s="115">
        <f t="shared" si="6"/>
        <v>-318344.59999999998</v>
      </c>
      <c r="AI127" s="115">
        <f t="shared" si="7"/>
        <v>0</v>
      </c>
    </row>
    <row r="128" spans="1:35">
      <c r="A128" s="199" t="s">
        <v>419</v>
      </c>
      <c r="B128" s="197" t="s">
        <v>959</v>
      </c>
      <c r="C128" s="117">
        <v>-44383.74</v>
      </c>
      <c r="D128" s="117">
        <v>-15848.59</v>
      </c>
      <c r="E128" s="129">
        <v>-28221.81</v>
      </c>
      <c r="F128" s="198">
        <v>-15133.75</v>
      </c>
      <c r="G128" s="128">
        <f t="shared" si="4"/>
        <v>-103587.89</v>
      </c>
      <c r="I128" s="117">
        <v>-16285.46</v>
      </c>
      <c r="J128" s="117">
        <v>-44383.74</v>
      </c>
      <c r="M128" s="54">
        <v>-119873.34999999999</v>
      </c>
      <c r="O128" s="196">
        <f t="shared" si="5"/>
        <v>0</v>
      </c>
      <c r="AA128" t="s">
        <v>419</v>
      </c>
      <c r="AB128" t="s">
        <v>959</v>
      </c>
      <c r="AC128" s="115">
        <v>-44383.74</v>
      </c>
      <c r="AD128" s="115">
        <v>-15848.59</v>
      </c>
      <c r="AE128" s="115">
        <v>-28221.81</v>
      </c>
      <c r="AF128" s="115">
        <v>-15133.75</v>
      </c>
      <c r="AG128" s="115">
        <f t="shared" si="6"/>
        <v>-103587.89</v>
      </c>
      <c r="AI128" s="115">
        <f t="shared" si="7"/>
        <v>0</v>
      </c>
    </row>
    <row r="129" spans="1:35">
      <c r="A129" s="199" t="s">
        <v>423</v>
      </c>
      <c r="B129" s="197" t="s">
        <v>960</v>
      </c>
      <c r="C129" s="117">
        <v>-1680.7</v>
      </c>
      <c r="D129" s="117">
        <v>-6043.92</v>
      </c>
      <c r="E129" s="129">
        <v>2335.61</v>
      </c>
      <c r="F129" s="198">
        <v>-14264.55</v>
      </c>
      <c r="G129" s="128">
        <f t="shared" si="4"/>
        <v>-19653.559999999998</v>
      </c>
      <c r="I129" s="117">
        <v>-21671.1</v>
      </c>
      <c r="J129" s="117">
        <v>-1680.7</v>
      </c>
      <c r="M129" s="54">
        <v>-41324.660000000003</v>
      </c>
      <c r="O129" s="196">
        <f t="shared" si="5"/>
        <v>0</v>
      </c>
      <c r="AA129" t="s">
        <v>423</v>
      </c>
      <c r="AB129" t="s">
        <v>960</v>
      </c>
      <c r="AC129" s="115">
        <v>-1680.7</v>
      </c>
      <c r="AD129" s="115">
        <v>-6043.92</v>
      </c>
      <c r="AE129" s="115">
        <v>2335.61</v>
      </c>
      <c r="AF129" s="115">
        <v>-14264.55</v>
      </c>
      <c r="AG129" s="115">
        <f t="shared" si="6"/>
        <v>-19653.559999999998</v>
      </c>
      <c r="AI129" s="115">
        <f t="shared" si="7"/>
        <v>0</v>
      </c>
    </row>
    <row r="130" spans="1:35">
      <c r="A130" s="199" t="s">
        <v>425</v>
      </c>
      <c r="B130" s="197" t="s">
        <v>961</v>
      </c>
      <c r="C130" s="117">
        <v>-62219.83</v>
      </c>
      <c r="D130" s="117">
        <v>-79764.490000000005</v>
      </c>
      <c r="E130" s="129">
        <v>-69018.490000000005</v>
      </c>
      <c r="F130" s="198">
        <v>-99421.62</v>
      </c>
      <c r="G130" s="128">
        <f t="shared" si="4"/>
        <v>-310424.43</v>
      </c>
      <c r="I130" s="117">
        <v>-82810.73</v>
      </c>
      <c r="J130" s="117">
        <v>-62219.83</v>
      </c>
      <c r="M130" s="54">
        <v>-393235.16</v>
      </c>
      <c r="O130" s="196">
        <f t="shared" si="5"/>
        <v>0</v>
      </c>
      <c r="AA130" t="s">
        <v>425</v>
      </c>
      <c r="AB130" t="s">
        <v>961</v>
      </c>
      <c r="AC130" s="115">
        <v>-62219.83</v>
      </c>
      <c r="AD130" s="115">
        <v>-79764.490000000005</v>
      </c>
      <c r="AE130" s="115">
        <v>-69018.490000000005</v>
      </c>
      <c r="AF130" s="115">
        <v>-99421.62</v>
      </c>
      <c r="AG130" s="115">
        <f t="shared" si="6"/>
        <v>-310424.43</v>
      </c>
      <c r="AI130" s="115">
        <f t="shared" si="7"/>
        <v>0</v>
      </c>
    </row>
    <row r="131" spans="1:35">
      <c r="A131" s="199" t="s">
        <v>427</v>
      </c>
      <c r="B131" s="197" t="s">
        <v>962</v>
      </c>
      <c r="C131" s="117">
        <v>-40040.71</v>
      </c>
      <c r="D131" s="117">
        <v>-48940.2</v>
      </c>
      <c r="E131" s="129">
        <v>-28616.43</v>
      </c>
      <c r="F131" s="198">
        <v>-33825.699999999997</v>
      </c>
      <c r="G131" s="128">
        <f t="shared" ref="G131:G194" si="8">SUM(C131:F131)</f>
        <v>-151423.03999999998</v>
      </c>
      <c r="I131" s="117">
        <v>-51658.61</v>
      </c>
      <c r="J131" s="117">
        <v>-40040.71</v>
      </c>
      <c r="M131" s="54">
        <v>-203081.65000000002</v>
      </c>
      <c r="O131" s="196">
        <f t="shared" si="5"/>
        <v>0</v>
      </c>
      <c r="AA131" t="s">
        <v>427</v>
      </c>
      <c r="AB131" t="s">
        <v>962</v>
      </c>
      <c r="AC131" s="115">
        <v>-40040.71</v>
      </c>
      <c r="AD131" s="115">
        <v>-48940.2</v>
      </c>
      <c r="AE131" s="115">
        <v>-28616.43</v>
      </c>
      <c r="AF131" s="115">
        <v>-33825.699999999997</v>
      </c>
      <c r="AG131" s="115">
        <f t="shared" si="6"/>
        <v>-151423.03999999998</v>
      </c>
      <c r="AI131" s="115">
        <f t="shared" si="7"/>
        <v>0</v>
      </c>
    </row>
    <row r="132" spans="1:35">
      <c r="A132" s="199" t="s">
        <v>429</v>
      </c>
      <c r="B132" s="197" t="s">
        <v>963</v>
      </c>
      <c r="C132" s="117">
        <v>-23822.85</v>
      </c>
      <c r="D132" s="117">
        <v>-22839.8</v>
      </c>
      <c r="E132" s="129">
        <v>-39849.599999999999</v>
      </c>
      <c r="F132" s="198">
        <v>-30230.880000000001</v>
      </c>
      <c r="G132" s="128">
        <f t="shared" si="8"/>
        <v>-116743.13</v>
      </c>
      <c r="I132" s="117">
        <v>-2622.25</v>
      </c>
      <c r="J132" s="117">
        <v>-23822.85</v>
      </c>
      <c r="M132" s="54">
        <v>-119365.38</v>
      </c>
      <c r="O132" s="196">
        <f t="shared" ref="O132:O195" si="9">+G132+I132-M132</f>
        <v>0</v>
      </c>
      <c r="AA132" t="s">
        <v>429</v>
      </c>
      <c r="AB132" t="s">
        <v>963</v>
      </c>
      <c r="AC132" s="115">
        <v>-23822.85</v>
      </c>
      <c r="AD132" s="115">
        <v>-22839.8</v>
      </c>
      <c r="AE132" s="115">
        <v>-39849.599999999999</v>
      </c>
      <c r="AF132" s="115">
        <v>-30230.880000000001</v>
      </c>
      <c r="AG132" s="115">
        <f t="shared" ref="AG132:AG195" si="10">SUM(AC132:AF132)</f>
        <v>-116743.13</v>
      </c>
      <c r="AI132" s="115">
        <f t="shared" ref="AI132:AI195" si="11">+AG132-G132</f>
        <v>0</v>
      </c>
    </row>
    <row r="133" spans="1:35">
      <c r="A133" s="199" t="s">
        <v>431</v>
      </c>
      <c r="B133" s="197" t="s">
        <v>964</v>
      </c>
      <c r="C133" s="117">
        <v>-11334.63</v>
      </c>
      <c r="D133" s="117">
        <v>-33550.36</v>
      </c>
      <c r="E133" s="129">
        <v>-30453.35</v>
      </c>
      <c r="F133" s="198">
        <v>-43856.93</v>
      </c>
      <c r="G133" s="128">
        <f t="shared" si="8"/>
        <v>-119195.26999999999</v>
      </c>
      <c r="I133" s="117">
        <v>0</v>
      </c>
      <c r="J133" s="117">
        <v>-11334.63</v>
      </c>
      <c r="M133" s="54">
        <v>-119195.26999999999</v>
      </c>
      <c r="O133" s="196">
        <f t="shared" si="9"/>
        <v>0</v>
      </c>
      <c r="AA133" t="s">
        <v>431</v>
      </c>
      <c r="AB133" t="s">
        <v>964</v>
      </c>
      <c r="AC133" s="115">
        <v>-11334.63</v>
      </c>
      <c r="AD133" s="115">
        <v>-33550.36</v>
      </c>
      <c r="AE133" s="115">
        <v>-30453.35</v>
      </c>
      <c r="AF133" s="115">
        <v>-43856.93</v>
      </c>
      <c r="AG133" s="115">
        <f t="shared" si="10"/>
        <v>-119195.26999999999</v>
      </c>
      <c r="AI133" s="115">
        <f t="shared" si="11"/>
        <v>0</v>
      </c>
    </row>
    <row r="134" spans="1:35">
      <c r="A134" s="199" t="s">
        <v>433</v>
      </c>
      <c r="B134" s="197" t="s">
        <v>965</v>
      </c>
      <c r="C134" s="117">
        <v>-71244.820000000007</v>
      </c>
      <c r="D134" s="117">
        <v>-18273.79</v>
      </c>
      <c r="E134" s="129">
        <v>-18477.11</v>
      </c>
      <c r="F134" s="198">
        <v>-40204.080000000002</v>
      </c>
      <c r="G134" s="128">
        <f t="shared" si="8"/>
        <v>-148199.80000000002</v>
      </c>
      <c r="I134" s="117">
        <v>-38173.83</v>
      </c>
      <c r="J134" s="117">
        <v>-71244.820000000007</v>
      </c>
      <c r="M134" s="54">
        <v>-186373.63</v>
      </c>
      <c r="O134" s="196">
        <f t="shared" si="9"/>
        <v>0</v>
      </c>
      <c r="AA134" t="s">
        <v>433</v>
      </c>
      <c r="AB134" t="s">
        <v>965</v>
      </c>
      <c r="AC134" s="115">
        <v>-71244.820000000007</v>
      </c>
      <c r="AD134" s="115">
        <v>-18273.79</v>
      </c>
      <c r="AE134" s="115">
        <v>-18477.11</v>
      </c>
      <c r="AF134" s="115">
        <v>-40204.080000000002</v>
      </c>
      <c r="AG134" s="115">
        <f t="shared" si="10"/>
        <v>-148199.80000000002</v>
      </c>
      <c r="AI134" s="115">
        <f t="shared" si="11"/>
        <v>0</v>
      </c>
    </row>
    <row r="135" spans="1:35">
      <c r="A135" s="199" t="s">
        <v>435</v>
      </c>
      <c r="B135" s="197" t="s">
        <v>966</v>
      </c>
      <c r="C135" s="117">
        <v>11580.42</v>
      </c>
      <c r="D135" s="117">
        <v>11977.22</v>
      </c>
      <c r="E135" s="129">
        <v>30693.4</v>
      </c>
      <c r="F135" s="198">
        <v>42563.62</v>
      </c>
      <c r="G135" s="128">
        <f t="shared" si="8"/>
        <v>96814.66</v>
      </c>
      <c r="I135" s="117">
        <v>0</v>
      </c>
      <c r="J135" s="117">
        <v>11580.42</v>
      </c>
      <c r="M135" s="54">
        <v>96814.66</v>
      </c>
      <c r="O135" s="196">
        <f t="shared" si="9"/>
        <v>0</v>
      </c>
      <c r="AA135" t="s">
        <v>435</v>
      </c>
      <c r="AB135" t="s">
        <v>966</v>
      </c>
      <c r="AC135" s="115">
        <v>11580.42</v>
      </c>
      <c r="AD135" s="115">
        <v>11977.22</v>
      </c>
      <c r="AE135" s="115">
        <v>30693.4</v>
      </c>
      <c r="AF135" s="115">
        <v>42563.62</v>
      </c>
      <c r="AG135" s="115">
        <f t="shared" si="10"/>
        <v>96814.66</v>
      </c>
      <c r="AI135" s="115">
        <f t="shared" si="11"/>
        <v>0</v>
      </c>
    </row>
    <row r="136" spans="1:35">
      <c r="A136" s="199" t="s">
        <v>437</v>
      </c>
      <c r="B136" s="197" t="s">
        <v>967</v>
      </c>
      <c r="C136" s="117">
        <v>-4847.88</v>
      </c>
      <c r="D136" s="117">
        <v>-20944.8</v>
      </c>
      <c r="E136" s="129">
        <v>-12940.73</v>
      </c>
      <c r="F136" s="198">
        <v>-24841.15</v>
      </c>
      <c r="G136" s="128">
        <f t="shared" si="8"/>
        <v>-63574.560000000005</v>
      </c>
      <c r="I136" s="117">
        <v>0</v>
      </c>
      <c r="J136" s="117">
        <v>-4847.88</v>
      </c>
      <c r="M136" s="54">
        <v>-63574.560000000005</v>
      </c>
      <c r="O136" s="196">
        <f t="shared" si="9"/>
        <v>0</v>
      </c>
      <c r="AA136" t="s">
        <v>437</v>
      </c>
      <c r="AB136" t="s">
        <v>967</v>
      </c>
      <c r="AC136" s="115">
        <v>-4847.88</v>
      </c>
      <c r="AD136" s="115">
        <v>-20944.8</v>
      </c>
      <c r="AE136" s="115">
        <v>-12940.73</v>
      </c>
      <c r="AF136" s="115">
        <v>-24841.15</v>
      </c>
      <c r="AG136" s="115">
        <f t="shared" si="10"/>
        <v>-63574.560000000005</v>
      </c>
      <c r="AI136" s="115">
        <f t="shared" si="11"/>
        <v>0</v>
      </c>
    </row>
    <row r="137" spans="1:35">
      <c r="A137" s="199" t="s">
        <v>439</v>
      </c>
      <c r="B137" s="197" t="s">
        <v>968</v>
      </c>
      <c r="C137" s="117">
        <v>-167572.15</v>
      </c>
      <c r="D137" s="117">
        <v>-156797.75</v>
      </c>
      <c r="E137" s="129">
        <v>-211007.07</v>
      </c>
      <c r="F137" s="198">
        <v>-143044.44</v>
      </c>
      <c r="G137" s="128">
        <f t="shared" si="8"/>
        <v>-678421.40999999992</v>
      </c>
      <c r="I137" s="117">
        <v>-96514.58</v>
      </c>
      <c r="J137" s="117">
        <v>-167572.15</v>
      </c>
      <c r="M137" s="54">
        <v>-774935.99</v>
      </c>
      <c r="O137" s="196">
        <f t="shared" si="9"/>
        <v>0</v>
      </c>
      <c r="AA137" t="s">
        <v>439</v>
      </c>
      <c r="AB137" t="s">
        <v>968</v>
      </c>
      <c r="AC137" s="115">
        <v>-167572.15</v>
      </c>
      <c r="AD137" s="115">
        <v>-156797.75</v>
      </c>
      <c r="AE137" s="115">
        <v>-211007.07</v>
      </c>
      <c r="AF137" s="115">
        <v>-143044.44</v>
      </c>
      <c r="AG137" s="115">
        <f t="shared" si="10"/>
        <v>-678421.40999999992</v>
      </c>
      <c r="AI137" s="115">
        <f t="shared" si="11"/>
        <v>0</v>
      </c>
    </row>
    <row r="138" spans="1:35">
      <c r="A138" s="199" t="s">
        <v>441</v>
      </c>
      <c r="B138" s="197" t="s">
        <v>969</v>
      </c>
      <c r="C138" s="117">
        <v>-49802.61</v>
      </c>
      <c r="D138" s="117">
        <v>-71338.320000000007</v>
      </c>
      <c r="E138" s="129">
        <v>-39817.39</v>
      </c>
      <c r="F138" s="198">
        <v>-48275.22</v>
      </c>
      <c r="G138" s="128">
        <f t="shared" si="8"/>
        <v>-209233.54</v>
      </c>
      <c r="I138" s="117">
        <v>-32614.69</v>
      </c>
      <c r="J138" s="117">
        <v>-49802.61</v>
      </c>
      <c r="M138" s="54">
        <v>-241848.23</v>
      </c>
      <c r="O138" s="196">
        <f t="shared" si="9"/>
        <v>0</v>
      </c>
      <c r="AA138" t="s">
        <v>441</v>
      </c>
      <c r="AB138" t="s">
        <v>969</v>
      </c>
      <c r="AC138" s="115">
        <v>-49802.61</v>
      </c>
      <c r="AD138" s="115">
        <v>-71338.320000000007</v>
      </c>
      <c r="AE138" s="115">
        <v>-39817.39</v>
      </c>
      <c r="AF138" s="115">
        <v>-48275.22</v>
      </c>
      <c r="AG138" s="115">
        <f t="shared" si="10"/>
        <v>-209233.54</v>
      </c>
      <c r="AI138" s="115">
        <f t="shared" si="11"/>
        <v>0</v>
      </c>
    </row>
    <row r="139" spans="1:35">
      <c r="A139" s="199" t="s">
        <v>443</v>
      </c>
      <c r="B139" s="197" t="s">
        <v>970</v>
      </c>
      <c r="C139" s="117">
        <v>-199811.04</v>
      </c>
      <c r="D139" s="117">
        <v>-444726.73</v>
      </c>
      <c r="E139" s="129">
        <v>-168966.64</v>
      </c>
      <c r="F139" s="198">
        <v>-92762.18</v>
      </c>
      <c r="G139" s="128">
        <f t="shared" si="8"/>
        <v>-906266.59000000008</v>
      </c>
      <c r="I139" s="117">
        <v>-280859.03000000003</v>
      </c>
      <c r="J139" s="117">
        <v>-199811.04</v>
      </c>
      <c r="M139" s="54">
        <v>-1187125.6199999999</v>
      </c>
      <c r="O139" s="196">
        <f t="shared" si="9"/>
        <v>0</v>
      </c>
      <c r="AA139" t="s">
        <v>443</v>
      </c>
      <c r="AB139" t="s">
        <v>970</v>
      </c>
      <c r="AC139" s="115">
        <v>-199811.04</v>
      </c>
      <c r="AD139" s="115">
        <v>-444726.73</v>
      </c>
      <c r="AE139" s="115">
        <v>-168966.64</v>
      </c>
      <c r="AF139" s="115">
        <v>-92762.18</v>
      </c>
      <c r="AG139" s="115">
        <f t="shared" si="10"/>
        <v>-906266.59000000008</v>
      </c>
      <c r="AI139" s="115">
        <f t="shared" si="11"/>
        <v>0</v>
      </c>
    </row>
    <row r="140" spans="1:35">
      <c r="A140" s="199" t="s">
        <v>445</v>
      </c>
      <c r="B140" s="197" t="s">
        <v>971</v>
      </c>
      <c r="C140" s="117">
        <v>-44276.02</v>
      </c>
      <c r="D140" s="117">
        <v>-41221.279999999999</v>
      </c>
      <c r="E140" s="129">
        <v>-37170.410000000003</v>
      </c>
      <c r="F140" s="198">
        <v>-58506.16</v>
      </c>
      <c r="G140" s="128">
        <f t="shared" si="8"/>
        <v>-181173.87</v>
      </c>
      <c r="I140" s="117">
        <v>-45514.21</v>
      </c>
      <c r="J140" s="117">
        <v>-44276.02</v>
      </c>
      <c r="M140" s="54">
        <v>-226688.08</v>
      </c>
      <c r="O140" s="196">
        <f t="shared" si="9"/>
        <v>0</v>
      </c>
      <c r="AA140" t="s">
        <v>445</v>
      </c>
      <c r="AB140" t="s">
        <v>971</v>
      </c>
      <c r="AC140" s="115">
        <v>-44276.02</v>
      </c>
      <c r="AD140" s="115">
        <v>-41221.279999999999</v>
      </c>
      <c r="AE140" s="115">
        <v>-37170.410000000003</v>
      </c>
      <c r="AF140" s="115">
        <v>-58506.16</v>
      </c>
      <c r="AG140" s="115">
        <f t="shared" si="10"/>
        <v>-181173.87</v>
      </c>
      <c r="AI140" s="115">
        <f t="shared" si="11"/>
        <v>0</v>
      </c>
    </row>
    <row r="141" spans="1:35">
      <c r="A141" s="199" t="s">
        <v>447</v>
      </c>
      <c r="B141" s="197" t="s">
        <v>972</v>
      </c>
      <c r="C141" s="117">
        <v>-55485.93</v>
      </c>
      <c r="D141" s="117">
        <v>-62595.35</v>
      </c>
      <c r="E141" s="129">
        <v>-58623.13</v>
      </c>
      <c r="F141" s="198">
        <v>-84925.95</v>
      </c>
      <c r="G141" s="128">
        <f t="shared" si="8"/>
        <v>-261630.36</v>
      </c>
      <c r="I141" s="117">
        <v>-31572.79</v>
      </c>
      <c r="J141" s="117">
        <v>-55485.93</v>
      </c>
      <c r="M141" s="54">
        <v>-293203.15000000002</v>
      </c>
      <c r="O141" s="196">
        <f t="shared" si="9"/>
        <v>0</v>
      </c>
      <c r="AA141" t="s">
        <v>447</v>
      </c>
      <c r="AB141" t="s">
        <v>972</v>
      </c>
      <c r="AC141" s="115">
        <v>-55485.93</v>
      </c>
      <c r="AD141" s="115">
        <v>-62595.35</v>
      </c>
      <c r="AE141" s="115">
        <v>-58623.13</v>
      </c>
      <c r="AF141" s="115">
        <v>-84925.95</v>
      </c>
      <c r="AG141" s="115">
        <f t="shared" si="10"/>
        <v>-261630.36</v>
      </c>
      <c r="AI141" s="115">
        <f t="shared" si="11"/>
        <v>0</v>
      </c>
    </row>
    <row r="142" spans="1:35">
      <c r="A142" s="199" t="s">
        <v>449</v>
      </c>
      <c r="B142" s="197" t="s">
        <v>973</v>
      </c>
      <c r="C142" s="117">
        <v>-43465.29</v>
      </c>
      <c r="D142" s="117">
        <v>-39220.53</v>
      </c>
      <c r="E142" s="129">
        <v>-52986.559999999998</v>
      </c>
      <c r="F142" s="198">
        <v>-59046.7</v>
      </c>
      <c r="G142" s="128">
        <f t="shared" si="8"/>
        <v>-194719.08000000002</v>
      </c>
      <c r="I142" s="117">
        <v>-47328.44</v>
      </c>
      <c r="J142" s="117">
        <v>-43465.29</v>
      </c>
      <c r="M142" s="54">
        <v>-242047.52000000002</v>
      </c>
      <c r="O142" s="196">
        <f t="shared" si="9"/>
        <v>0</v>
      </c>
      <c r="AA142" t="s">
        <v>449</v>
      </c>
      <c r="AB142" t="s">
        <v>973</v>
      </c>
      <c r="AC142" s="115">
        <v>-43465.29</v>
      </c>
      <c r="AD142" s="115">
        <v>-39220.53</v>
      </c>
      <c r="AE142" s="115">
        <v>-52986.559999999998</v>
      </c>
      <c r="AF142" s="115">
        <v>-59046.7</v>
      </c>
      <c r="AG142" s="115">
        <f t="shared" si="10"/>
        <v>-194719.08000000002</v>
      </c>
      <c r="AI142" s="115">
        <f t="shared" si="11"/>
        <v>0</v>
      </c>
    </row>
    <row r="143" spans="1:35">
      <c r="A143" s="199" t="s">
        <v>451</v>
      </c>
      <c r="B143" s="197" t="s">
        <v>974</v>
      </c>
      <c r="C143" s="117">
        <v>-39169.67</v>
      </c>
      <c r="D143" s="117">
        <v>-41807.53</v>
      </c>
      <c r="E143" s="129">
        <v>-44799.49</v>
      </c>
      <c r="F143" s="198">
        <v>-42883.99</v>
      </c>
      <c r="G143" s="128">
        <f t="shared" si="8"/>
        <v>-168660.68</v>
      </c>
      <c r="I143" s="117">
        <v>-40742.949999999997</v>
      </c>
      <c r="J143" s="117">
        <v>-39169.67</v>
      </c>
      <c r="M143" s="54">
        <v>-209403.62999999998</v>
      </c>
      <c r="O143" s="196">
        <f t="shared" si="9"/>
        <v>0</v>
      </c>
      <c r="AA143" t="s">
        <v>451</v>
      </c>
      <c r="AB143" t="s">
        <v>974</v>
      </c>
      <c r="AC143" s="115">
        <v>-39169.67</v>
      </c>
      <c r="AD143" s="115">
        <v>-41807.53</v>
      </c>
      <c r="AE143" s="115">
        <v>-44799.49</v>
      </c>
      <c r="AF143" s="115">
        <v>-42883.99</v>
      </c>
      <c r="AG143" s="115">
        <f t="shared" si="10"/>
        <v>-168660.68</v>
      </c>
      <c r="AI143" s="115">
        <f t="shared" si="11"/>
        <v>0</v>
      </c>
    </row>
    <row r="144" spans="1:35">
      <c r="A144" s="199" t="s">
        <v>453</v>
      </c>
      <c r="B144" s="197" t="s">
        <v>975</v>
      </c>
      <c r="C144" s="117">
        <v>-41917.15</v>
      </c>
      <c r="D144" s="117">
        <v>-41133.72</v>
      </c>
      <c r="E144" s="129">
        <v>-40831.480000000003</v>
      </c>
      <c r="F144" s="198">
        <v>-37100.1</v>
      </c>
      <c r="G144" s="128">
        <f t="shared" si="8"/>
        <v>-160982.45000000001</v>
      </c>
      <c r="I144" s="117">
        <v>-51849.13</v>
      </c>
      <c r="J144" s="117">
        <v>-41917.15</v>
      </c>
      <c r="M144" s="54">
        <v>-212831.58000000002</v>
      </c>
      <c r="O144" s="196">
        <f t="shared" si="9"/>
        <v>0</v>
      </c>
      <c r="AA144" t="s">
        <v>453</v>
      </c>
      <c r="AB144" t="s">
        <v>975</v>
      </c>
      <c r="AC144" s="115">
        <v>-41917.15</v>
      </c>
      <c r="AD144" s="115">
        <v>-41133.72</v>
      </c>
      <c r="AE144" s="115">
        <v>-40831.480000000003</v>
      </c>
      <c r="AF144" s="115">
        <v>-37100.1</v>
      </c>
      <c r="AG144" s="115">
        <f t="shared" si="10"/>
        <v>-160982.45000000001</v>
      </c>
      <c r="AI144" s="115">
        <f t="shared" si="11"/>
        <v>0</v>
      </c>
    </row>
    <row r="145" spans="1:35">
      <c r="A145" s="199" t="s">
        <v>455</v>
      </c>
      <c r="B145" s="197" t="s">
        <v>976</v>
      </c>
      <c r="C145" s="117">
        <v>-53858</v>
      </c>
      <c r="D145" s="117">
        <v>-59649.19</v>
      </c>
      <c r="E145" s="129">
        <v>-47443.29</v>
      </c>
      <c r="F145" s="198">
        <v>-72231.740000000005</v>
      </c>
      <c r="G145" s="128">
        <f t="shared" si="8"/>
        <v>-233182.22000000003</v>
      </c>
      <c r="I145" s="117">
        <v>-49539.42</v>
      </c>
      <c r="J145" s="117">
        <v>-53858</v>
      </c>
      <c r="M145" s="54">
        <v>-282721.64</v>
      </c>
      <c r="O145" s="196">
        <f t="shared" si="9"/>
        <v>0</v>
      </c>
      <c r="AA145" t="s">
        <v>455</v>
      </c>
      <c r="AB145" t="s">
        <v>976</v>
      </c>
      <c r="AC145" s="115">
        <v>-53858</v>
      </c>
      <c r="AD145" s="115">
        <v>-59649.19</v>
      </c>
      <c r="AE145" s="115">
        <v>-47443.29</v>
      </c>
      <c r="AF145" s="115">
        <v>-72231.740000000005</v>
      </c>
      <c r="AG145" s="115">
        <f t="shared" si="10"/>
        <v>-233182.22000000003</v>
      </c>
      <c r="AI145" s="115">
        <f t="shared" si="11"/>
        <v>0</v>
      </c>
    </row>
    <row r="146" spans="1:35">
      <c r="A146" s="199" t="s">
        <v>457</v>
      </c>
      <c r="B146" s="197" t="s">
        <v>977</v>
      </c>
      <c r="C146" s="117">
        <v>-73295.09</v>
      </c>
      <c r="D146" s="117">
        <v>-79682.25</v>
      </c>
      <c r="E146" s="129">
        <v>-107227.87</v>
      </c>
      <c r="F146" s="198">
        <v>-67468.84</v>
      </c>
      <c r="G146" s="128">
        <f t="shared" si="8"/>
        <v>-327674.05</v>
      </c>
      <c r="I146" s="117">
        <v>-53204.35</v>
      </c>
      <c r="J146" s="117">
        <v>-73295.09</v>
      </c>
      <c r="M146" s="54">
        <v>-380878.4</v>
      </c>
      <c r="O146" s="196">
        <f t="shared" si="9"/>
        <v>0</v>
      </c>
      <c r="AA146" t="s">
        <v>457</v>
      </c>
      <c r="AB146" t="s">
        <v>977</v>
      </c>
      <c r="AC146" s="115">
        <v>-73295.09</v>
      </c>
      <c r="AD146" s="115">
        <v>-79682.25</v>
      </c>
      <c r="AE146" s="115">
        <v>-107227.87</v>
      </c>
      <c r="AF146" s="115">
        <v>-67468.84</v>
      </c>
      <c r="AG146" s="115">
        <f t="shared" si="10"/>
        <v>-327674.05</v>
      </c>
      <c r="AI146" s="115">
        <f t="shared" si="11"/>
        <v>0</v>
      </c>
    </row>
    <row r="147" spans="1:35">
      <c r="A147" s="199" t="s">
        <v>459</v>
      </c>
      <c r="B147" s="197" t="s">
        <v>978</v>
      </c>
      <c r="C147" s="117">
        <v>-48148.57</v>
      </c>
      <c r="D147" s="117">
        <v>-40245.360000000001</v>
      </c>
      <c r="E147" s="129">
        <v>-27297.91</v>
      </c>
      <c r="F147" s="198">
        <v>-47582.59</v>
      </c>
      <c r="G147" s="128">
        <f t="shared" si="8"/>
        <v>-163274.43</v>
      </c>
      <c r="I147" s="117">
        <v>-36071.910000000003</v>
      </c>
      <c r="J147" s="117">
        <v>-48148.57</v>
      </c>
      <c r="M147" s="54">
        <v>-199346.34</v>
      </c>
      <c r="O147" s="196">
        <f t="shared" si="9"/>
        <v>0</v>
      </c>
      <c r="AA147" t="s">
        <v>459</v>
      </c>
      <c r="AB147" t="s">
        <v>978</v>
      </c>
      <c r="AC147" s="115">
        <v>-48148.57</v>
      </c>
      <c r="AD147" s="115">
        <v>-40245.360000000001</v>
      </c>
      <c r="AE147" s="115">
        <v>-27297.91</v>
      </c>
      <c r="AF147" s="115">
        <v>-47582.59</v>
      </c>
      <c r="AG147" s="115">
        <f t="shared" si="10"/>
        <v>-163274.43</v>
      </c>
      <c r="AI147" s="115">
        <f t="shared" si="11"/>
        <v>0</v>
      </c>
    </row>
    <row r="148" spans="1:35">
      <c r="A148" s="199" t="s">
        <v>461</v>
      </c>
      <c r="B148" s="197" t="s">
        <v>979</v>
      </c>
      <c r="C148" s="117">
        <v>-6601.11</v>
      </c>
      <c r="D148" s="117">
        <v>-8219.5400000000009</v>
      </c>
      <c r="E148" s="129">
        <v>-13400.81</v>
      </c>
      <c r="F148" s="198">
        <v>-12505.32</v>
      </c>
      <c r="G148" s="128">
        <f t="shared" si="8"/>
        <v>-40726.78</v>
      </c>
      <c r="I148" s="117">
        <v>-14902.67</v>
      </c>
      <c r="J148" s="117">
        <v>-6601.11</v>
      </c>
      <c r="M148" s="54">
        <v>-55629.45</v>
      </c>
      <c r="O148" s="196">
        <f t="shared" si="9"/>
        <v>0</v>
      </c>
      <c r="AA148" t="s">
        <v>461</v>
      </c>
      <c r="AB148" t="s">
        <v>979</v>
      </c>
      <c r="AC148" s="115">
        <v>-6601.11</v>
      </c>
      <c r="AD148" s="115">
        <v>-8219.5400000000009</v>
      </c>
      <c r="AE148" s="115">
        <v>-13400.81</v>
      </c>
      <c r="AF148" s="115">
        <v>-12505.32</v>
      </c>
      <c r="AG148" s="115">
        <f t="shared" si="10"/>
        <v>-40726.78</v>
      </c>
      <c r="AI148" s="115">
        <f t="shared" si="11"/>
        <v>0</v>
      </c>
    </row>
    <row r="149" spans="1:35">
      <c r="A149" s="199" t="s">
        <v>463</v>
      </c>
      <c r="B149" s="197" t="s">
        <v>980</v>
      </c>
      <c r="C149" s="117">
        <v>-11453.95</v>
      </c>
      <c r="D149" s="117">
        <v>-4865.45</v>
      </c>
      <c r="E149" s="129">
        <v>-17677.84</v>
      </c>
      <c r="F149" s="198">
        <v>-16327.83</v>
      </c>
      <c r="G149" s="128">
        <f t="shared" si="8"/>
        <v>-50325.070000000007</v>
      </c>
      <c r="I149" s="117">
        <v>-13577.24</v>
      </c>
      <c r="J149" s="117">
        <v>-11453.95</v>
      </c>
      <c r="M149" s="54">
        <v>-63902.310000000005</v>
      </c>
      <c r="O149" s="196">
        <f t="shared" si="9"/>
        <v>0</v>
      </c>
      <c r="AA149" t="s">
        <v>463</v>
      </c>
      <c r="AB149" t="s">
        <v>980</v>
      </c>
      <c r="AC149" s="115">
        <v>-11453.95</v>
      </c>
      <c r="AD149" s="115">
        <v>-4865.45</v>
      </c>
      <c r="AE149" s="115">
        <v>-17677.84</v>
      </c>
      <c r="AF149" s="115">
        <v>-16327.83</v>
      </c>
      <c r="AG149" s="115">
        <f t="shared" si="10"/>
        <v>-50325.070000000007</v>
      </c>
      <c r="AI149" s="115">
        <f t="shared" si="11"/>
        <v>0</v>
      </c>
    </row>
    <row r="150" spans="1:35">
      <c r="A150" s="199" t="s">
        <v>465</v>
      </c>
      <c r="B150" s="197" t="s">
        <v>981</v>
      </c>
      <c r="C150" s="115">
        <v>466324.73000000004</v>
      </c>
      <c r="D150" s="117">
        <v>161798.45000000001</v>
      </c>
      <c r="E150" s="129">
        <v>83726.55</v>
      </c>
      <c r="F150" s="198">
        <v>55180.28</v>
      </c>
      <c r="G150" s="128">
        <f t="shared" si="8"/>
        <v>767030.01000000013</v>
      </c>
      <c r="I150" s="117">
        <v>435924.58</v>
      </c>
      <c r="J150" s="117">
        <v>30400.15</v>
      </c>
      <c r="K150" s="115">
        <v>466324.73000000004</v>
      </c>
      <c r="M150" s="54">
        <v>767030.01000000013</v>
      </c>
      <c r="O150" s="196">
        <f t="shared" si="9"/>
        <v>435924.57999999996</v>
      </c>
      <c r="AA150" t="s">
        <v>465</v>
      </c>
      <c r="AB150" t="s">
        <v>981</v>
      </c>
      <c r="AC150" s="115">
        <v>466324.73</v>
      </c>
      <c r="AD150" s="115">
        <v>161798.45000000001</v>
      </c>
      <c r="AE150" s="115">
        <v>83726.55</v>
      </c>
      <c r="AF150" s="115">
        <v>55180.28</v>
      </c>
      <c r="AG150" s="115">
        <f t="shared" si="10"/>
        <v>767030.01</v>
      </c>
      <c r="AI150" s="115">
        <f t="shared" si="11"/>
        <v>0</v>
      </c>
    </row>
    <row r="151" spans="1:35">
      <c r="A151" s="199" t="s">
        <v>467</v>
      </c>
      <c r="B151" s="197" t="s">
        <v>982</v>
      </c>
      <c r="C151" s="117">
        <v>-87531.5</v>
      </c>
      <c r="D151" s="117">
        <v>-78899.12</v>
      </c>
      <c r="E151" s="129">
        <v>-83410.66</v>
      </c>
      <c r="F151" s="198">
        <v>-83782.39</v>
      </c>
      <c r="G151" s="128">
        <f t="shared" si="8"/>
        <v>-333623.67</v>
      </c>
      <c r="I151" s="117">
        <v>-73643.41</v>
      </c>
      <c r="J151" s="117">
        <v>-87531.5</v>
      </c>
      <c r="M151" s="54">
        <v>-407267.08</v>
      </c>
      <c r="O151" s="196">
        <f t="shared" si="9"/>
        <v>0</v>
      </c>
      <c r="AA151" t="s">
        <v>467</v>
      </c>
      <c r="AB151" t="s">
        <v>982</v>
      </c>
      <c r="AC151" s="115">
        <v>-87531.5</v>
      </c>
      <c r="AD151" s="115">
        <v>-78899.12</v>
      </c>
      <c r="AE151" s="115">
        <v>-83410.66</v>
      </c>
      <c r="AF151" s="115">
        <v>-83782.39</v>
      </c>
      <c r="AG151" s="115">
        <f t="shared" si="10"/>
        <v>-333623.67</v>
      </c>
      <c r="AI151" s="115">
        <f t="shared" si="11"/>
        <v>0</v>
      </c>
    </row>
    <row r="152" spans="1:35">
      <c r="A152" s="199" t="s">
        <v>469</v>
      </c>
      <c r="B152" s="197" t="s">
        <v>983</v>
      </c>
      <c r="C152" s="117">
        <v>-15194.26</v>
      </c>
      <c r="D152" s="117">
        <v>-37363.85</v>
      </c>
      <c r="E152" s="129">
        <v>-31046.31</v>
      </c>
      <c r="F152" s="198">
        <v>-48334.85</v>
      </c>
      <c r="G152" s="128">
        <f t="shared" si="8"/>
        <v>-131939.26999999999</v>
      </c>
      <c r="I152" s="117">
        <v>-40998.46</v>
      </c>
      <c r="J152" s="117">
        <v>-15194.26</v>
      </c>
      <c r="M152" s="54">
        <v>-172937.73</v>
      </c>
      <c r="O152" s="196">
        <f t="shared" si="9"/>
        <v>0</v>
      </c>
      <c r="AA152" t="s">
        <v>469</v>
      </c>
      <c r="AB152" t="s">
        <v>983</v>
      </c>
      <c r="AC152" s="115">
        <v>-15194.26</v>
      </c>
      <c r="AD152" s="115">
        <v>-37363.85</v>
      </c>
      <c r="AE152" s="115">
        <v>-31046.31</v>
      </c>
      <c r="AF152" s="115">
        <v>-48334.85</v>
      </c>
      <c r="AG152" s="115">
        <f t="shared" si="10"/>
        <v>-131939.26999999999</v>
      </c>
      <c r="AI152" s="115">
        <f t="shared" si="11"/>
        <v>0</v>
      </c>
    </row>
    <row r="153" spans="1:35">
      <c r="A153" s="199" t="s">
        <v>471</v>
      </c>
      <c r="B153" s="197" t="s">
        <v>984</v>
      </c>
      <c r="C153" s="117">
        <v>0</v>
      </c>
      <c r="D153" s="117">
        <v>-70097.31</v>
      </c>
      <c r="E153" s="129">
        <v>-104466.6</v>
      </c>
      <c r="F153" s="198">
        <v>-95192.74</v>
      </c>
      <c r="G153" s="128">
        <f t="shared" si="8"/>
        <v>-269756.65000000002</v>
      </c>
      <c r="I153" s="117">
        <v>0</v>
      </c>
      <c r="J153" s="117">
        <v>0</v>
      </c>
      <c r="M153" s="54">
        <v>-269756.65000000002</v>
      </c>
      <c r="O153" s="196">
        <f t="shared" si="9"/>
        <v>0</v>
      </c>
      <c r="AA153" t="s">
        <v>471</v>
      </c>
      <c r="AB153" t="s">
        <v>984</v>
      </c>
      <c r="AC153" s="115">
        <v>0</v>
      </c>
      <c r="AD153" s="115">
        <v>-70097.31</v>
      </c>
      <c r="AE153" s="115">
        <v>-104466.6</v>
      </c>
      <c r="AF153" s="115">
        <v>-95192.74</v>
      </c>
      <c r="AG153" s="115">
        <f t="shared" si="10"/>
        <v>-269756.65000000002</v>
      </c>
      <c r="AI153" s="115">
        <f t="shared" si="11"/>
        <v>0</v>
      </c>
    </row>
    <row r="154" spans="1:35">
      <c r="A154" s="199" t="s">
        <v>473</v>
      </c>
      <c r="B154" s="197" t="s">
        <v>985</v>
      </c>
      <c r="C154" s="117">
        <v>-53720.04</v>
      </c>
      <c r="D154" s="117">
        <v>-49517.17</v>
      </c>
      <c r="E154" s="129">
        <v>-37114.959999999999</v>
      </c>
      <c r="F154" s="198">
        <v>-51768.57</v>
      </c>
      <c r="G154" s="128">
        <f t="shared" si="8"/>
        <v>-192120.74</v>
      </c>
      <c r="I154" s="117">
        <v>-49708.34</v>
      </c>
      <c r="J154" s="117">
        <v>-53720.04</v>
      </c>
      <c r="M154" s="54">
        <v>-241829.08</v>
      </c>
      <c r="O154" s="196">
        <f t="shared" si="9"/>
        <v>0</v>
      </c>
      <c r="AA154" t="s">
        <v>473</v>
      </c>
      <c r="AB154" t="s">
        <v>985</v>
      </c>
      <c r="AC154" s="115">
        <v>-53720.04</v>
      </c>
      <c r="AD154" s="115">
        <v>-49517.17</v>
      </c>
      <c r="AE154" s="115">
        <v>-37114.959999999999</v>
      </c>
      <c r="AF154" s="115">
        <v>-51768.57</v>
      </c>
      <c r="AG154" s="115">
        <f t="shared" si="10"/>
        <v>-192120.74</v>
      </c>
      <c r="AI154" s="115">
        <f t="shared" si="11"/>
        <v>0</v>
      </c>
    </row>
    <row r="155" spans="1:35">
      <c r="A155" s="199" t="s">
        <v>475</v>
      </c>
      <c r="B155" s="197" t="s">
        <v>986</v>
      </c>
      <c r="C155" s="117">
        <v>-70832.34</v>
      </c>
      <c r="D155" s="117">
        <v>-75669.45</v>
      </c>
      <c r="E155" s="129">
        <v>-114361.25</v>
      </c>
      <c r="F155" s="198">
        <v>-94217.91</v>
      </c>
      <c r="G155" s="128">
        <f t="shared" si="8"/>
        <v>-355080.94999999995</v>
      </c>
      <c r="I155" s="117">
        <v>-95599.49</v>
      </c>
      <c r="J155" s="117">
        <v>-70832.34</v>
      </c>
      <c r="M155" s="54">
        <v>-450680.44000000006</v>
      </c>
      <c r="O155" s="196">
        <f t="shared" si="9"/>
        <v>0</v>
      </c>
      <c r="AA155" t="s">
        <v>475</v>
      </c>
      <c r="AB155" t="s">
        <v>986</v>
      </c>
      <c r="AC155" s="115">
        <v>-70832.34</v>
      </c>
      <c r="AD155" s="115">
        <v>-75669.45</v>
      </c>
      <c r="AE155" s="115">
        <v>-114361.25</v>
      </c>
      <c r="AF155" s="115">
        <v>-94217.91</v>
      </c>
      <c r="AG155" s="115">
        <f t="shared" si="10"/>
        <v>-355080.94999999995</v>
      </c>
      <c r="AI155" s="115">
        <f t="shared" si="11"/>
        <v>0</v>
      </c>
    </row>
    <row r="156" spans="1:35">
      <c r="A156" s="199" t="s">
        <v>477</v>
      </c>
      <c r="B156" s="197" t="s">
        <v>987</v>
      </c>
      <c r="C156" s="117">
        <v>0</v>
      </c>
      <c r="D156" s="117">
        <v>-36920.31</v>
      </c>
      <c r="E156" s="129">
        <v>-53061.67</v>
      </c>
      <c r="F156" s="198">
        <v>-46704.69</v>
      </c>
      <c r="G156" s="128">
        <f t="shared" si="8"/>
        <v>-136686.66999999998</v>
      </c>
      <c r="I156" s="117">
        <v>0</v>
      </c>
      <c r="J156" s="117">
        <v>0</v>
      </c>
      <c r="M156" s="54">
        <v>-136686.66999999998</v>
      </c>
      <c r="O156" s="196">
        <f t="shared" si="9"/>
        <v>0</v>
      </c>
      <c r="AA156" t="s">
        <v>477</v>
      </c>
      <c r="AB156" t="s">
        <v>987</v>
      </c>
      <c r="AC156" s="115">
        <v>0</v>
      </c>
      <c r="AD156" s="115">
        <v>-36920.31</v>
      </c>
      <c r="AE156" s="115">
        <v>-53061.67</v>
      </c>
      <c r="AF156" s="115">
        <v>-46704.69</v>
      </c>
      <c r="AG156" s="115">
        <f t="shared" si="10"/>
        <v>-136686.66999999998</v>
      </c>
      <c r="AI156" s="115">
        <f t="shared" si="11"/>
        <v>0</v>
      </c>
    </row>
    <row r="157" spans="1:35">
      <c r="A157" s="199" t="s">
        <v>479</v>
      </c>
      <c r="B157" s="197" t="s">
        <v>988</v>
      </c>
      <c r="C157" s="117">
        <v>-71277.06</v>
      </c>
      <c r="D157" s="117">
        <v>-110388.12</v>
      </c>
      <c r="E157" s="129">
        <v>-108302.16</v>
      </c>
      <c r="F157" s="198">
        <v>-94031.13</v>
      </c>
      <c r="G157" s="128">
        <f t="shared" si="8"/>
        <v>-383998.47</v>
      </c>
      <c r="I157" s="117">
        <v>-44165.08</v>
      </c>
      <c r="J157" s="117">
        <v>-71277.06</v>
      </c>
      <c r="M157" s="54">
        <v>-428163.55000000005</v>
      </c>
      <c r="O157" s="196">
        <f t="shared" si="9"/>
        <v>0</v>
      </c>
      <c r="AA157" t="s">
        <v>479</v>
      </c>
      <c r="AB157" t="s">
        <v>988</v>
      </c>
      <c r="AC157" s="115">
        <v>-71277.06</v>
      </c>
      <c r="AD157" s="115">
        <v>-110388.12</v>
      </c>
      <c r="AE157" s="115">
        <v>-108302.16</v>
      </c>
      <c r="AF157" s="115">
        <v>-94031.13</v>
      </c>
      <c r="AG157" s="115">
        <f t="shared" si="10"/>
        <v>-383998.47</v>
      </c>
      <c r="AI157" s="115">
        <f t="shared" si="11"/>
        <v>0</v>
      </c>
    </row>
    <row r="158" spans="1:35">
      <c r="A158" s="199" t="s">
        <v>481</v>
      </c>
      <c r="B158" s="197" t="s">
        <v>989</v>
      </c>
      <c r="C158" s="117">
        <v>-13792.21</v>
      </c>
      <c r="D158" s="117">
        <v>-27770.09</v>
      </c>
      <c r="E158" s="129">
        <v>-44694.03</v>
      </c>
      <c r="F158" s="198">
        <v>-53213.31</v>
      </c>
      <c r="G158" s="128">
        <f t="shared" si="8"/>
        <v>-139469.64000000001</v>
      </c>
      <c r="I158" s="117">
        <v>-33015.26</v>
      </c>
      <c r="J158" s="117">
        <v>-13792.21</v>
      </c>
      <c r="M158" s="54">
        <v>-172484.9</v>
      </c>
      <c r="O158" s="196">
        <f t="shared" si="9"/>
        <v>0</v>
      </c>
      <c r="AA158" t="s">
        <v>481</v>
      </c>
      <c r="AB158" t="s">
        <v>989</v>
      </c>
      <c r="AC158" s="115">
        <v>-13792.21</v>
      </c>
      <c r="AD158" s="115">
        <v>-27770.09</v>
      </c>
      <c r="AE158" s="115">
        <v>-44694.03</v>
      </c>
      <c r="AF158" s="115">
        <v>-53213.31</v>
      </c>
      <c r="AG158" s="115">
        <f t="shared" si="10"/>
        <v>-139469.64000000001</v>
      </c>
      <c r="AI158" s="115">
        <f t="shared" si="11"/>
        <v>0</v>
      </c>
    </row>
    <row r="159" spans="1:35">
      <c r="A159" s="199" t="s">
        <v>483</v>
      </c>
      <c r="B159" s="197" t="s">
        <v>990</v>
      </c>
      <c r="C159" s="117">
        <v>-40358.07</v>
      </c>
      <c r="D159" s="117">
        <v>-45081.16</v>
      </c>
      <c r="E159" s="129">
        <v>-61891.19</v>
      </c>
      <c r="F159" s="198">
        <v>-49615.28</v>
      </c>
      <c r="G159" s="128">
        <f t="shared" si="8"/>
        <v>-196945.7</v>
      </c>
      <c r="I159" s="117">
        <v>-43232.51</v>
      </c>
      <c r="J159" s="117">
        <v>-40358.07</v>
      </c>
      <c r="M159" s="54">
        <v>-240178.21</v>
      </c>
      <c r="O159" s="196">
        <f t="shared" si="9"/>
        <v>0</v>
      </c>
      <c r="AA159" t="s">
        <v>483</v>
      </c>
      <c r="AB159" t="s">
        <v>990</v>
      </c>
      <c r="AC159" s="115">
        <v>-40358.07</v>
      </c>
      <c r="AD159" s="115">
        <v>-45081.16</v>
      </c>
      <c r="AE159" s="115">
        <v>-61891.19</v>
      </c>
      <c r="AF159" s="115">
        <v>-49615.28</v>
      </c>
      <c r="AG159" s="115">
        <f t="shared" si="10"/>
        <v>-196945.7</v>
      </c>
      <c r="AI159" s="115">
        <f t="shared" si="11"/>
        <v>0</v>
      </c>
    </row>
    <row r="160" spans="1:35">
      <c r="A160" s="199" t="s">
        <v>485</v>
      </c>
      <c r="B160" s="197" t="s">
        <v>991</v>
      </c>
      <c r="C160" s="117">
        <v>-71172.72</v>
      </c>
      <c r="D160" s="117">
        <v>-105961.69</v>
      </c>
      <c r="E160" s="129">
        <v>-129828.75</v>
      </c>
      <c r="F160" s="198">
        <v>-134873.34</v>
      </c>
      <c r="G160" s="128">
        <f t="shared" si="8"/>
        <v>-441836.5</v>
      </c>
      <c r="I160" s="117">
        <v>-62877.15</v>
      </c>
      <c r="J160" s="117">
        <v>-71172.72</v>
      </c>
      <c r="M160" s="54">
        <v>-504713.65</v>
      </c>
      <c r="O160" s="196">
        <f t="shared" si="9"/>
        <v>0</v>
      </c>
      <c r="AA160" t="s">
        <v>485</v>
      </c>
      <c r="AB160" t="s">
        <v>991</v>
      </c>
      <c r="AC160" s="115">
        <v>-71172.72</v>
      </c>
      <c r="AD160" s="115">
        <v>-105961.69</v>
      </c>
      <c r="AE160" s="115">
        <v>-129828.75</v>
      </c>
      <c r="AF160" s="115">
        <v>-134873.34</v>
      </c>
      <c r="AG160" s="115">
        <f t="shared" si="10"/>
        <v>-441836.5</v>
      </c>
      <c r="AI160" s="115">
        <f t="shared" si="11"/>
        <v>0</v>
      </c>
    </row>
    <row r="161" spans="1:35">
      <c r="A161" s="199" t="s">
        <v>487</v>
      </c>
      <c r="B161" s="197" t="s">
        <v>992</v>
      </c>
      <c r="C161" s="117">
        <v>-37951.99</v>
      </c>
      <c r="D161" s="117">
        <v>-3391.07</v>
      </c>
      <c r="E161" s="129">
        <v>-31679.45</v>
      </c>
      <c r="F161" s="198">
        <v>-57110.21</v>
      </c>
      <c r="G161" s="128">
        <f t="shared" si="8"/>
        <v>-130132.72</v>
      </c>
      <c r="I161" s="117">
        <v>-39179.51</v>
      </c>
      <c r="J161" s="117">
        <v>-37951.99</v>
      </c>
      <c r="M161" s="54">
        <v>-169312.23</v>
      </c>
      <c r="O161" s="196">
        <f t="shared" si="9"/>
        <v>0</v>
      </c>
      <c r="AA161" t="s">
        <v>487</v>
      </c>
      <c r="AB161" t="s">
        <v>992</v>
      </c>
      <c r="AC161" s="115">
        <v>-37951.99</v>
      </c>
      <c r="AD161" s="115">
        <v>-3391.07</v>
      </c>
      <c r="AE161" s="115">
        <v>-31679.45</v>
      </c>
      <c r="AF161" s="115">
        <v>-57110.21</v>
      </c>
      <c r="AG161" s="115">
        <f t="shared" si="10"/>
        <v>-130132.72</v>
      </c>
      <c r="AI161" s="115">
        <f t="shared" si="11"/>
        <v>0</v>
      </c>
    </row>
    <row r="162" spans="1:35">
      <c r="A162" s="199" t="s">
        <v>489</v>
      </c>
      <c r="B162" s="197" t="s">
        <v>993</v>
      </c>
      <c r="C162" s="117">
        <v>-57227.42</v>
      </c>
      <c r="D162" s="117">
        <v>-78938.66</v>
      </c>
      <c r="E162" s="129">
        <v>-108928.15</v>
      </c>
      <c r="F162" s="198">
        <v>-77717.69</v>
      </c>
      <c r="G162" s="128">
        <f t="shared" si="8"/>
        <v>-322811.92000000004</v>
      </c>
      <c r="I162" s="117">
        <v>-38342.99</v>
      </c>
      <c r="J162" s="117">
        <v>-57227.42</v>
      </c>
      <c r="M162" s="54">
        <v>-361154.91</v>
      </c>
      <c r="O162" s="196">
        <f t="shared" si="9"/>
        <v>0</v>
      </c>
      <c r="AA162" t="s">
        <v>489</v>
      </c>
      <c r="AB162" t="s">
        <v>993</v>
      </c>
      <c r="AC162" s="115">
        <v>-57227.42</v>
      </c>
      <c r="AD162" s="115">
        <v>-78938.66</v>
      </c>
      <c r="AE162" s="115">
        <v>-108928.15</v>
      </c>
      <c r="AF162" s="115">
        <v>-77717.69</v>
      </c>
      <c r="AG162" s="115">
        <f t="shared" si="10"/>
        <v>-322811.92000000004</v>
      </c>
      <c r="AI162" s="115">
        <f t="shared" si="11"/>
        <v>0</v>
      </c>
    </row>
    <row r="163" spans="1:35">
      <c r="A163" s="199" t="s">
        <v>491</v>
      </c>
      <c r="B163" s="197" t="s">
        <v>994</v>
      </c>
      <c r="C163" s="117">
        <v>-53968.07</v>
      </c>
      <c r="D163" s="117">
        <v>-49712.69</v>
      </c>
      <c r="E163" s="129">
        <v>-37751.82</v>
      </c>
      <c r="F163" s="198">
        <v>-96861.5</v>
      </c>
      <c r="G163" s="128">
        <f t="shared" si="8"/>
        <v>-238294.08000000002</v>
      </c>
      <c r="I163" s="117">
        <v>-53682.58</v>
      </c>
      <c r="J163" s="117">
        <v>-53968.07</v>
      </c>
      <c r="M163" s="54">
        <v>-291976.66000000003</v>
      </c>
      <c r="O163" s="196">
        <f t="shared" si="9"/>
        <v>0</v>
      </c>
      <c r="AA163" t="s">
        <v>491</v>
      </c>
      <c r="AB163" t="s">
        <v>994</v>
      </c>
      <c r="AC163" s="115">
        <v>-53968.07</v>
      </c>
      <c r="AD163" s="115">
        <v>-49712.69</v>
      </c>
      <c r="AE163" s="115">
        <v>-37751.82</v>
      </c>
      <c r="AF163" s="115">
        <v>-96861.5</v>
      </c>
      <c r="AG163" s="115">
        <f t="shared" si="10"/>
        <v>-238294.08000000002</v>
      </c>
      <c r="AI163" s="115">
        <f t="shared" si="11"/>
        <v>0</v>
      </c>
    </row>
    <row r="164" spans="1:35">
      <c r="A164" s="199" t="s">
        <v>493</v>
      </c>
      <c r="B164" s="197" t="s">
        <v>995</v>
      </c>
      <c r="C164" s="117">
        <v>-63409.99</v>
      </c>
      <c r="D164" s="117">
        <v>-66669.59</v>
      </c>
      <c r="E164" s="129">
        <v>-42199.86</v>
      </c>
      <c r="F164" s="198">
        <v>-19859.29</v>
      </c>
      <c r="G164" s="128">
        <f t="shared" si="8"/>
        <v>-192138.73</v>
      </c>
      <c r="I164" s="117">
        <v>-39379.86</v>
      </c>
      <c r="J164" s="117">
        <v>-63409.99</v>
      </c>
      <c r="M164" s="54">
        <v>-231518.59</v>
      </c>
      <c r="O164" s="196">
        <f t="shared" si="9"/>
        <v>0</v>
      </c>
      <c r="AA164" t="s">
        <v>493</v>
      </c>
      <c r="AB164" t="s">
        <v>995</v>
      </c>
      <c r="AC164" s="115">
        <v>-63409.99</v>
      </c>
      <c r="AD164" s="115">
        <v>-66669.59</v>
      </c>
      <c r="AE164" s="115">
        <v>-42199.86</v>
      </c>
      <c r="AF164" s="115">
        <v>-19859.29</v>
      </c>
      <c r="AG164" s="115">
        <f t="shared" si="10"/>
        <v>-192138.73</v>
      </c>
      <c r="AI164" s="115">
        <f t="shared" si="11"/>
        <v>0</v>
      </c>
    </row>
    <row r="165" spans="1:35">
      <c r="A165" s="199" t="s">
        <v>495</v>
      </c>
      <c r="B165" s="197" t="s">
        <v>996</v>
      </c>
      <c r="C165" s="117">
        <v>-33071.03</v>
      </c>
      <c r="D165" s="117">
        <v>-43320.76</v>
      </c>
      <c r="E165" s="129">
        <v>-69307.240000000005</v>
      </c>
      <c r="F165" s="198">
        <v>-48036.51</v>
      </c>
      <c r="G165" s="128">
        <f t="shared" si="8"/>
        <v>-193735.54000000004</v>
      </c>
      <c r="I165" s="117">
        <v>-19284.59</v>
      </c>
      <c r="J165" s="117">
        <v>-33071.03</v>
      </c>
      <c r="M165" s="54">
        <v>-213020.13</v>
      </c>
      <c r="O165" s="196">
        <f t="shared" si="9"/>
        <v>0</v>
      </c>
      <c r="AA165" t="s">
        <v>495</v>
      </c>
      <c r="AB165" t="s">
        <v>996</v>
      </c>
      <c r="AC165" s="115">
        <v>-33071.03</v>
      </c>
      <c r="AD165" s="115">
        <v>-43320.76</v>
      </c>
      <c r="AE165" s="115">
        <v>-69307.240000000005</v>
      </c>
      <c r="AF165" s="115">
        <v>-48036.51</v>
      </c>
      <c r="AG165" s="115">
        <f t="shared" si="10"/>
        <v>-193735.54000000004</v>
      </c>
      <c r="AI165" s="115">
        <f t="shared" si="11"/>
        <v>0</v>
      </c>
    </row>
    <row r="166" spans="1:35">
      <c r="A166" s="199" t="s">
        <v>497</v>
      </c>
      <c r="B166" s="197" t="s">
        <v>997</v>
      </c>
      <c r="C166" s="117">
        <v>-40644.19</v>
      </c>
      <c r="D166" s="117">
        <v>-33607.230000000003</v>
      </c>
      <c r="E166" s="129">
        <v>-3820.58</v>
      </c>
      <c r="F166" s="198">
        <v>-31562.9</v>
      </c>
      <c r="G166" s="128">
        <f t="shared" si="8"/>
        <v>-109634.90000000002</v>
      </c>
      <c r="I166" s="117">
        <v>-51654.74</v>
      </c>
      <c r="J166" s="117">
        <v>-40644.19</v>
      </c>
      <c r="M166" s="54">
        <v>-161289.64000000001</v>
      </c>
      <c r="O166" s="196">
        <f t="shared" si="9"/>
        <v>0</v>
      </c>
      <c r="AA166" t="s">
        <v>497</v>
      </c>
      <c r="AB166" t="s">
        <v>997</v>
      </c>
      <c r="AC166" s="115">
        <v>-40644.19</v>
      </c>
      <c r="AD166" s="115">
        <v>-33607.230000000003</v>
      </c>
      <c r="AE166" s="115">
        <v>-3820.58</v>
      </c>
      <c r="AF166" s="115">
        <v>-31562.9</v>
      </c>
      <c r="AG166" s="115">
        <f t="shared" si="10"/>
        <v>-109634.90000000002</v>
      </c>
      <c r="AI166" s="115">
        <f t="shared" si="11"/>
        <v>0</v>
      </c>
    </row>
    <row r="167" spans="1:35">
      <c r="A167" s="199" t="s">
        <v>498</v>
      </c>
      <c r="B167" s="197" t="s">
        <v>998</v>
      </c>
      <c r="C167" s="117">
        <v>-20602.439999999999</v>
      </c>
      <c r="D167" s="117">
        <v>-29304.400000000001</v>
      </c>
      <c r="E167" s="129">
        <v>-111982.9</v>
      </c>
      <c r="F167" s="198">
        <v>31446.21</v>
      </c>
      <c r="G167" s="128">
        <f t="shared" si="8"/>
        <v>-130443.53</v>
      </c>
      <c r="I167" s="117">
        <v>0</v>
      </c>
      <c r="J167" s="117">
        <v>-20602.439999999999</v>
      </c>
      <c r="M167" s="54">
        <v>-130443.53</v>
      </c>
      <c r="O167" s="196">
        <f t="shared" si="9"/>
        <v>0</v>
      </c>
      <c r="AA167" t="s">
        <v>498</v>
      </c>
      <c r="AB167" t="s">
        <v>998</v>
      </c>
      <c r="AC167" s="115">
        <v>-20602.439999999999</v>
      </c>
      <c r="AD167" s="115">
        <v>-29304.400000000001</v>
      </c>
      <c r="AE167" s="115">
        <v>-111982.9</v>
      </c>
      <c r="AF167" s="115">
        <v>31446.21</v>
      </c>
      <c r="AG167" s="115">
        <f t="shared" si="10"/>
        <v>-130443.53</v>
      </c>
      <c r="AI167" s="115">
        <f t="shared" si="11"/>
        <v>0</v>
      </c>
    </row>
    <row r="168" spans="1:35">
      <c r="A168" s="199" t="s">
        <v>500</v>
      </c>
      <c r="B168" s="197" t="s">
        <v>999</v>
      </c>
      <c r="C168" s="117">
        <v>-43736.23</v>
      </c>
      <c r="D168" s="117">
        <v>-48192.61</v>
      </c>
      <c r="E168" s="129">
        <v>-78532.539999999994</v>
      </c>
      <c r="F168" s="198">
        <v>-41948.89</v>
      </c>
      <c r="G168" s="128">
        <f t="shared" si="8"/>
        <v>-212410.27000000002</v>
      </c>
      <c r="I168" s="117">
        <v>-49590.45</v>
      </c>
      <c r="J168" s="117">
        <v>-43736.23</v>
      </c>
      <c r="M168" s="54">
        <v>-262000.71999999997</v>
      </c>
      <c r="O168" s="196">
        <f t="shared" si="9"/>
        <v>0</v>
      </c>
      <c r="AA168" t="s">
        <v>500</v>
      </c>
      <c r="AB168" t="s">
        <v>999</v>
      </c>
      <c r="AC168" s="115">
        <v>-43736.23</v>
      </c>
      <c r="AD168" s="115">
        <v>-48192.61</v>
      </c>
      <c r="AE168" s="115">
        <v>-78532.539999999994</v>
      </c>
      <c r="AF168" s="115">
        <v>-41948.89</v>
      </c>
      <c r="AG168" s="115">
        <f t="shared" si="10"/>
        <v>-212410.27000000002</v>
      </c>
      <c r="AI168" s="115">
        <f t="shared" si="11"/>
        <v>0</v>
      </c>
    </row>
    <row r="169" spans="1:35">
      <c r="A169" s="199" t="s">
        <v>502</v>
      </c>
      <c r="B169" s="197" t="s">
        <v>1000</v>
      </c>
      <c r="C169" s="117">
        <v>-221389.41</v>
      </c>
      <c r="D169" s="117">
        <v>-203956.53</v>
      </c>
      <c r="E169" s="129">
        <v>-122460.03</v>
      </c>
      <c r="F169" s="198">
        <v>-115176.54</v>
      </c>
      <c r="G169" s="128">
        <f t="shared" si="8"/>
        <v>-662982.51</v>
      </c>
      <c r="I169" s="117">
        <v>-170511.24</v>
      </c>
      <c r="J169" s="117">
        <v>-221389.41</v>
      </c>
      <c r="M169" s="54">
        <v>-833493.75000000012</v>
      </c>
      <c r="O169" s="196">
        <f t="shared" si="9"/>
        <v>0</v>
      </c>
      <c r="AA169" t="s">
        <v>502</v>
      </c>
      <c r="AB169" t="s">
        <v>1000</v>
      </c>
      <c r="AC169" s="115">
        <v>-221389.41</v>
      </c>
      <c r="AD169" s="115">
        <v>-203956.53</v>
      </c>
      <c r="AE169" s="115">
        <v>-122460.03</v>
      </c>
      <c r="AF169" s="115">
        <v>-115176.54</v>
      </c>
      <c r="AG169" s="115">
        <f t="shared" si="10"/>
        <v>-662982.51</v>
      </c>
      <c r="AI169" s="115">
        <f t="shared" si="11"/>
        <v>0</v>
      </c>
    </row>
    <row r="170" spans="1:35">
      <c r="A170" s="199" t="s">
        <v>504</v>
      </c>
      <c r="B170" s="197" t="s">
        <v>1001</v>
      </c>
      <c r="C170" s="117">
        <v>-43063.18</v>
      </c>
      <c r="D170" s="117">
        <v>-74118.98</v>
      </c>
      <c r="E170" s="129">
        <v>-65500.35</v>
      </c>
      <c r="F170" s="198">
        <v>-49903.54</v>
      </c>
      <c r="G170" s="128">
        <f t="shared" si="8"/>
        <v>-232586.05000000002</v>
      </c>
      <c r="I170" s="117">
        <v>-61792.19</v>
      </c>
      <c r="J170" s="117">
        <v>-43063.18</v>
      </c>
      <c r="M170" s="54">
        <v>-294378.23999999999</v>
      </c>
      <c r="O170" s="196">
        <f t="shared" si="9"/>
        <v>0</v>
      </c>
      <c r="AA170" t="s">
        <v>504</v>
      </c>
      <c r="AB170" t="s">
        <v>1001</v>
      </c>
      <c r="AC170" s="115">
        <v>-43063.18</v>
      </c>
      <c r="AD170" s="115">
        <v>-74118.98</v>
      </c>
      <c r="AE170" s="115">
        <v>-65500.35</v>
      </c>
      <c r="AF170" s="115">
        <v>-49903.54</v>
      </c>
      <c r="AG170" s="115">
        <f t="shared" si="10"/>
        <v>-232586.05000000002</v>
      </c>
      <c r="AI170" s="115">
        <f t="shared" si="11"/>
        <v>0</v>
      </c>
    </row>
    <row r="171" spans="1:35">
      <c r="A171" s="199" t="s">
        <v>506</v>
      </c>
      <c r="B171" s="197" t="s">
        <v>1002</v>
      </c>
      <c r="C171" s="117">
        <v>-97025.75</v>
      </c>
      <c r="D171" s="117">
        <v>-88188.05</v>
      </c>
      <c r="E171" s="129">
        <v>-95842.48</v>
      </c>
      <c r="F171" s="198">
        <v>-91355.16</v>
      </c>
      <c r="G171" s="128">
        <f t="shared" si="8"/>
        <v>-372411.43999999994</v>
      </c>
      <c r="I171" s="117">
        <v>-108565.89</v>
      </c>
      <c r="J171" s="117">
        <v>-97025.75</v>
      </c>
      <c r="M171" s="54">
        <v>-480977.32999999996</v>
      </c>
      <c r="O171" s="196">
        <f t="shared" si="9"/>
        <v>0</v>
      </c>
      <c r="AA171" t="s">
        <v>506</v>
      </c>
      <c r="AB171" t="s">
        <v>1002</v>
      </c>
      <c r="AC171" s="115">
        <v>-97025.75</v>
      </c>
      <c r="AD171" s="115">
        <v>-88188.05</v>
      </c>
      <c r="AE171" s="115">
        <v>-95842.48</v>
      </c>
      <c r="AF171" s="115">
        <v>-91355.16</v>
      </c>
      <c r="AG171" s="115">
        <f t="shared" si="10"/>
        <v>-372411.43999999994</v>
      </c>
      <c r="AI171" s="115">
        <f t="shared" si="11"/>
        <v>0</v>
      </c>
    </row>
    <row r="172" spans="1:35">
      <c r="A172" s="199" t="s">
        <v>508</v>
      </c>
      <c r="B172" s="197" t="s">
        <v>1003</v>
      </c>
      <c r="C172" s="117">
        <v>-90242.62</v>
      </c>
      <c r="D172" s="117">
        <v>-166703.32999999999</v>
      </c>
      <c r="E172" s="129">
        <v>-136503.06</v>
      </c>
      <c r="F172" s="198">
        <v>-137993.67000000001</v>
      </c>
      <c r="G172" s="128">
        <f t="shared" si="8"/>
        <v>-531442.68000000005</v>
      </c>
      <c r="I172" s="117">
        <v>-78109.100000000006</v>
      </c>
      <c r="J172" s="117">
        <v>-90242.62</v>
      </c>
      <c r="M172" s="54">
        <v>-609551.78</v>
      </c>
      <c r="O172" s="196">
        <f t="shared" si="9"/>
        <v>0</v>
      </c>
      <c r="AA172" t="s">
        <v>508</v>
      </c>
      <c r="AB172" t="s">
        <v>1003</v>
      </c>
      <c r="AC172" s="115">
        <v>-90242.62</v>
      </c>
      <c r="AD172" s="115">
        <v>-166703.32999999999</v>
      </c>
      <c r="AE172" s="115">
        <v>-136503.06</v>
      </c>
      <c r="AF172" s="115">
        <v>-137993.67000000001</v>
      </c>
      <c r="AG172" s="115">
        <f t="shared" si="10"/>
        <v>-531442.68000000005</v>
      </c>
      <c r="AI172" s="115">
        <f t="shared" si="11"/>
        <v>0</v>
      </c>
    </row>
    <row r="173" spans="1:35">
      <c r="A173" s="199" t="s">
        <v>510</v>
      </c>
      <c r="B173" s="197" t="s">
        <v>1004</v>
      </c>
      <c r="C173" s="117">
        <v>-828572.21</v>
      </c>
      <c r="D173" s="117">
        <v>-599763.65</v>
      </c>
      <c r="E173" s="129">
        <v>-634926.76</v>
      </c>
      <c r="F173" s="198">
        <v>-402142.63</v>
      </c>
      <c r="G173" s="128">
        <f t="shared" si="8"/>
        <v>-2465405.25</v>
      </c>
      <c r="I173" s="117">
        <v>-601978.23</v>
      </c>
      <c r="J173" s="117">
        <v>-828572.21</v>
      </c>
      <c r="M173" s="54">
        <v>-3067383.4799999995</v>
      </c>
      <c r="O173" s="196">
        <f t="shared" si="9"/>
        <v>0</v>
      </c>
      <c r="AA173" t="s">
        <v>510</v>
      </c>
      <c r="AB173" t="s">
        <v>1004</v>
      </c>
      <c r="AC173" s="115">
        <v>-828572.21</v>
      </c>
      <c r="AD173" s="115">
        <v>-599763.65</v>
      </c>
      <c r="AE173" s="115">
        <v>-634926.76</v>
      </c>
      <c r="AF173" s="115">
        <v>-402142.63</v>
      </c>
      <c r="AG173" s="115">
        <f t="shared" si="10"/>
        <v>-2465405.25</v>
      </c>
      <c r="AI173" s="115">
        <f t="shared" si="11"/>
        <v>0</v>
      </c>
    </row>
    <row r="174" spans="1:35">
      <c r="A174" s="199" t="s">
        <v>512</v>
      </c>
      <c r="B174" s="197" t="s">
        <v>1005</v>
      </c>
      <c r="C174" s="117">
        <v>-633281.21</v>
      </c>
      <c r="D174" s="117">
        <v>-669130.62</v>
      </c>
      <c r="E174" s="129">
        <v>-786489.63</v>
      </c>
      <c r="F174" s="198">
        <v>-1710146.23</v>
      </c>
      <c r="G174" s="128">
        <f t="shared" si="8"/>
        <v>-3799047.69</v>
      </c>
      <c r="I174" s="117">
        <v>-292050.56</v>
      </c>
      <c r="J174" s="117">
        <v>-633281.21</v>
      </c>
      <c r="M174" s="54">
        <v>-4091098.25</v>
      </c>
      <c r="O174" s="196">
        <f t="shared" si="9"/>
        <v>0</v>
      </c>
      <c r="AA174" t="s">
        <v>512</v>
      </c>
      <c r="AB174" t="s">
        <v>1005</v>
      </c>
      <c r="AC174" s="115">
        <v>-633281.21</v>
      </c>
      <c r="AD174" s="115">
        <v>-669130.62</v>
      </c>
      <c r="AE174" s="115">
        <v>-786489.63</v>
      </c>
      <c r="AF174" s="115">
        <v>-1710146.23</v>
      </c>
      <c r="AG174" s="115">
        <f t="shared" si="10"/>
        <v>-3799047.69</v>
      </c>
      <c r="AI174" s="115">
        <f t="shared" si="11"/>
        <v>0</v>
      </c>
    </row>
    <row r="175" spans="1:35">
      <c r="A175" s="199" t="s">
        <v>514</v>
      </c>
      <c r="B175" s="197" t="s">
        <v>1006</v>
      </c>
      <c r="C175" s="117">
        <v>-34792.639999999999</v>
      </c>
      <c r="D175" s="117">
        <v>-23163.1</v>
      </c>
      <c r="E175" s="129">
        <v>-39617.31</v>
      </c>
      <c r="F175" s="198">
        <v>-41070.06</v>
      </c>
      <c r="G175" s="128">
        <f t="shared" si="8"/>
        <v>-138643.10999999999</v>
      </c>
      <c r="I175" s="117">
        <v>-32097.72</v>
      </c>
      <c r="J175" s="117">
        <v>-34792.639999999999</v>
      </c>
      <c r="M175" s="54">
        <v>-170740.83</v>
      </c>
      <c r="O175" s="196">
        <f t="shared" si="9"/>
        <v>0</v>
      </c>
      <c r="AA175" t="s">
        <v>514</v>
      </c>
      <c r="AB175" t="s">
        <v>1006</v>
      </c>
      <c r="AC175" s="115">
        <v>-34792.639999999999</v>
      </c>
      <c r="AD175" s="115">
        <v>-23163.1</v>
      </c>
      <c r="AE175" s="115">
        <v>-39617.31</v>
      </c>
      <c r="AF175" s="115">
        <v>-41070.06</v>
      </c>
      <c r="AG175" s="115">
        <f t="shared" si="10"/>
        <v>-138643.10999999999</v>
      </c>
      <c r="AI175" s="115">
        <f t="shared" si="11"/>
        <v>0</v>
      </c>
    </row>
    <row r="176" spans="1:35">
      <c r="A176" s="199" t="s">
        <v>516</v>
      </c>
      <c r="B176" s="197" t="s">
        <v>1007</v>
      </c>
      <c r="C176" s="117">
        <v>-90502.35</v>
      </c>
      <c r="D176" s="117">
        <v>-312384.15000000002</v>
      </c>
      <c r="E176" s="129">
        <v>-450692.68</v>
      </c>
      <c r="F176" s="198">
        <v>-280756.47999999998</v>
      </c>
      <c r="G176" s="128">
        <f t="shared" si="8"/>
        <v>-1134335.6599999999</v>
      </c>
      <c r="I176" s="117">
        <v>-225799.45</v>
      </c>
      <c r="J176" s="117">
        <v>-90502.35</v>
      </c>
      <c r="M176" s="54">
        <v>-1360135.11</v>
      </c>
      <c r="O176" s="196">
        <f t="shared" si="9"/>
        <v>0</v>
      </c>
      <c r="AA176" t="s">
        <v>516</v>
      </c>
      <c r="AB176" t="s">
        <v>1007</v>
      </c>
      <c r="AC176" s="115">
        <v>-90502.35</v>
      </c>
      <c r="AD176" s="115">
        <v>-312384.15000000002</v>
      </c>
      <c r="AE176" s="115">
        <v>-450692.68</v>
      </c>
      <c r="AF176" s="115">
        <v>-280756.47999999998</v>
      </c>
      <c r="AG176" s="115">
        <f t="shared" si="10"/>
        <v>-1134335.6599999999</v>
      </c>
      <c r="AI176" s="115">
        <f t="shared" si="11"/>
        <v>0</v>
      </c>
    </row>
    <row r="177" spans="1:35">
      <c r="A177" s="199" t="s">
        <v>518</v>
      </c>
      <c r="B177" s="197" t="s">
        <v>1008</v>
      </c>
      <c r="C177" s="117">
        <v>-308691.67</v>
      </c>
      <c r="D177" s="117">
        <v>-337838.84</v>
      </c>
      <c r="E177" s="129">
        <v>-248238.66</v>
      </c>
      <c r="F177" s="198">
        <v>-222698.16</v>
      </c>
      <c r="G177" s="128">
        <f t="shared" si="8"/>
        <v>-1117467.33</v>
      </c>
      <c r="I177" s="117">
        <v>-246840.19</v>
      </c>
      <c r="J177" s="117">
        <v>-308691.67</v>
      </c>
      <c r="M177" s="54">
        <v>-1364307.5199999998</v>
      </c>
      <c r="O177" s="196">
        <f t="shared" si="9"/>
        <v>0</v>
      </c>
      <c r="AA177" t="s">
        <v>518</v>
      </c>
      <c r="AB177" t="s">
        <v>1008</v>
      </c>
      <c r="AC177" s="115">
        <v>-308691.67</v>
      </c>
      <c r="AD177" s="115">
        <v>-337838.84</v>
      </c>
      <c r="AE177" s="115">
        <v>-248238.66</v>
      </c>
      <c r="AF177" s="115">
        <v>-222698.16</v>
      </c>
      <c r="AG177" s="115">
        <f t="shared" si="10"/>
        <v>-1117467.33</v>
      </c>
      <c r="AI177" s="115">
        <f t="shared" si="11"/>
        <v>0</v>
      </c>
    </row>
    <row r="178" spans="1:35">
      <c r="A178" s="199" t="s">
        <v>520</v>
      </c>
      <c r="B178" s="197" t="s">
        <v>1009</v>
      </c>
      <c r="C178" s="115">
        <v>35409.83</v>
      </c>
      <c r="D178" s="117">
        <v>-33013.269999999997</v>
      </c>
      <c r="E178" s="129">
        <v>-22994</v>
      </c>
      <c r="F178" s="198">
        <v>-72451.38</v>
      </c>
      <c r="G178" s="128">
        <f t="shared" si="8"/>
        <v>-93048.82</v>
      </c>
      <c r="I178" s="117">
        <v>63070.75</v>
      </c>
      <c r="J178" s="117">
        <v>-27660.92</v>
      </c>
      <c r="K178" s="115">
        <v>35409.83</v>
      </c>
      <c r="M178" s="54">
        <v>-93048.82</v>
      </c>
      <c r="O178" s="196">
        <f t="shared" si="9"/>
        <v>63070.75</v>
      </c>
      <c r="AA178" t="s">
        <v>520</v>
      </c>
      <c r="AB178" t="s">
        <v>1009</v>
      </c>
      <c r="AC178" s="115">
        <v>35409.83</v>
      </c>
      <c r="AD178" s="115">
        <v>-33013.269999999997</v>
      </c>
      <c r="AE178" s="115">
        <v>-22994</v>
      </c>
      <c r="AF178" s="115">
        <v>-72451.38</v>
      </c>
      <c r="AG178" s="115">
        <f t="shared" si="10"/>
        <v>-93048.82</v>
      </c>
      <c r="AI178" s="115">
        <f t="shared" si="11"/>
        <v>0</v>
      </c>
    </row>
    <row r="179" spans="1:35">
      <c r="A179" s="199" t="s">
        <v>522</v>
      </c>
      <c r="B179" s="197" t="s">
        <v>1010</v>
      </c>
      <c r="C179" s="117">
        <v>-81884.42</v>
      </c>
      <c r="D179" s="117">
        <v>-94404.63</v>
      </c>
      <c r="E179" s="129">
        <v>-151132.49</v>
      </c>
      <c r="F179" s="198">
        <v>-140103.38</v>
      </c>
      <c r="G179" s="128">
        <f t="shared" si="8"/>
        <v>-467524.92</v>
      </c>
      <c r="I179" s="117">
        <v>-46777.09</v>
      </c>
      <c r="J179" s="117">
        <v>-81884.42</v>
      </c>
      <c r="M179" s="54">
        <v>-514302.01</v>
      </c>
      <c r="O179" s="196">
        <f t="shared" si="9"/>
        <v>0</v>
      </c>
      <c r="AA179" t="s">
        <v>522</v>
      </c>
      <c r="AB179" t="s">
        <v>1010</v>
      </c>
      <c r="AC179" s="115">
        <v>-81884.42</v>
      </c>
      <c r="AD179" s="115">
        <v>-94404.63</v>
      </c>
      <c r="AE179" s="115">
        <v>-151132.49</v>
      </c>
      <c r="AF179" s="115">
        <v>-140103.38</v>
      </c>
      <c r="AG179" s="115">
        <f t="shared" si="10"/>
        <v>-467524.92</v>
      </c>
      <c r="AI179" s="115">
        <f t="shared" si="11"/>
        <v>0</v>
      </c>
    </row>
    <row r="180" spans="1:35">
      <c r="A180" s="199" t="s">
        <v>524</v>
      </c>
      <c r="B180" s="197" t="s">
        <v>1011</v>
      </c>
      <c r="C180" s="117">
        <v>-741278.64</v>
      </c>
      <c r="D180" s="117">
        <v>-512330.65</v>
      </c>
      <c r="E180" s="129">
        <v>-579118.16</v>
      </c>
      <c r="F180" s="198">
        <v>-605720.81999999995</v>
      </c>
      <c r="G180" s="128">
        <f t="shared" si="8"/>
        <v>-2438448.27</v>
      </c>
      <c r="I180" s="117">
        <v>-458734.83</v>
      </c>
      <c r="J180" s="117">
        <v>-741278.64</v>
      </c>
      <c r="M180" s="54">
        <v>-2897183.1</v>
      </c>
      <c r="O180" s="196">
        <f t="shared" si="9"/>
        <v>0</v>
      </c>
      <c r="AA180" t="s">
        <v>524</v>
      </c>
      <c r="AB180" t="s">
        <v>1011</v>
      </c>
      <c r="AC180" s="115">
        <v>-741278.64</v>
      </c>
      <c r="AD180" s="115">
        <v>-512330.65</v>
      </c>
      <c r="AE180" s="115">
        <v>-579118.16</v>
      </c>
      <c r="AF180" s="115">
        <v>-605720.81999999995</v>
      </c>
      <c r="AG180" s="115">
        <f t="shared" si="10"/>
        <v>-2438448.27</v>
      </c>
      <c r="AI180" s="115">
        <f t="shared" si="11"/>
        <v>0</v>
      </c>
    </row>
    <row r="181" spans="1:35">
      <c r="A181" s="199" t="s">
        <v>526</v>
      </c>
      <c r="B181" s="197" t="s">
        <v>1012</v>
      </c>
      <c r="C181" s="117">
        <v>-195069.48</v>
      </c>
      <c r="D181" s="117">
        <v>-154810.72</v>
      </c>
      <c r="E181" s="129">
        <v>-210323.57</v>
      </c>
      <c r="F181" s="198">
        <v>-140196.65</v>
      </c>
      <c r="G181" s="128">
        <f t="shared" si="8"/>
        <v>-700400.42</v>
      </c>
      <c r="I181" s="117">
        <v>-164582.37</v>
      </c>
      <c r="J181" s="117">
        <v>-195069.48</v>
      </c>
      <c r="M181" s="54">
        <v>-864982.78999999992</v>
      </c>
      <c r="O181" s="196">
        <f t="shared" si="9"/>
        <v>0</v>
      </c>
      <c r="AA181" t="s">
        <v>526</v>
      </c>
      <c r="AB181" t="s">
        <v>1012</v>
      </c>
      <c r="AC181" s="115">
        <v>-195069.48</v>
      </c>
      <c r="AD181" s="115">
        <v>-154810.72</v>
      </c>
      <c r="AE181" s="115">
        <v>-210323.57</v>
      </c>
      <c r="AF181" s="115">
        <v>-140196.65</v>
      </c>
      <c r="AG181" s="115">
        <f t="shared" si="10"/>
        <v>-700400.42</v>
      </c>
      <c r="AI181" s="115">
        <f t="shared" si="11"/>
        <v>0</v>
      </c>
    </row>
    <row r="182" spans="1:35">
      <c r="A182" s="199" t="s">
        <v>528</v>
      </c>
      <c r="B182" s="197" t="s">
        <v>1013</v>
      </c>
      <c r="C182" s="115">
        <v>527974.29999999993</v>
      </c>
      <c r="D182" s="117">
        <v>-279155.90000000002</v>
      </c>
      <c r="E182" s="129">
        <v>172509.67</v>
      </c>
      <c r="F182" s="198">
        <v>-131551.32999999999</v>
      </c>
      <c r="G182" s="128">
        <f t="shared" si="8"/>
        <v>289776.74</v>
      </c>
      <c r="I182" s="117">
        <v>639359.82999999996</v>
      </c>
      <c r="J182" s="117">
        <v>-111385.53</v>
      </c>
      <c r="K182" s="115">
        <v>527974.29999999993</v>
      </c>
      <c r="M182" s="54">
        <v>289776.74</v>
      </c>
      <c r="O182" s="196">
        <f t="shared" si="9"/>
        <v>639359.82999999996</v>
      </c>
      <c r="AA182" t="s">
        <v>528</v>
      </c>
      <c r="AB182" t="s">
        <v>1013</v>
      </c>
      <c r="AC182" s="115">
        <v>527974.30000000005</v>
      </c>
      <c r="AD182" s="115">
        <v>-279155.90000000002</v>
      </c>
      <c r="AE182" s="115">
        <v>172509.67</v>
      </c>
      <c r="AF182" s="115">
        <v>-131551.32999999999</v>
      </c>
      <c r="AG182" s="115">
        <f t="shared" si="10"/>
        <v>289776.74000000011</v>
      </c>
      <c r="AI182" s="115">
        <f t="shared" si="11"/>
        <v>0</v>
      </c>
    </row>
    <row r="183" spans="1:35">
      <c r="A183" s="199" t="s">
        <v>530</v>
      </c>
      <c r="B183" s="197" t="s">
        <v>1014</v>
      </c>
      <c r="C183" s="115">
        <v>191949.08999999997</v>
      </c>
      <c r="D183" s="117">
        <v>246679.5</v>
      </c>
      <c r="E183" s="129">
        <v>-107221.09</v>
      </c>
      <c r="F183" s="198">
        <v>-104996.62</v>
      </c>
      <c r="G183" s="128">
        <f t="shared" si="8"/>
        <v>226410.88</v>
      </c>
      <c r="I183" s="117">
        <v>980766.29999999993</v>
      </c>
      <c r="J183" s="117">
        <v>-788817.21</v>
      </c>
      <c r="K183" s="115">
        <v>191949.08999999997</v>
      </c>
      <c r="M183" s="54">
        <v>226410.88</v>
      </c>
      <c r="O183" s="196">
        <f t="shared" si="9"/>
        <v>980766.29999999993</v>
      </c>
      <c r="AA183" t="s">
        <v>530</v>
      </c>
      <c r="AB183" t="s">
        <v>1014</v>
      </c>
      <c r="AC183" s="115">
        <v>191949.09</v>
      </c>
      <c r="AD183" s="115">
        <v>246679.5</v>
      </c>
      <c r="AE183" s="115">
        <v>-107221.09</v>
      </c>
      <c r="AF183" s="115">
        <v>-104996.62</v>
      </c>
      <c r="AG183" s="115">
        <f t="shared" si="10"/>
        <v>226410.88</v>
      </c>
      <c r="AI183" s="115">
        <f t="shared" si="11"/>
        <v>0</v>
      </c>
    </row>
    <row r="184" spans="1:35">
      <c r="A184" s="199" t="s">
        <v>532</v>
      </c>
      <c r="B184" s="197" t="s">
        <v>1015</v>
      </c>
      <c r="C184" s="117">
        <v>-240444.7</v>
      </c>
      <c r="D184" s="117">
        <v>-270428.21000000002</v>
      </c>
      <c r="E184" s="129">
        <v>-324771.61</v>
      </c>
      <c r="F184" s="198">
        <v>-386263.82</v>
      </c>
      <c r="G184" s="128">
        <f t="shared" si="8"/>
        <v>-1221908.3400000001</v>
      </c>
      <c r="I184" s="117">
        <v>-222718.71</v>
      </c>
      <c r="J184" s="117">
        <v>-240444.7</v>
      </c>
      <c r="M184" s="54">
        <v>-1444627.05</v>
      </c>
      <c r="O184" s="196">
        <f t="shared" si="9"/>
        <v>0</v>
      </c>
      <c r="AA184" t="s">
        <v>532</v>
      </c>
      <c r="AB184" t="s">
        <v>1015</v>
      </c>
      <c r="AC184" s="115">
        <v>-240444.7</v>
      </c>
      <c r="AD184" s="115">
        <v>-270428.21000000002</v>
      </c>
      <c r="AE184" s="115">
        <v>-324771.61</v>
      </c>
      <c r="AF184" s="115">
        <v>-386263.82</v>
      </c>
      <c r="AG184" s="115">
        <f t="shared" si="10"/>
        <v>-1221908.3400000001</v>
      </c>
      <c r="AI184" s="115">
        <f t="shared" si="11"/>
        <v>0</v>
      </c>
    </row>
    <row r="185" spans="1:35">
      <c r="A185" s="199" t="s">
        <v>534</v>
      </c>
      <c r="B185" s="197" t="s">
        <v>1016</v>
      </c>
      <c r="C185" s="117">
        <v>-153292.87</v>
      </c>
      <c r="D185" s="117">
        <v>-172438.47</v>
      </c>
      <c r="E185" s="129">
        <v>-238048.42</v>
      </c>
      <c r="F185" s="198">
        <v>-325980.40999999997</v>
      </c>
      <c r="G185" s="128">
        <f t="shared" si="8"/>
        <v>-889760.16999999993</v>
      </c>
      <c r="I185" s="117">
        <v>-221237.67</v>
      </c>
      <c r="J185" s="117">
        <v>-153292.87</v>
      </c>
      <c r="M185" s="54">
        <v>-1110997.8400000001</v>
      </c>
      <c r="O185" s="196">
        <f t="shared" si="9"/>
        <v>0</v>
      </c>
      <c r="AA185" t="s">
        <v>534</v>
      </c>
      <c r="AB185" t="s">
        <v>1016</v>
      </c>
      <c r="AC185" s="115">
        <v>-153292.87</v>
      </c>
      <c r="AD185" s="115">
        <v>-172438.47</v>
      </c>
      <c r="AE185" s="115">
        <v>-238048.42</v>
      </c>
      <c r="AF185" s="115">
        <v>-325980.40999999997</v>
      </c>
      <c r="AG185" s="115">
        <f t="shared" si="10"/>
        <v>-889760.16999999993</v>
      </c>
      <c r="AI185" s="115">
        <f t="shared" si="11"/>
        <v>0</v>
      </c>
    </row>
    <row r="186" spans="1:35">
      <c r="A186" s="199" t="s">
        <v>536</v>
      </c>
      <c r="B186" s="197" t="s">
        <v>1017</v>
      </c>
      <c r="C186" s="115">
        <v>46705.759999999995</v>
      </c>
      <c r="D186" s="117">
        <v>95253.31</v>
      </c>
      <c r="E186" s="129">
        <v>58654.239999999998</v>
      </c>
      <c r="F186" s="198">
        <v>-69396</v>
      </c>
      <c r="G186" s="128">
        <f t="shared" si="8"/>
        <v>131217.31</v>
      </c>
      <c r="I186" s="117">
        <v>-8936.01</v>
      </c>
      <c r="J186" s="117">
        <v>55641.77</v>
      </c>
      <c r="K186" s="115">
        <v>46705.759999999995</v>
      </c>
      <c r="M186" s="54">
        <v>131217.31</v>
      </c>
      <c r="O186" s="196">
        <f t="shared" si="9"/>
        <v>-8936.0099999999948</v>
      </c>
      <c r="AA186" t="s">
        <v>536</v>
      </c>
      <c r="AB186" t="s">
        <v>1017</v>
      </c>
      <c r="AC186" s="115">
        <v>46705.760000000002</v>
      </c>
      <c r="AD186" s="115">
        <v>95253.31</v>
      </c>
      <c r="AE186" s="115">
        <v>58654.239999999998</v>
      </c>
      <c r="AF186" s="115">
        <v>-69396</v>
      </c>
      <c r="AG186" s="115">
        <f t="shared" si="10"/>
        <v>131217.31</v>
      </c>
      <c r="AI186" s="115">
        <f t="shared" si="11"/>
        <v>0</v>
      </c>
    </row>
    <row r="187" spans="1:35">
      <c r="A187" s="200" t="s">
        <v>1369</v>
      </c>
      <c r="B187" s="201" t="s">
        <v>1664</v>
      </c>
      <c r="C187" s="117"/>
      <c r="D187" s="117"/>
      <c r="E187" s="129"/>
      <c r="F187" s="202">
        <v>-132598.57</v>
      </c>
      <c r="G187" s="128">
        <f t="shared" si="8"/>
        <v>-132598.57</v>
      </c>
      <c r="I187" s="117"/>
      <c r="J187" s="117"/>
      <c r="M187" s="54">
        <v>-132598.57</v>
      </c>
      <c r="O187" s="196">
        <f t="shared" si="9"/>
        <v>0</v>
      </c>
      <c r="AA187" t="s">
        <v>1369</v>
      </c>
      <c r="AB187" t="s">
        <v>1664</v>
      </c>
      <c r="AC187" s="115"/>
      <c r="AD187" s="115"/>
      <c r="AE187" s="115"/>
      <c r="AF187" s="115">
        <v>-132598.57</v>
      </c>
      <c r="AG187" s="115">
        <f t="shared" si="10"/>
        <v>-132598.57</v>
      </c>
      <c r="AI187" s="115">
        <f t="shared" si="11"/>
        <v>0</v>
      </c>
    </row>
    <row r="188" spans="1:35">
      <c r="A188" s="200" t="s">
        <v>1544</v>
      </c>
      <c r="B188" s="201" t="s">
        <v>1665</v>
      </c>
      <c r="C188" s="117"/>
      <c r="D188" s="117"/>
      <c r="E188" s="129"/>
      <c r="F188" s="202">
        <v>-42078.93</v>
      </c>
      <c r="G188" s="128">
        <f t="shared" si="8"/>
        <v>-42078.93</v>
      </c>
      <c r="I188" s="117"/>
      <c r="J188" s="117"/>
      <c r="M188" s="54">
        <v>-42078.93</v>
      </c>
      <c r="O188" s="196">
        <f t="shared" si="9"/>
        <v>0</v>
      </c>
      <c r="AA188" t="s">
        <v>1544</v>
      </c>
      <c r="AB188" t="s">
        <v>1665</v>
      </c>
      <c r="AC188" s="115"/>
      <c r="AD188" s="115"/>
      <c r="AE188" s="115"/>
      <c r="AF188" s="115">
        <v>-42078.93</v>
      </c>
      <c r="AG188" s="115">
        <f t="shared" si="10"/>
        <v>-42078.93</v>
      </c>
      <c r="AI188" s="115">
        <f t="shared" si="11"/>
        <v>0</v>
      </c>
    </row>
    <row r="189" spans="1:35">
      <c r="A189" s="200" t="s">
        <v>1524</v>
      </c>
      <c r="B189" s="201" t="s">
        <v>1666</v>
      </c>
      <c r="C189" s="117"/>
      <c r="D189" s="117"/>
      <c r="E189" s="129"/>
      <c r="F189" s="202">
        <v>-14206.44</v>
      </c>
      <c r="G189" s="128">
        <f t="shared" si="8"/>
        <v>-14206.44</v>
      </c>
      <c r="I189" s="117"/>
      <c r="J189" s="117"/>
      <c r="M189" s="54">
        <v>-14206.44</v>
      </c>
      <c r="O189" s="196">
        <f t="shared" si="9"/>
        <v>0</v>
      </c>
      <c r="AA189" t="s">
        <v>1524</v>
      </c>
      <c r="AB189" t="s">
        <v>1666</v>
      </c>
      <c r="AC189" s="115"/>
      <c r="AD189" s="115"/>
      <c r="AE189" s="115"/>
      <c r="AF189" s="115">
        <v>-14206.44</v>
      </c>
      <c r="AG189" s="115">
        <f t="shared" si="10"/>
        <v>-14206.44</v>
      </c>
      <c r="AI189" s="115">
        <f t="shared" si="11"/>
        <v>0</v>
      </c>
    </row>
    <row r="190" spans="1:35">
      <c r="A190" s="199" t="s">
        <v>540</v>
      </c>
      <c r="B190" s="197" t="s">
        <v>1018</v>
      </c>
      <c r="C190" s="117">
        <v>-62905.94</v>
      </c>
      <c r="D190" s="117">
        <v>-68738.600000000006</v>
      </c>
      <c r="E190" s="129">
        <v>-92879.61</v>
      </c>
      <c r="F190" s="198">
        <v>-91043.3</v>
      </c>
      <c r="G190" s="128">
        <f t="shared" si="8"/>
        <v>-315567.45</v>
      </c>
      <c r="I190" s="117">
        <v>-89281.279999999999</v>
      </c>
      <c r="J190" s="117">
        <v>-62905.94</v>
      </c>
      <c r="M190" s="54">
        <v>-404848.73</v>
      </c>
      <c r="O190" s="196">
        <f t="shared" si="9"/>
        <v>0</v>
      </c>
      <c r="AA190" t="s">
        <v>540</v>
      </c>
      <c r="AB190" t="s">
        <v>1018</v>
      </c>
      <c r="AC190" s="115">
        <v>-62905.94</v>
      </c>
      <c r="AD190" s="115">
        <v>-68738.600000000006</v>
      </c>
      <c r="AE190" s="115">
        <v>-92879.61</v>
      </c>
      <c r="AF190" s="115">
        <v>-91043.3</v>
      </c>
      <c r="AG190" s="115">
        <f t="shared" si="10"/>
        <v>-315567.45</v>
      </c>
      <c r="AI190" s="115">
        <f t="shared" si="11"/>
        <v>0</v>
      </c>
    </row>
    <row r="191" spans="1:35">
      <c r="A191" s="199" t="s">
        <v>542</v>
      </c>
      <c r="B191" s="197" t="s">
        <v>1019</v>
      </c>
      <c r="C191" s="117">
        <v>-96015.35</v>
      </c>
      <c r="D191" s="117">
        <v>-99937.57</v>
      </c>
      <c r="E191" s="129">
        <v>-72741.95</v>
      </c>
      <c r="F191" s="198">
        <v>-70582.98</v>
      </c>
      <c r="G191" s="128">
        <f t="shared" si="8"/>
        <v>-339277.85</v>
      </c>
      <c r="I191" s="117">
        <v>-87160.33</v>
      </c>
      <c r="J191" s="117">
        <v>-96015.35</v>
      </c>
      <c r="M191" s="54">
        <v>-426438.18</v>
      </c>
      <c r="O191" s="196">
        <f t="shared" si="9"/>
        <v>0</v>
      </c>
      <c r="AA191" t="s">
        <v>542</v>
      </c>
      <c r="AB191" t="s">
        <v>1019</v>
      </c>
      <c r="AC191" s="115">
        <v>-96015.35</v>
      </c>
      <c r="AD191" s="115">
        <v>-99937.57</v>
      </c>
      <c r="AE191" s="115">
        <v>-72741.95</v>
      </c>
      <c r="AF191" s="115">
        <v>-70582.98</v>
      </c>
      <c r="AG191" s="115">
        <f t="shared" si="10"/>
        <v>-339277.85</v>
      </c>
      <c r="AI191" s="115">
        <f t="shared" si="11"/>
        <v>0</v>
      </c>
    </row>
    <row r="192" spans="1:35">
      <c r="A192" s="199" t="s">
        <v>544</v>
      </c>
      <c r="B192" s="197" t="s">
        <v>1020</v>
      </c>
      <c r="C192" s="117">
        <v>-79323.490000000005</v>
      </c>
      <c r="D192" s="117">
        <v>-96950.96</v>
      </c>
      <c r="E192" s="129">
        <v>-92990.09</v>
      </c>
      <c r="F192" s="198">
        <v>-143082.22</v>
      </c>
      <c r="G192" s="128">
        <f t="shared" si="8"/>
        <v>-412346.76</v>
      </c>
      <c r="I192" s="117">
        <v>-55423.65</v>
      </c>
      <c r="J192" s="117">
        <v>-79323.490000000005</v>
      </c>
      <c r="M192" s="54">
        <v>-467770.41000000003</v>
      </c>
      <c r="O192" s="196">
        <f t="shared" si="9"/>
        <v>0</v>
      </c>
      <c r="AA192" t="s">
        <v>544</v>
      </c>
      <c r="AB192" t="s">
        <v>1020</v>
      </c>
      <c r="AC192" s="115">
        <v>-79323.490000000005</v>
      </c>
      <c r="AD192" s="115">
        <v>-96950.96</v>
      </c>
      <c r="AE192" s="115">
        <v>-92990.09</v>
      </c>
      <c r="AF192" s="115">
        <v>-143082.22</v>
      </c>
      <c r="AG192" s="115">
        <f t="shared" si="10"/>
        <v>-412346.76</v>
      </c>
      <c r="AI192" s="115">
        <f t="shared" si="11"/>
        <v>0</v>
      </c>
    </row>
    <row r="193" spans="1:35">
      <c r="A193" s="199" t="s">
        <v>546</v>
      </c>
      <c r="B193" s="197" t="s">
        <v>1021</v>
      </c>
      <c r="C193" s="117">
        <v>-44492.57</v>
      </c>
      <c r="D193" s="117">
        <v>-87330.16</v>
      </c>
      <c r="E193" s="129">
        <v>-73466.02</v>
      </c>
      <c r="F193" s="198">
        <v>-65483.05</v>
      </c>
      <c r="G193" s="128">
        <f t="shared" si="8"/>
        <v>-270771.8</v>
      </c>
      <c r="I193" s="117">
        <v>0</v>
      </c>
      <c r="J193" s="117">
        <v>-44492.57</v>
      </c>
      <c r="M193" s="54">
        <v>-270771.8</v>
      </c>
      <c r="O193" s="196">
        <f t="shared" si="9"/>
        <v>0</v>
      </c>
      <c r="AA193" t="s">
        <v>546</v>
      </c>
      <c r="AB193" t="s">
        <v>1021</v>
      </c>
      <c r="AC193" s="115">
        <v>-44492.57</v>
      </c>
      <c r="AD193" s="115">
        <v>-87330.16</v>
      </c>
      <c r="AE193" s="115">
        <v>-73466.02</v>
      </c>
      <c r="AF193" s="115">
        <v>-65483.05</v>
      </c>
      <c r="AG193" s="115">
        <f t="shared" si="10"/>
        <v>-270771.8</v>
      </c>
      <c r="AI193" s="115">
        <f t="shared" si="11"/>
        <v>0</v>
      </c>
    </row>
    <row r="194" spans="1:35">
      <c r="A194" s="199" t="s">
        <v>548</v>
      </c>
      <c r="B194" s="197" t="s">
        <v>1022</v>
      </c>
      <c r="C194" s="117">
        <v>-159079.23000000001</v>
      </c>
      <c r="D194" s="117">
        <v>-285973.88</v>
      </c>
      <c r="E194" s="129">
        <v>-131668.04999999999</v>
      </c>
      <c r="F194" s="198">
        <v>-182214.85</v>
      </c>
      <c r="G194" s="128">
        <f t="shared" si="8"/>
        <v>-758936.00999999989</v>
      </c>
      <c r="I194" s="117">
        <v>-20428.830000000002</v>
      </c>
      <c r="J194" s="117">
        <v>-159079.23000000001</v>
      </c>
      <c r="M194" s="54">
        <v>-779364.84</v>
      </c>
      <c r="O194" s="196">
        <f t="shared" si="9"/>
        <v>0</v>
      </c>
      <c r="AA194" t="s">
        <v>548</v>
      </c>
      <c r="AB194" t="s">
        <v>1022</v>
      </c>
      <c r="AC194" s="115">
        <v>-159079.23000000001</v>
      </c>
      <c r="AD194" s="115">
        <v>-285973.88</v>
      </c>
      <c r="AE194" s="115">
        <v>-131668.04999999999</v>
      </c>
      <c r="AF194" s="115">
        <v>-182214.85</v>
      </c>
      <c r="AG194" s="115">
        <f t="shared" si="10"/>
        <v>-758936.00999999989</v>
      </c>
      <c r="AI194" s="115">
        <f t="shared" si="11"/>
        <v>0</v>
      </c>
    </row>
    <row r="195" spans="1:35">
      <c r="A195" s="199" t="s">
        <v>549</v>
      </c>
      <c r="B195" s="197" t="s">
        <v>1023</v>
      </c>
      <c r="C195" s="117">
        <v>-189300.97</v>
      </c>
      <c r="D195" s="117">
        <v>-172475.12</v>
      </c>
      <c r="E195" s="129">
        <v>-246033.23</v>
      </c>
      <c r="F195" s="198">
        <v>-154511.93</v>
      </c>
      <c r="G195" s="128">
        <f t="shared" ref="G195:G258" si="12">SUM(C195:F195)</f>
        <v>-762321.25</v>
      </c>
      <c r="I195" s="117">
        <v>-129110.8</v>
      </c>
      <c r="J195" s="117">
        <v>-189300.97</v>
      </c>
      <c r="M195" s="54">
        <v>-891432.05</v>
      </c>
      <c r="O195" s="196">
        <f t="shared" si="9"/>
        <v>0</v>
      </c>
      <c r="AA195" t="s">
        <v>549</v>
      </c>
      <c r="AB195" t="s">
        <v>1023</v>
      </c>
      <c r="AC195" s="115">
        <v>-189300.97</v>
      </c>
      <c r="AD195" s="115">
        <v>-172475.12</v>
      </c>
      <c r="AE195" s="115">
        <v>-246033.23</v>
      </c>
      <c r="AF195" s="115">
        <v>-154511.93</v>
      </c>
      <c r="AG195" s="115">
        <f t="shared" si="10"/>
        <v>-762321.25</v>
      </c>
      <c r="AI195" s="115">
        <f t="shared" si="11"/>
        <v>0</v>
      </c>
    </row>
    <row r="196" spans="1:35">
      <c r="A196" s="199" t="s">
        <v>551</v>
      </c>
      <c r="B196" s="197" t="s">
        <v>1024</v>
      </c>
      <c r="C196" s="117">
        <v>-104672.07</v>
      </c>
      <c r="D196" s="117">
        <v>-121350.41</v>
      </c>
      <c r="E196" s="129">
        <v>-194285.72</v>
      </c>
      <c r="F196" s="198">
        <v>-147470.5</v>
      </c>
      <c r="G196" s="128">
        <f t="shared" si="12"/>
        <v>-567778.69999999995</v>
      </c>
      <c r="I196" s="117">
        <v>-59873</v>
      </c>
      <c r="J196" s="117">
        <v>-104672.07</v>
      </c>
      <c r="M196" s="54">
        <v>-627651.69999999995</v>
      </c>
      <c r="O196" s="196">
        <f t="shared" ref="O196:O259" si="13">+G196+I196-M196</f>
        <v>0</v>
      </c>
      <c r="AA196" t="s">
        <v>551</v>
      </c>
      <c r="AB196" t="s">
        <v>1024</v>
      </c>
      <c r="AC196" s="115">
        <v>-104672.07</v>
      </c>
      <c r="AD196" s="115">
        <v>-121350.41</v>
      </c>
      <c r="AE196" s="115">
        <v>-194285.72</v>
      </c>
      <c r="AF196" s="115">
        <v>-147470.5</v>
      </c>
      <c r="AG196" s="115">
        <f t="shared" ref="AG196:AG259" si="14">SUM(AC196:AF196)</f>
        <v>-567778.69999999995</v>
      </c>
      <c r="AI196" s="115">
        <f t="shared" ref="AI196:AI259" si="15">+AG196-G196</f>
        <v>0</v>
      </c>
    </row>
    <row r="197" spans="1:35">
      <c r="A197" s="199" t="s">
        <v>553</v>
      </c>
      <c r="B197" s="197" t="s">
        <v>1025</v>
      </c>
      <c r="C197" s="117">
        <v>-137495.57</v>
      </c>
      <c r="D197" s="117">
        <v>-165872.49</v>
      </c>
      <c r="E197" s="129">
        <v>-194702.1</v>
      </c>
      <c r="F197" s="198">
        <v>-178585.75</v>
      </c>
      <c r="G197" s="128">
        <f t="shared" si="12"/>
        <v>-676655.91</v>
      </c>
      <c r="I197" s="117">
        <v>-177683.42</v>
      </c>
      <c r="J197" s="117">
        <v>-137495.57</v>
      </c>
      <c r="M197" s="54">
        <v>-854339.33</v>
      </c>
      <c r="O197" s="196">
        <f t="shared" si="13"/>
        <v>0</v>
      </c>
      <c r="AA197" t="s">
        <v>553</v>
      </c>
      <c r="AB197" t="s">
        <v>1025</v>
      </c>
      <c r="AC197" s="115">
        <v>-137495.57</v>
      </c>
      <c r="AD197" s="115">
        <v>-165872.49</v>
      </c>
      <c r="AE197" s="115">
        <v>-194702.1</v>
      </c>
      <c r="AF197" s="115">
        <v>-178585.75</v>
      </c>
      <c r="AG197" s="115">
        <f t="shared" si="14"/>
        <v>-676655.91</v>
      </c>
      <c r="AI197" s="115">
        <f t="shared" si="15"/>
        <v>0</v>
      </c>
    </row>
    <row r="198" spans="1:35">
      <c r="A198" s="199" t="s">
        <v>555</v>
      </c>
      <c r="B198" s="197" t="s">
        <v>1026</v>
      </c>
      <c r="C198" s="117">
        <v>-45837.62</v>
      </c>
      <c r="D198" s="117">
        <v>-35335.08</v>
      </c>
      <c r="E198" s="129">
        <v>-38124.699999999997</v>
      </c>
      <c r="F198" s="198">
        <v>-48918.29</v>
      </c>
      <c r="G198" s="128">
        <f t="shared" si="12"/>
        <v>-168215.69</v>
      </c>
      <c r="I198" s="117">
        <v>-34951.54</v>
      </c>
      <c r="J198" s="117">
        <v>-45837.62</v>
      </c>
      <c r="M198" s="54">
        <v>-203167.23</v>
      </c>
      <c r="O198" s="196">
        <f t="shared" si="13"/>
        <v>0</v>
      </c>
      <c r="AA198" t="s">
        <v>555</v>
      </c>
      <c r="AB198" t="s">
        <v>1026</v>
      </c>
      <c r="AC198" s="115">
        <v>-45837.62</v>
      </c>
      <c r="AD198" s="115">
        <v>-35335.08</v>
      </c>
      <c r="AE198" s="115">
        <v>-38124.699999999997</v>
      </c>
      <c r="AF198" s="115">
        <v>-48918.29</v>
      </c>
      <c r="AG198" s="115">
        <f t="shared" si="14"/>
        <v>-168215.69</v>
      </c>
      <c r="AI198" s="115">
        <f t="shared" si="15"/>
        <v>0</v>
      </c>
    </row>
    <row r="199" spans="1:35">
      <c r="A199" s="199" t="s">
        <v>557</v>
      </c>
      <c r="B199" s="197" t="s">
        <v>1027</v>
      </c>
      <c r="C199" s="117">
        <v>-90965.58</v>
      </c>
      <c r="D199" s="117">
        <v>-4920.45</v>
      </c>
      <c r="E199" s="129">
        <v>-218269.33</v>
      </c>
      <c r="F199" s="198">
        <v>-226605.37</v>
      </c>
      <c r="G199" s="128">
        <f t="shared" si="12"/>
        <v>-540760.73</v>
      </c>
      <c r="I199" s="117">
        <v>-56555.1</v>
      </c>
      <c r="J199" s="117">
        <v>-90965.58</v>
      </c>
      <c r="M199" s="54">
        <v>-597315.82999999996</v>
      </c>
      <c r="O199" s="196">
        <f t="shared" si="13"/>
        <v>0</v>
      </c>
      <c r="AA199" t="s">
        <v>557</v>
      </c>
      <c r="AB199" t="s">
        <v>1027</v>
      </c>
      <c r="AC199" s="115">
        <v>-90965.58</v>
      </c>
      <c r="AD199" s="115">
        <v>-4920.45</v>
      </c>
      <c r="AE199" s="115">
        <v>-218269.33</v>
      </c>
      <c r="AF199" s="115">
        <v>-226605.37</v>
      </c>
      <c r="AG199" s="115">
        <f t="shared" si="14"/>
        <v>-540760.73</v>
      </c>
      <c r="AI199" s="115">
        <f t="shared" si="15"/>
        <v>0</v>
      </c>
    </row>
    <row r="200" spans="1:35">
      <c r="A200" s="199" t="s">
        <v>559</v>
      </c>
      <c r="B200" s="197" t="s">
        <v>1028</v>
      </c>
      <c r="C200" s="117">
        <v>-45411.040000000001</v>
      </c>
      <c r="D200" s="117">
        <v>-34663.730000000003</v>
      </c>
      <c r="E200" s="129">
        <v>-29183.77</v>
      </c>
      <c r="F200" s="198">
        <v>-56779</v>
      </c>
      <c r="G200" s="128">
        <f t="shared" si="12"/>
        <v>-166037.54</v>
      </c>
      <c r="I200" s="117">
        <v>-39990.129999999997</v>
      </c>
      <c r="J200" s="117">
        <v>-45411.040000000001</v>
      </c>
      <c r="M200" s="54">
        <v>-206027.66999999998</v>
      </c>
      <c r="O200" s="196">
        <f t="shared" si="13"/>
        <v>0</v>
      </c>
      <c r="AA200" t="s">
        <v>559</v>
      </c>
      <c r="AB200" t="s">
        <v>1028</v>
      </c>
      <c r="AC200" s="115">
        <v>-45411.040000000001</v>
      </c>
      <c r="AD200" s="115">
        <v>-34663.730000000003</v>
      </c>
      <c r="AE200" s="115">
        <v>-29183.77</v>
      </c>
      <c r="AF200" s="115">
        <v>-56779</v>
      </c>
      <c r="AG200" s="115">
        <f t="shared" si="14"/>
        <v>-166037.54</v>
      </c>
      <c r="AI200" s="115">
        <f t="shared" si="15"/>
        <v>0</v>
      </c>
    </row>
    <row r="201" spans="1:35">
      <c r="A201" s="199" t="s">
        <v>563</v>
      </c>
      <c r="B201" s="197" t="s">
        <v>1029</v>
      </c>
      <c r="C201" s="117">
        <v>-40387.89</v>
      </c>
      <c r="D201" s="117">
        <v>-38088.33</v>
      </c>
      <c r="E201" s="129">
        <v>-28604.880000000001</v>
      </c>
      <c r="F201" s="198">
        <v>-35715.89</v>
      </c>
      <c r="G201" s="128">
        <f t="shared" si="12"/>
        <v>-142796.99</v>
      </c>
      <c r="I201" s="117">
        <v>-33085.129999999997</v>
      </c>
      <c r="J201" s="117">
        <v>-40387.89</v>
      </c>
      <c r="M201" s="54">
        <v>-175882.12</v>
      </c>
      <c r="O201" s="196">
        <f t="shared" si="13"/>
        <v>0</v>
      </c>
      <c r="AA201" t="s">
        <v>563</v>
      </c>
      <c r="AB201" t="s">
        <v>1029</v>
      </c>
      <c r="AC201" s="115">
        <v>-40387.89</v>
      </c>
      <c r="AD201" s="115">
        <v>-38088.33</v>
      </c>
      <c r="AE201" s="115">
        <v>-28604.880000000001</v>
      </c>
      <c r="AF201" s="115">
        <v>-35715.89</v>
      </c>
      <c r="AG201" s="115">
        <f t="shared" si="14"/>
        <v>-142796.99</v>
      </c>
      <c r="AI201" s="115">
        <f t="shared" si="15"/>
        <v>0</v>
      </c>
    </row>
    <row r="202" spans="1:35">
      <c r="A202" s="199" t="s">
        <v>565</v>
      </c>
      <c r="B202" s="197" t="s">
        <v>1030</v>
      </c>
      <c r="C202" s="117">
        <v>-123777.12</v>
      </c>
      <c r="D202" s="117">
        <v>-121309.36</v>
      </c>
      <c r="E202" s="129">
        <v>-141293.35999999999</v>
      </c>
      <c r="F202" s="198">
        <v>-102102.54</v>
      </c>
      <c r="G202" s="128">
        <f t="shared" si="12"/>
        <v>-488482.37999999995</v>
      </c>
      <c r="I202" s="117">
        <v>-109381.54</v>
      </c>
      <c r="J202" s="117">
        <v>-123777.12</v>
      </c>
      <c r="M202" s="54">
        <v>-597863.91999999993</v>
      </c>
      <c r="O202" s="196">
        <f t="shared" si="13"/>
        <v>0</v>
      </c>
      <c r="AA202" t="s">
        <v>565</v>
      </c>
      <c r="AB202" t="s">
        <v>1030</v>
      </c>
      <c r="AC202" s="115">
        <v>-123777.12</v>
      </c>
      <c r="AD202" s="115">
        <v>-121309.36</v>
      </c>
      <c r="AE202" s="115">
        <v>-141293.35999999999</v>
      </c>
      <c r="AF202" s="115">
        <v>-102102.54</v>
      </c>
      <c r="AG202" s="115">
        <f t="shared" si="14"/>
        <v>-488482.37999999995</v>
      </c>
      <c r="AI202" s="115">
        <f t="shared" si="15"/>
        <v>0</v>
      </c>
    </row>
    <row r="203" spans="1:35">
      <c r="A203" s="199" t="s">
        <v>567</v>
      </c>
      <c r="B203" s="197" t="s">
        <v>1031</v>
      </c>
      <c r="C203" s="115">
        <v>565272.26</v>
      </c>
      <c r="D203" s="117">
        <v>176788.86</v>
      </c>
      <c r="E203" s="129">
        <v>101750.35</v>
      </c>
      <c r="F203" s="198">
        <v>207534.51</v>
      </c>
      <c r="G203" s="128">
        <f t="shared" si="12"/>
        <v>1051345.98</v>
      </c>
      <c r="I203" s="117">
        <v>502523.3</v>
      </c>
      <c r="J203" s="117">
        <v>62748.959999999999</v>
      </c>
      <c r="K203" s="115">
        <v>565272.26</v>
      </c>
      <c r="M203" s="54">
        <v>1051345.98</v>
      </c>
      <c r="O203" s="196">
        <f t="shared" si="13"/>
        <v>502523.30000000005</v>
      </c>
      <c r="AA203" t="s">
        <v>567</v>
      </c>
      <c r="AB203" t="s">
        <v>1031</v>
      </c>
      <c r="AC203" s="115">
        <v>565272.26</v>
      </c>
      <c r="AD203" s="115">
        <v>176788.86</v>
      </c>
      <c r="AE203" s="115">
        <v>101750.35</v>
      </c>
      <c r="AF203" s="115">
        <v>207534.51</v>
      </c>
      <c r="AG203" s="115">
        <f t="shared" si="14"/>
        <v>1051345.98</v>
      </c>
      <c r="AI203" s="115">
        <f t="shared" si="15"/>
        <v>0</v>
      </c>
    </row>
    <row r="204" spans="1:35">
      <c r="A204" s="199" t="s">
        <v>569</v>
      </c>
      <c r="B204" s="197" t="s">
        <v>1032</v>
      </c>
      <c r="C204" s="117">
        <v>-209844.35</v>
      </c>
      <c r="D204" s="117">
        <v>-242028.38</v>
      </c>
      <c r="E204" s="129">
        <v>-159658.51999999999</v>
      </c>
      <c r="F204" s="198">
        <v>-219118.57</v>
      </c>
      <c r="G204" s="128">
        <f t="shared" si="12"/>
        <v>-830649.82000000007</v>
      </c>
      <c r="I204" s="117">
        <v>-133638.17000000001</v>
      </c>
      <c r="J204" s="117">
        <v>-209844.35</v>
      </c>
      <c r="M204" s="54">
        <v>-964287.99</v>
      </c>
      <c r="O204" s="196">
        <f t="shared" si="13"/>
        <v>0</v>
      </c>
      <c r="AA204" t="s">
        <v>569</v>
      </c>
      <c r="AB204" t="s">
        <v>1032</v>
      </c>
      <c r="AC204" s="115">
        <v>-209844.35</v>
      </c>
      <c r="AD204" s="115">
        <v>-242028.38</v>
      </c>
      <c r="AE204" s="115">
        <v>-159658.51999999999</v>
      </c>
      <c r="AF204" s="115">
        <v>-219118.57</v>
      </c>
      <c r="AG204" s="115">
        <f t="shared" si="14"/>
        <v>-830649.82000000007</v>
      </c>
      <c r="AI204" s="115">
        <f t="shared" si="15"/>
        <v>0</v>
      </c>
    </row>
    <row r="205" spans="1:35">
      <c r="A205" s="199" t="s">
        <v>571</v>
      </c>
      <c r="B205" s="197" t="s">
        <v>1033</v>
      </c>
      <c r="C205" s="117">
        <v>-261428.64</v>
      </c>
      <c r="D205" s="117">
        <v>-213132.55</v>
      </c>
      <c r="E205" s="129">
        <v>-286405.11</v>
      </c>
      <c r="F205" s="198">
        <v>-597814.17000000004</v>
      </c>
      <c r="G205" s="128">
        <f t="shared" si="12"/>
        <v>-1358780.4700000002</v>
      </c>
      <c r="I205" s="117">
        <v>-761455.76</v>
      </c>
      <c r="J205" s="117">
        <v>-261428.64</v>
      </c>
      <c r="M205" s="54">
        <v>-2120236.23</v>
      </c>
      <c r="O205" s="196">
        <f t="shared" si="13"/>
        <v>0</v>
      </c>
      <c r="AA205" t="s">
        <v>571</v>
      </c>
      <c r="AB205" t="s">
        <v>1033</v>
      </c>
      <c r="AC205" s="115">
        <v>-261428.64</v>
      </c>
      <c r="AD205" s="115">
        <v>-213132.55</v>
      </c>
      <c r="AE205" s="115">
        <v>-286405.11</v>
      </c>
      <c r="AF205" s="115">
        <v>-597814.17000000004</v>
      </c>
      <c r="AG205" s="115">
        <f t="shared" si="14"/>
        <v>-1358780.4700000002</v>
      </c>
      <c r="AI205" s="115">
        <f t="shared" si="15"/>
        <v>0</v>
      </c>
    </row>
    <row r="206" spans="1:35">
      <c r="A206" s="199" t="s">
        <v>573</v>
      </c>
      <c r="B206" s="197" t="s">
        <v>1034</v>
      </c>
      <c r="C206" s="117">
        <v>-285993.99</v>
      </c>
      <c r="D206" s="117">
        <v>-149653.16</v>
      </c>
      <c r="E206" s="129">
        <v>-526405.81999999995</v>
      </c>
      <c r="F206" s="198">
        <v>-183405.32</v>
      </c>
      <c r="G206" s="128">
        <f t="shared" si="12"/>
        <v>-1145458.29</v>
      </c>
      <c r="I206" s="117">
        <v>-89835.64</v>
      </c>
      <c r="J206" s="117">
        <v>-285993.99</v>
      </c>
      <c r="M206" s="54">
        <v>-1235293.93</v>
      </c>
      <c r="O206" s="196">
        <f t="shared" si="13"/>
        <v>0</v>
      </c>
      <c r="AA206" t="s">
        <v>573</v>
      </c>
      <c r="AB206" t="s">
        <v>1034</v>
      </c>
      <c r="AC206" s="115">
        <v>-285993.99</v>
      </c>
      <c r="AD206" s="115">
        <v>-149653.16</v>
      </c>
      <c r="AE206" s="115">
        <v>-526405.81999999995</v>
      </c>
      <c r="AF206" s="115">
        <v>-183405.32</v>
      </c>
      <c r="AG206" s="115">
        <f t="shared" si="14"/>
        <v>-1145458.29</v>
      </c>
      <c r="AI206" s="115">
        <f t="shared" si="15"/>
        <v>0</v>
      </c>
    </row>
    <row r="207" spans="1:35">
      <c r="A207" s="199" t="s">
        <v>575</v>
      </c>
      <c r="B207" s="197" t="s">
        <v>1035</v>
      </c>
      <c r="C207" s="117">
        <v>-144677.26</v>
      </c>
      <c r="D207" s="117">
        <v>-92318.59</v>
      </c>
      <c r="E207" s="129">
        <v>-146503.04999999999</v>
      </c>
      <c r="F207" s="198">
        <v>-175295.58</v>
      </c>
      <c r="G207" s="128">
        <f t="shared" si="12"/>
        <v>-558794.48</v>
      </c>
      <c r="I207" s="117">
        <v>-243841.49</v>
      </c>
      <c r="J207" s="117">
        <v>-144677.26</v>
      </c>
      <c r="M207" s="54">
        <v>-802635.96999999986</v>
      </c>
      <c r="O207" s="196">
        <f t="shared" si="13"/>
        <v>0</v>
      </c>
      <c r="AA207" t="s">
        <v>575</v>
      </c>
      <c r="AB207" t="s">
        <v>1035</v>
      </c>
      <c r="AC207" s="115">
        <v>-144677.26</v>
      </c>
      <c r="AD207" s="115">
        <v>-92318.59</v>
      </c>
      <c r="AE207" s="115">
        <v>-146503.04999999999</v>
      </c>
      <c r="AF207" s="115">
        <v>-175295.58</v>
      </c>
      <c r="AG207" s="115">
        <f t="shared" si="14"/>
        <v>-558794.48</v>
      </c>
      <c r="AI207" s="115">
        <f t="shared" si="15"/>
        <v>0</v>
      </c>
    </row>
    <row r="208" spans="1:35">
      <c r="A208" s="199" t="s">
        <v>577</v>
      </c>
      <c r="B208" s="197" t="s">
        <v>1036</v>
      </c>
      <c r="C208" s="117">
        <v>-580267.02</v>
      </c>
      <c r="D208" s="117">
        <v>-925119.3</v>
      </c>
      <c r="E208" s="129">
        <v>-743883.39</v>
      </c>
      <c r="F208" s="198">
        <v>-935548.07</v>
      </c>
      <c r="G208" s="128">
        <f t="shared" si="12"/>
        <v>-3184817.78</v>
      </c>
      <c r="I208" s="117">
        <v>-561952.96</v>
      </c>
      <c r="J208" s="117">
        <v>-580267.02</v>
      </c>
      <c r="M208" s="54">
        <v>-3746770.7399999998</v>
      </c>
      <c r="O208" s="196">
        <f t="shared" si="13"/>
        <v>0</v>
      </c>
      <c r="AA208" t="s">
        <v>577</v>
      </c>
      <c r="AB208" t="s">
        <v>1036</v>
      </c>
      <c r="AC208" s="115">
        <v>-580267.02</v>
      </c>
      <c r="AD208" s="115">
        <v>-925119.3</v>
      </c>
      <c r="AE208" s="115">
        <v>-743883.39</v>
      </c>
      <c r="AF208" s="115">
        <v>-935548.07</v>
      </c>
      <c r="AG208" s="115">
        <f t="shared" si="14"/>
        <v>-3184817.78</v>
      </c>
      <c r="AI208" s="115">
        <f t="shared" si="15"/>
        <v>0</v>
      </c>
    </row>
    <row r="209" spans="1:35">
      <c r="A209" s="199" t="s">
        <v>579</v>
      </c>
      <c r="B209" s="197" t="s">
        <v>1037</v>
      </c>
      <c r="C209" s="117">
        <v>-4673.83</v>
      </c>
      <c r="D209" s="117">
        <v>-2787.18</v>
      </c>
      <c r="E209" s="129">
        <v>-11816.3</v>
      </c>
      <c r="F209" s="198">
        <v>-12519.88</v>
      </c>
      <c r="G209" s="128">
        <f t="shared" si="12"/>
        <v>-31797.189999999995</v>
      </c>
      <c r="I209" s="117">
        <v>-5020.1499999999996</v>
      </c>
      <c r="J209" s="117">
        <v>-4673.83</v>
      </c>
      <c r="M209" s="54">
        <v>-36817.339999999997</v>
      </c>
      <c r="O209" s="196">
        <f t="shared" si="13"/>
        <v>0</v>
      </c>
      <c r="AA209" t="s">
        <v>579</v>
      </c>
      <c r="AB209" t="s">
        <v>1037</v>
      </c>
      <c r="AC209" s="115">
        <v>-4673.83</v>
      </c>
      <c r="AD209" s="115">
        <v>-2787.18</v>
      </c>
      <c r="AE209" s="115">
        <v>-11816.3</v>
      </c>
      <c r="AF209" s="115">
        <v>-12519.88</v>
      </c>
      <c r="AG209" s="115">
        <f t="shared" si="14"/>
        <v>-31797.189999999995</v>
      </c>
      <c r="AI209" s="115">
        <f t="shared" si="15"/>
        <v>0</v>
      </c>
    </row>
    <row r="210" spans="1:35">
      <c r="A210" s="199" t="s">
        <v>581</v>
      </c>
      <c r="B210" s="197" t="s">
        <v>1038</v>
      </c>
      <c r="C210" s="117">
        <v>-112917.83</v>
      </c>
      <c r="D210" s="117">
        <v>-76120.25</v>
      </c>
      <c r="E210" s="129">
        <v>-56156.05</v>
      </c>
      <c r="F210" s="198">
        <v>-71627.679999999993</v>
      </c>
      <c r="G210" s="128">
        <f t="shared" si="12"/>
        <v>-316821.81</v>
      </c>
      <c r="I210" s="117">
        <v>-114848.32000000001</v>
      </c>
      <c r="J210" s="117">
        <v>-112917.83</v>
      </c>
      <c r="M210" s="54">
        <v>-431670.13</v>
      </c>
      <c r="O210" s="196">
        <f t="shared" si="13"/>
        <v>0</v>
      </c>
      <c r="AA210" t="s">
        <v>581</v>
      </c>
      <c r="AB210" t="s">
        <v>1038</v>
      </c>
      <c r="AC210" s="115">
        <v>-112917.83</v>
      </c>
      <c r="AD210" s="115">
        <v>-76120.25</v>
      </c>
      <c r="AE210" s="115">
        <v>-56156.05</v>
      </c>
      <c r="AF210" s="115">
        <v>-71627.679999999993</v>
      </c>
      <c r="AG210" s="115">
        <f t="shared" si="14"/>
        <v>-316821.81</v>
      </c>
      <c r="AI210" s="115">
        <f t="shared" si="15"/>
        <v>0</v>
      </c>
    </row>
    <row r="211" spans="1:35">
      <c r="A211" s="199" t="s">
        <v>583</v>
      </c>
      <c r="B211" s="197" t="s">
        <v>1039</v>
      </c>
      <c r="C211" s="117">
        <v>-77572.13</v>
      </c>
      <c r="D211" s="117">
        <v>-259662.54</v>
      </c>
      <c r="E211" s="129">
        <v>26845.33</v>
      </c>
      <c r="F211" s="198">
        <v>53128.01</v>
      </c>
      <c r="G211" s="128">
        <f t="shared" si="12"/>
        <v>-257261.33000000002</v>
      </c>
      <c r="I211" s="117">
        <v>-169760.74</v>
      </c>
      <c r="J211" s="117">
        <v>-77572.13</v>
      </c>
      <c r="M211" s="54">
        <v>-427022.07</v>
      </c>
      <c r="O211" s="196">
        <f t="shared" si="13"/>
        <v>0</v>
      </c>
      <c r="AA211" t="s">
        <v>583</v>
      </c>
      <c r="AB211" t="s">
        <v>1039</v>
      </c>
      <c r="AC211" s="115">
        <v>-77572.13</v>
      </c>
      <c r="AD211" s="115">
        <v>-259662.54</v>
      </c>
      <c r="AE211" s="115">
        <v>26845.33</v>
      </c>
      <c r="AF211" s="115">
        <v>53128.01</v>
      </c>
      <c r="AG211" s="115">
        <f t="shared" si="14"/>
        <v>-257261.33000000002</v>
      </c>
      <c r="AI211" s="115">
        <f t="shared" si="15"/>
        <v>0</v>
      </c>
    </row>
    <row r="212" spans="1:35">
      <c r="A212" s="199" t="s">
        <v>585</v>
      </c>
      <c r="B212" s="197" t="s">
        <v>1040</v>
      </c>
      <c r="C212" s="117">
        <v>-60357.760000000002</v>
      </c>
      <c r="D212" s="117">
        <v>-84124.28</v>
      </c>
      <c r="E212" s="129">
        <v>-116581.54</v>
      </c>
      <c r="F212" s="198">
        <v>-129007.5</v>
      </c>
      <c r="G212" s="128">
        <f t="shared" si="12"/>
        <v>-390071.08</v>
      </c>
      <c r="I212" s="117">
        <v>-26787.75</v>
      </c>
      <c r="J212" s="117">
        <v>-60357.760000000002</v>
      </c>
      <c r="M212" s="54">
        <v>-416858.83</v>
      </c>
      <c r="O212" s="196">
        <f t="shared" si="13"/>
        <v>0</v>
      </c>
      <c r="AA212" t="s">
        <v>585</v>
      </c>
      <c r="AB212" t="s">
        <v>1040</v>
      </c>
      <c r="AC212" s="115">
        <v>-60357.760000000002</v>
      </c>
      <c r="AD212" s="115">
        <v>-84124.28</v>
      </c>
      <c r="AE212" s="115">
        <v>-116581.54</v>
      </c>
      <c r="AF212" s="115">
        <v>-129007.5</v>
      </c>
      <c r="AG212" s="115">
        <f t="shared" si="14"/>
        <v>-390071.08</v>
      </c>
      <c r="AI212" s="115">
        <f t="shared" si="15"/>
        <v>0</v>
      </c>
    </row>
    <row r="213" spans="1:35">
      <c r="A213" s="199" t="s">
        <v>587</v>
      </c>
      <c r="B213" s="197" t="s">
        <v>1041</v>
      </c>
      <c r="C213" s="117">
        <v>-82900.960000000006</v>
      </c>
      <c r="D213" s="117">
        <v>-90811.75</v>
      </c>
      <c r="E213" s="129">
        <v>-84607.72</v>
      </c>
      <c r="F213" s="198">
        <v>-69826.259999999995</v>
      </c>
      <c r="G213" s="128">
        <f t="shared" si="12"/>
        <v>-328146.69</v>
      </c>
      <c r="I213" s="117">
        <v>-72973.929999999993</v>
      </c>
      <c r="J213" s="117">
        <v>-82900.960000000006</v>
      </c>
      <c r="M213" s="54">
        <v>-401120.62</v>
      </c>
      <c r="O213" s="196">
        <f t="shared" si="13"/>
        <v>0</v>
      </c>
      <c r="AA213" t="s">
        <v>587</v>
      </c>
      <c r="AB213" t="s">
        <v>1041</v>
      </c>
      <c r="AC213" s="115">
        <v>-82900.960000000006</v>
      </c>
      <c r="AD213" s="115">
        <v>-90811.75</v>
      </c>
      <c r="AE213" s="115">
        <v>-84607.72</v>
      </c>
      <c r="AF213" s="115">
        <v>-69826.259999999995</v>
      </c>
      <c r="AG213" s="115">
        <f t="shared" si="14"/>
        <v>-328146.69</v>
      </c>
      <c r="AI213" s="115">
        <f t="shared" si="15"/>
        <v>0</v>
      </c>
    </row>
    <row r="214" spans="1:35">
      <c r="A214" s="199" t="s">
        <v>589</v>
      </c>
      <c r="B214" s="197" t="s">
        <v>1042</v>
      </c>
      <c r="C214" s="117">
        <v>-76667.399999999994</v>
      </c>
      <c r="D214" s="117">
        <v>-87979.33</v>
      </c>
      <c r="E214" s="129">
        <v>-59522.62</v>
      </c>
      <c r="F214" s="198">
        <v>-49664.9</v>
      </c>
      <c r="G214" s="128">
        <f t="shared" si="12"/>
        <v>-273834.25</v>
      </c>
      <c r="I214" s="117">
        <v>-54815.11</v>
      </c>
      <c r="J214" s="117">
        <v>-76667.399999999994</v>
      </c>
      <c r="M214" s="54">
        <v>-328649.36000000004</v>
      </c>
      <c r="O214" s="196">
        <f t="shared" si="13"/>
        <v>0</v>
      </c>
      <c r="AA214" t="s">
        <v>589</v>
      </c>
      <c r="AB214" t="s">
        <v>1042</v>
      </c>
      <c r="AC214" s="115">
        <v>-76667.399999999994</v>
      </c>
      <c r="AD214" s="115">
        <v>-87979.33</v>
      </c>
      <c r="AE214" s="115">
        <v>-59522.62</v>
      </c>
      <c r="AF214" s="115">
        <v>-49664.9</v>
      </c>
      <c r="AG214" s="115">
        <f t="shared" si="14"/>
        <v>-273834.25</v>
      </c>
      <c r="AI214" s="115">
        <f t="shared" si="15"/>
        <v>0</v>
      </c>
    </row>
    <row r="215" spans="1:35">
      <c r="A215" s="199" t="s">
        <v>591</v>
      </c>
      <c r="B215" s="197" t="s">
        <v>1043</v>
      </c>
      <c r="C215" s="117">
        <v>-144935.54</v>
      </c>
      <c r="D215" s="117">
        <v>-153240.88</v>
      </c>
      <c r="E215" s="129">
        <v>-179449.09</v>
      </c>
      <c r="F215" s="198">
        <v>-113849.2</v>
      </c>
      <c r="G215" s="128">
        <f t="shared" si="12"/>
        <v>-591474.71</v>
      </c>
      <c r="I215" s="117">
        <v>-101401.7</v>
      </c>
      <c r="J215" s="117">
        <v>-144935.54</v>
      </c>
      <c r="M215" s="54">
        <v>-692876.40999999992</v>
      </c>
      <c r="O215" s="196">
        <f t="shared" si="13"/>
        <v>0</v>
      </c>
      <c r="AA215" t="s">
        <v>591</v>
      </c>
      <c r="AB215" t="s">
        <v>1043</v>
      </c>
      <c r="AC215" s="115">
        <v>-144935.54</v>
      </c>
      <c r="AD215" s="115">
        <v>-153240.88</v>
      </c>
      <c r="AE215" s="115">
        <v>-179449.09</v>
      </c>
      <c r="AF215" s="115">
        <v>-113849.2</v>
      </c>
      <c r="AG215" s="115">
        <f t="shared" si="14"/>
        <v>-591474.71</v>
      </c>
      <c r="AI215" s="115">
        <f t="shared" si="15"/>
        <v>0</v>
      </c>
    </row>
    <row r="216" spans="1:35">
      <c r="A216" s="199" t="s">
        <v>593</v>
      </c>
      <c r="B216" s="197" t="s">
        <v>1044</v>
      </c>
      <c r="C216" s="117">
        <v>-484797.35</v>
      </c>
      <c r="D216" s="117">
        <v>-479665.61</v>
      </c>
      <c r="E216" s="129">
        <v>-523047.33</v>
      </c>
      <c r="F216" s="198">
        <v>-524555.03</v>
      </c>
      <c r="G216" s="128">
        <f t="shared" si="12"/>
        <v>-2012065.32</v>
      </c>
      <c r="I216" s="117">
        <v>-383442.78</v>
      </c>
      <c r="J216" s="117">
        <v>-484797.35</v>
      </c>
      <c r="M216" s="54">
        <v>-2395508.1</v>
      </c>
      <c r="O216" s="196">
        <f t="shared" si="13"/>
        <v>0</v>
      </c>
      <c r="AA216" t="s">
        <v>593</v>
      </c>
      <c r="AB216" t="s">
        <v>1044</v>
      </c>
      <c r="AC216" s="115">
        <v>-484797.35</v>
      </c>
      <c r="AD216" s="115">
        <v>-479665.61</v>
      </c>
      <c r="AE216" s="115">
        <v>-523047.33</v>
      </c>
      <c r="AF216" s="115">
        <v>-524555.03</v>
      </c>
      <c r="AG216" s="115">
        <f t="shared" si="14"/>
        <v>-2012065.32</v>
      </c>
      <c r="AI216" s="115">
        <f t="shared" si="15"/>
        <v>0</v>
      </c>
    </row>
    <row r="217" spans="1:35">
      <c r="A217" s="199" t="s">
        <v>595</v>
      </c>
      <c r="B217" s="197" t="s">
        <v>1045</v>
      </c>
      <c r="C217" s="117">
        <v>-301914.65000000002</v>
      </c>
      <c r="D217" s="117">
        <v>-640819.56000000006</v>
      </c>
      <c r="E217" s="129">
        <v>-787041.07</v>
      </c>
      <c r="F217" s="198">
        <v>-1448167.31</v>
      </c>
      <c r="G217" s="128">
        <f t="shared" si="12"/>
        <v>-3177942.59</v>
      </c>
      <c r="I217" s="117">
        <v>-638850.66</v>
      </c>
      <c r="J217" s="117">
        <v>-301914.65000000002</v>
      </c>
      <c r="M217" s="54">
        <v>-3816793.25</v>
      </c>
      <c r="O217" s="196">
        <f t="shared" si="13"/>
        <v>0</v>
      </c>
      <c r="AA217" t="s">
        <v>595</v>
      </c>
      <c r="AB217" t="s">
        <v>1045</v>
      </c>
      <c r="AC217" s="115">
        <v>-301914.65000000002</v>
      </c>
      <c r="AD217" s="115">
        <v>-640819.56000000006</v>
      </c>
      <c r="AE217" s="115">
        <v>-787041.07</v>
      </c>
      <c r="AF217" s="115">
        <v>-1448167.31</v>
      </c>
      <c r="AG217" s="115">
        <f t="shared" si="14"/>
        <v>-3177942.59</v>
      </c>
      <c r="AI217" s="115">
        <f t="shared" si="15"/>
        <v>0</v>
      </c>
    </row>
    <row r="218" spans="1:35">
      <c r="A218" s="199" t="s">
        <v>601</v>
      </c>
      <c r="B218" s="197" t="s">
        <v>1046</v>
      </c>
      <c r="C218" s="117">
        <v>-133877.20000000001</v>
      </c>
      <c r="D218" s="117">
        <v>-166747.07999999999</v>
      </c>
      <c r="E218" s="129">
        <v>-183039.3</v>
      </c>
      <c r="F218" s="198">
        <v>-197346.54</v>
      </c>
      <c r="G218" s="128">
        <f t="shared" si="12"/>
        <v>-681010.12</v>
      </c>
      <c r="I218" s="117">
        <v>-100230.87</v>
      </c>
      <c r="J218" s="117">
        <v>-133877.20000000001</v>
      </c>
      <c r="M218" s="54">
        <v>-781240.99</v>
      </c>
      <c r="O218" s="196">
        <f t="shared" si="13"/>
        <v>0</v>
      </c>
      <c r="AA218" t="s">
        <v>601</v>
      </c>
      <c r="AB218" t="s">
        <v>1046</v>
      </c>
      <c r="AC218" s="115">
        <v>-133877.20000000001</v>
      </c>
      <c r="AD218" s="115">
        <v>-166747.07999999999</v>
      </c>
      <c r="AE218" s="115">
        <v>-183039.3</v>
      </c>
      <c r="AF218" s="115">
        <v>-197346.54</v>
      </c>
      <c r="AG218" s="115">
        <f t="shared" si="14"/>
        <v>-681010.12</v>
      </c>
      <c r="AI218" s="115">
        <f t="shared" si="15"/>
        <v>0</v>
      </c>
    </row>
    <row r="219" spans="1:35">
      <c r="A219" s="199" t="s">
        <v>603</v>
      </c>
      <c r="B219" s="197" t="s">
        <v>1047</v>
      </c>
      <c r="C219" s="115">
        <v>-38864.740000000005</v>
      </c>
      <c r="D219" s="117">
        <v>-22925.05</v>
      </c>
      <c r="E219" s="129">
        <v>-136658.31</v>
      </c>
      <c r="F219" s="198">
        <v>-200360.45</v>
      </c>
      <c r="G219" s="128">
        <f t="shared" si="12"/>
        <v>-398808.55000000005</v>
      </c>
      <c r="I219" s="117">
        <v>48958.39</v>
      </c>
      <c r="J219" s="117">
        <v>-87823.13</v>
      </c>
      <c r="K219" s="115">
        <v>-38864.740000000005</v>
      </c>
      <c r="M219" s="54">
        <v>-398808.55000000005</v>
      </c>
      <c r="O219" s="196">
        <f t="shared" si="13"/>
        <v>48958.390000000014</v>
      </c>
      <c r="AA219" t="s">
        <v>603</v>
      </c>
      <c r="AB219" t="s">
        <v>1047</v>
      </c>
      <c r="AC219" s="115">
        <v>-38864.74</v>
      </c>
      <c r="AD219" s="115">
        <v>-22925.05</v>
      </c>
      <c r="AE219" s="115">
        <v>-136658.31</v>
      </c>
      <c r="AF219" s="115">
        <v>-200360.45</v>
      </c>
      <c r="AG219" s="115">
        <f t="shared" si="14"/>
        <v>-398808.55</v>
      </c>
      <c r="AI219" s="115">
        <f t="shared" si="15"/>
        <v>0</v>
      </c>
    </row>
    <row r="220" spans="1:35">
      <c r="A220" s="199" t="s">
        <v>605</v>
      </c>
      <c r="B220" s="197" t="s">
        <v>1048</v>
      </c>
      <c r="C220" s="117">
        <v>-221028.87</v>
      </c>
      <c r="D220" s="117">
        <v>-188355.44</v>
      </c>
      <c r="E220" s="129">
        <v>-182556.11</v>
      </c>
      <c r="F220" s="198">
        <v>-97562.11</v>
      </c>
      <c r="G220" s="128">
        <f t="shared" si="12"/>
        <v>-689502.52999999991</v>
      </c>
      <c r="I220" s="117">
        <v>-173850.13</v>
      </c>
      <c r="J220" s="117">
        <v>-221028.87</v>
      </c>
      <c r="M220" s="54">
        <v>-863352.65999999992</v>
      </c>
      <c r="O220" s="196">
        <f t="shared" si="13"/>
        <v>0</v>
      </c>
      <c r="AA220" t="s">
        <v>605</v>
      </c>
      <c r="AB220" t="s">
        <v>1048</v>
      </c>
      <c r="AC220" s="115">
        <v>-221028.87</v>
      </c>
      <c r="AD220" s="115">
        <v>-188355.44</v>
      </c>
      <c r="AE220" s="115">
        <v>-182556.11</v>
      </c>
      <c r="AF220" s="115">
        <v>-97562.11</v>
      </c>
      <c r="AG220" s="115">
        <f t="shared" si="14"/>
        <v>-689502.52999999991</v>
      </c>
      <c r="AI220" s="115">
        <f t="shared" si="15"/>
        <v>0</v>
      </c>
    </row>
    <row r="221" spans="1:35">
      <c r="A221" s="199" t="s">
        <v>607</v>
      </c>
      <c r="B221" s="197" t="s">
        <v>1049</v>
      </c>
      <c r="C221" s="117">
        <v>-869307.17</v>
      </c>
      <c r="D221" s="117">
        <v>-765926.67</v>
      </c>
      <c r="E221" s="129">
        <v>-895837.5</v>
      </c>
      <c r="F221" s="198">
        <v>-1018964.87</v>
      </c>
      <c r="G221" s="128">
        <f t="shared" si="12"/>
        <v>-3550036.21</v>
      </c>
      <c r="I221" s="117">
        <v>-370463</v>
      </c>
      <c r="J221" s="117">
        <v>-869307.17</v>
      </c>
      <c r="M221" s="54">
        <v>-3920499.21</v>
      </c>
      <c r="O221" s="196">
        <f t="shared" si="13"/>
        <v>0</v>
      </c>
      <c r="AA221" t="s">
        <v>607</v>
      </c>
      <c r="AB221" t="s">
        <v>1049</v>
      </c>
      <c r="AC221" s="115">
        <v>-869307.17</v>
      </c>
      <c r="AD221" s="115">
        <v>-765926.67</v>
      </c>
      <c r="AE221" s="115">
        <v>-895837.5</v>
      </c>
      <c r="AF221" s="115">
        <v>-1018964.87</v>
      </c>
      <c r="AG221" s="115">
        <f t="shared" si="14"/>
        <v>-3550036.21</v>
      </c>
      <c r="AI221" s="115">
        <f t="shared" si="15"/>
        <v>0</v>
      </c>
    </row>
    <row r="222" spans="1:35">
      <c r="A222" s="199" t="s">
        <v>609</v>
      </c>
      <c r="B222" s="197" t="s">
        <v>1050</v>
      </c>
      <c r="C222" s="117">
        <v>-45296.63</v>
      </c>
      <c r="D222" s="117">
        <v>-28870.45</v>
      </c>
      <c r="E222" s="129">
        <v>-77402.990000000005</v>
      </c>
      <c r="F222" s="198">
        <v>-71970.02</v>
      </c>
      <c r="G222" s="128">
        <f t="shared" si="12"/>
        <v>-223540.09000000003</v>
      </c>
      <c r="I222" s="117">
        <v>-40117.58</v>
      </c>
      <c r="J222" s="117">
        <v>-45296.63</v>
      </c>
      <c r="M222" s="54">
        <v>-263657.67</v>
      </c>
      <c r="O222" s="196">
        <f t="shared" si="13"/>
        <v>0</v>
      </c>
      <c r="AA222" t="s">
        <v>609</v>
      </c>
      <c r="AB222" t="s">
        <v>1050</v>
      </c>
      <c r="AC222" s="115">
        <v>-45296.63</v>
      </c>
      <c r="AD222" s="115">
        <v>-28870.45</v>
      </c>
      <c r="AE222" s="115">
        <v>-77402.990000000005</v>
      </c>
      <c r="AF222" s="115">
        <v>-71970.02</v>
      </c>
      <c r="AG222" s="115">
        <f t="shared" si="14"/>
        <v>-223540.09000000003</v>
      </c>
      <c r="AI222" s="115">
        <f t="shared" si="15"/>
        <v>0</v>
      </c>
    </row>
    <row r="223" spans="1:35">
      <c r="A223" s="199" t="s">
        <v>611</v>
      </c>
      <c r="B223" s="197" t="s">
        <v>1051</v>
      </c>
      <c r="C223" s="117">
        <v>-282141.69</v>
      </c>
      <c r="D223" s="117">
        <v>-225159.65</v>
      </c>
      <c r="E223" s="129">
        <v>-386238.47</v>
      </c>
      <c r="F223" s="198">
        <v>-393673.27</v>
      </c>
      <c r="G223" s="128">
        <f t="shared" si="12"/>
        <v>-1287213.08</v>
      </c>
      <c r="I223" s="117">
        <v>-70499.37</v>
      </c>
      <c r="J223" s="117">
        <v>-282141.69</v>
      </c>
      <c r="M223" s="54">
        <v>-1357712.45</v>
      </c>
      <c r="O223" s="196">
        <f t="shared" si="13"/>
        <v>0</v>
      </c>
      <c r="AA223" t="s">
        <v>611</v>
      </c>
      <c r="AB223" t="s">
        <v>1051</v>
      </c>
      <c r="AC223" s="115">
        <v>-282141.69</v>
      </c>
      <c r="AD223" s="115">
        <v>-225159.65</v>
      </c>
      <c r="AE223" s="115">
        <v>-386238.47</v>
      </c>
      <c r="AF223" s="115">
        <v>-393673.27</v>
      </c>
      <c r="AG223" s="115">
        <f t="shared" si="14"/>
        <v>-1287213.08</v>
      </c>
      <c r="AI223" s="115">
        <f t="shared" si="15"/>
        <v>0</v>
      </c>
    </row>
    <row r="224" spans="1:35">
      <c r="A224" s="199" t="s">
        <v>613</v>
      </c>
      <c r="B224" s="197" t="s">
        <v>1052</v>
      </c>
      <c r="C224" s="117">
        <v>-378891.05</v>
      </c>
      <c r="D224" s="117">
        <v>-373369.14</v>
      </c>
      <c r="E224" s="129">
        <v>-369510.63</v>
      </c>
      <c r="F224" s="198">
        <v>-453375.61</v>
      </c>
      <c r="G224" s="128">
        <f t="shared" si="12"/>
        <v>-1575146.4299999997</v>
      </c>
      <c r="I224" s="117">
        <v>-228770.91</v>
      </c>
      <c r="J224" s="117">
        <v>-378891.05</v>
      </c>
      <c r="M224" s="54">
        <v>-1803917.3399999999</v>
      </c>
      <c r="O224" s="196">
        <f t="shared" si="13"/>
        <v>0</v>
      </c>
      <c r="AA224" t="s">
        <v>613</v>
      </c>
      <c r="AB224" t="s">
        <v>1052</v>
      </c>
      <c r="AC224" s="115">
        <v>-378891.05</v>
      </c>
      <c r="AD224" s="115">
        <v>-373369.14</v>
      </c>
      <c r="AE224" s="115">
        <v>-369510.63</v>
      </c>
      <c r="AF224" s="115">
        <v>-453375.61</v>
      </c>
      <c r="AG224" s="115">
        <f t="shared" si="14"/>
        <v>-1575146.4299999997</v>
      </c>
      <c r="AI224" s="115">
        <f t="shared" si="15"/>
        <v>0</v>
      </c>
    </row>
    <row r="225" spans="1:35">
      <c r="A225" s="199" t="s">
        <v>614</v>
      </c>
      <c r="B225" s="197" t="s">
        <v>1053</v>
      </c>
      <c r="C225" s="117">
        <v>-52909.13</v>
      </c>
      <c r="D225" s="117">
        <v>-54773.22</v>
      </c>
      <c r="E225" s="129">
        <v>-54432.800000000003</v>
      </c>
      <c r="F225" s="198">
        <v>-61775.81</v>
      </c>
      <c r="G225" s="128">
        <f t="shared" si="12"/>
        <v>-223890.96000000002</v>
      </c>
      <c r="I225" s="117">
        <v>-44868.49</v>
      </c>
      <c r="J225" s="117">
        <v>-52909.13</v>
      </c>
      <c r="M225" s="54">
        <v>-268759.45</v>
      </c>
      <c r="O225" s="196">
        <f t="shared" si="13"/>
        <v>0</v>
      </c>
      <c r="AA225" t="s">
        <v>614</v>
      </c>
      <c r="AB225" t="s">
        <v>1053</v>
      </c>
      <c r="AC225" s="115">
        <v>-52909.13</v>
      </c>
      <c r="AD225" s="115">
        <v>-54773.22</v>
      </c>
      <c r="AE225" s="115">
        <v>-54432.800000000003</v>
      </c>
      <c r="AF225" s="115">
        <v>-61775.81</v>
      </c>
      <c r="AG225" s="115">
        <f t="shared" si="14"/>
        <v>-223890.96000000002</v>
      </c>
      <c r="AI225" s="115">
        <f t="shared" si="15"/>
        <v>0</v>
      </c>
    </row>
    <row r="226" spans="1:35">
      <c r="A226" s="199" t="s">
        <v>616</v>
      </c>
      <c r="B226" s="197" t="s">
        <v>1054</v>
      </c>
      <c r="C226" s="117">
        <v>-49741.57</v>
      </c>
      <c r="D226" s="117">
        <v>-36578.28</v>
      </c>
      <c r="E226" s="129">
        <v>-132583.37</v>
      </c>
      <c r="F226" s="198">
        <v>-262458.28000000003</v>
      </c>
      <c r="G226" s="128">
        <f t="shared" si="12"/>
        <v>-481361.5</v>
      </c>
      <c r="I226" s="117">
        <v>-146540.82999999999</v>
      </c>
      <c r="J226" s="117">
        <v>-49741.57</v>
      </c>
      <c r="M226" s="54">
        <v>-627902.33000000007</v>
      </c>
      <c r="O226" s="196">
        <f t="shared" si="13"/>
        <v>0</v>
      </c>
      <c r="AA226" t="s">
        <v>616</v>
      </c>
      <c r="AB226" t="s">
        <v>1054</v>
      </c>
      <c r="AC226" s="115">
        <v>-49741.57</v>
      </c>
      <c r="AD226" s="115">
        <v>-36578.28</v>
      </c>
      <c r="AE226" s="115">
        <v>-132583.37</v>
      </c>
      <c r="AF226" s="115">
        <v>-262458.28000000003</v>
      </c>
      <c r="AG226" s="115">
        <f t="shared" si="14"/>
        <v>-481361.5</v>
      </c>
      <c r="AI226" s="115">
        <f t="shared" si="15"/>
        <v>0</v>
      </c>
    </row>
    <row r="227" spans="1:35">
      <c r="A227" s="199" t="s">
        <v>617</v>
      </c>
      <c r="B227" s="197" t="s">
        <v>1055</v>
      </c>
      <c r="C227" s="117">
        <v>-97418.81</v>
      </c>
      <c r="D227" s="117">
        <v>-153262.07</v>
      </c>
      <c r="E227" s="129">
        <v>-132137.54999999999</v>
      </c>
      <c r="F227" s="198">
        <v>-144061.09</v>
      </c>
      <c r="G227" s="128">
        <f t="shared" si="12"/>
        <v>-526879.52</v>
      </c>
      <c r="I227" s="117">
        <v>-65845.48</v>
      </c>
      <c r="J227" s="117">
        <v>-97418.81</v>
      </c>
      <c r="M227" s="54">
        <v>-592725</v>
      </c>
      <c r="O227" s="196">
        <f t="shared" si="13"/>
        <v>0</v>
      </c>
      <c r="AA227" t="s">
        <v>617</v>
      </c>
      <c r="AB227" t="s">
        <v>1055</v>
      </c>
      <c r="AC227" s="115">
        <v>-97418.81</v>
      </c>
      <c r="AD227" s="115">
        <v>-153262.07</v>
      </c>
      <c r="AE227" s="115">
        <v>-132137.54999999999</v>
      </c>
      <c r="AF227" s="115">
        <v>-144061.09</v>
      </c>
      <c r="AG227" s="115">
        <f t="shared" si="14"/>
        <v>-526879.52</v>
      </c>
      <c r="AI227" s="115">
        <f t="shared" si="15"/>
        <v>0</v>
      </c>
    </row>
    <row r="228" spans="1:35">
      <c r="A228" s="199" t="s">
        <v>619</v>
      </c>
      <c r="B228" s="197" t="s">
        <v>1056</v>
      </c>
      <c r="C228" s="117">
        <v>-67679.13</v>
      </c>
      <c r="D228" s="117">
        <v>-67672.990000000005</v>
      </c>
      <c r="E228" s="129">
        <v>-63896.07</v>
      </c>
      <c r="F228" s="198">
        <v>-97484.54</v>
      </c>
      <c r="G228" s="128">
        <f t="shared" si="12"/>
        <v>-296732.73</v>
      </c>
      <c r="I228" s="117">
        <v>-22185.77</v>
      </c>
      <c r="J228" s="117">
        <v>-67679.13</v>
      </c>
      <c r="M228" s="54">
        <v>-318918.5</v>
      </c>
      <c r="O228" s="196">
        <f t="shared" si="13"/>
        <v>0</v>
      </c>
      <c r="AA228" t="s">
        <v>619</v>
      </c>
      <c r="AB228" t="s">
        <v>1056</v>
      </c>
      <c r="AC228" s="115">
        <v>-67679.13</v>
      </c>
      <c r="AD228" s="115">
        <v>-67672.990000000005</v>
      </c>
      <c r="AE228" s="115">
        <v>-63896.07</v>
      </c>
      <c r="AF228" s="115">
        <v>-97484.54</v>
      </c>
      <c r="AG228" s="115">
        <f t="shared" si="14"/>
        <v>-296732.73</v>
      </c>
      <c r="AI228" s="115">
        <f t="shared" si="15"/>
        <v>0</v>
      </c>
    </row>
    <row r="229" spans="1:35">
      <c r="A229" s="200" t="s">
        <v>1531</v>
      </c>
      <c r="B229" s="201" t="s">
        <v>1667</v>
      </c>
      <c r="C229" s="117"/>
      <c r="D229" s="117"/>
      <c r="E229" s="129"/>
      <c r="F229" s="202">
        <v>-28677.62</v>
      </c>
      <c r="G229" s="128">
        <f t="shared" si="12"/>
        <v>-28677.62</v>
      </c>
      <c r="I229" s="117"/>
      <c r="J229" s="117"/>
      <c r="M229" s="54">
        <v>-28677.62</v>
      </c>
      <c r="O229" s="196">
        <f t="shared" si="13"/>
        <v>0</v>
      </c>
      <c r="AA229" t="s">
        <v>1531</v>
      </c>
      <c r="AB229" t="s">
        <v>1667</v>
      </c>
      <c r="AC229" s="115"/>
      <c r="AD229" s="115"/>
      <c r="AE229" s="115"/>
      <c r="AF229" s="115">
        <v>-28677.62</v>
      </c>
      <c r="AG229" s="115">
        <f t="shared" si="14"/>
        <v>-28677.62</v>
      </c>
      <c r="AI229" s="115">
        <f t="shared" si="15"/>
        <v>0</v>
      </c>
    </row>
    <row r="230" spans="1:35">
      <c r="A230" s="200" t="s">
        <v>1480</v>
      </c>
      <c r="B230" s="201" t="s">
        <v>1668</v>
      </c>
      <c r="C230" s="117"/>
      <c r="D230" s="117"/>
      <c r="E230" s="129"/>
      <c r="F230" s="202">
        <v>15166.67</v>
      </c>
      <c r="G230" s="128">
        <f t="shared" si="12"/>
        <v>15166.67</v>
      </c>
      <c r="I230" s="117"/>
      <c r="J230" s="117"/>
      <c r="M230" s="54">
        <v>15166.67</v>
      </c>
      <c r="O230" s="196">
        <f t="shared" si="13"/>
        <v>0</v>
      </c>
      <c r="AA230" t="s">
        <v>1480</v>
      </c>
      <c r="AB230" t="s">
        <v>1668</v>
      </c>
      <c r="AC230" s="115"/>
      <c r="AD230" s="115"/>
      <c r="AE230" s="115"/>
      <c r="AF230" s="115">
        <v>15166.67</v>
      </c>
      <c r="AG230" s="115">
        <f t="shared" si="14"/>
        <v>15166.67</v>
      </c>
      <c r="AI230" s="115">
        <f t="shared" si="15"/>
        <v>0</v>
      </c>
    </row>
    <row r="231" spans="1:35">
      <c r="A231" s="199" t="s">
        <v>621</v>
      </c>
      <c r="B231" s="197" t="s">
        <v>1057</v>
      </c>
      <c r="C231" s="117">
        <v>-59605.54</v>
      </c>
      <c r="D231" s="117">
        <v>-64559.839999999997</v>
      </c>
      <c r="E231" s="129">
        <v>-64115.839999999997</v>
      </c>
      <c r="F231" s="198">
        <v>-49463.040000000001</v>
      </c>
      <c r="G231" s="128">
        <f t="shared" si="12"/>
        <v>-237744.26</v>
      </c>
      <c r="I231" s="117">
        <v>-55067.28</v>
      </c>
      <c r="J231" s="117">
        <v>-59605.54</v>
      </c>
      <c r="M231" s="54">
        <v>-292811.53999999998</v>
      </c>
      <c r="O231" s="196">
        <f t="shared" si="13"/>
        <v>0</v>
      </c>
      <c r="AA231" t="s">
        <v>621</v>
      </c>
      <c r="AB231" t="s">
        <v>1057</v>
      </c>
      <c r="AC231" s="115">
        <v>-59605.54</v>
      </c>
      <c r="AD231" s="115">
        <v>-64559.839999999997</v>
      </c>
      <c r="AE231" s="115">
        <v>-64115.839999999997</v>
      </c>
      <c r="AF231" s="115">
        <v>-49463.040000000001</v>
      </c>
      <c r="AG231" s="115">
        <f t="shared" si="14"/>
        <v>-237744.26</v>
      </c>
      <c r="AI231" s="115">
        <f t="shared" si="15"/>
        <v>0</v>
      </c>
    </row>
    <row r="232" spans="1:35">
      <c r="A232" s="199" t="s">
        <v>623</v>
      </c>
      <c r="B232" s="197" t="s">
        <v>1058</v>
      </c>
      <c r="C232" s="117">
        <v>-28739.86</v>
      </c>
      <c r="D232" s="117">
        <v>-43445.83</v>
      </c>
      <c r="E232" s="129">
        <v>-67269.34</v>
      </c>
      <c r="F232" s="198">
        <v>-75396.09</v>
      </c>
      <c r="G232" s="128">
        <f t="shared" si="12"/>
        <v>-214851.12</v>
      </c>
      <c r="I232" s="117">
        <v>-17280.810000000001</v>
      </c>
      <c r="J232" s="117">
        <v>-28739.86</v>
      </c>
      <c r="M232" s="54">
        <v>-232131.93</v>
      </c>
      <c r="O232" s="196">
        <f t="shared" si="13"/>
        <v>0</v>
      </c>
      <c r="AA232" t="s">
        <v>623</v>
      </c>
      <c r="AB232" t="s">
        <v>1058</v>
      </c>
      <c r="AC232" s="115">
        <v>-28739.86</v>
      </c>
      <c r="AD232" s="115">
        <v>-43445.83</v>
      </c>
      <c r="AE232" s="115">
        <v>-67269.34</v>
      </c>
      <c r="AF232" s="115">
        <v>-75396.09</v>
      </c>
      <c r="AG232" s="115">
        <f t="shared" si="14"/>
        <v>-214851.12</v>
      </c>
      <c r="AI232" s="115">
        <f t="shared" si="15"/>
        <v>0</v>
      </c>
    </row>
    <row r="233" spans="1:35">
      <c r="A233" s="199" t="s">
        <v>625</v>
      </c>
      <c r="B233" s="197" t="s">
        <v>1059</v>
      </c>
      <c r="C233" s="117">
        <v>-141327.12</v>
      </c>
      <c r="D233" s="117">
        <v>-137675.91</v>
      </c>
      <c r="E233" s="129">
        <v>-114241.78</v>
      </c>
      <c r="F233" s="198">
        <v>-139020.45000000001</v>
      </c>
      <c r="G233" s="128">
        <f t="shared" si="12"/>
        <v>-532265.26</v>
      </c>
      <c r="I233" s="117">
        <v>-143639.99</v>
      </c>
      <c r="J233" s="117">
        <v>-141327.12</v>
      </c>
      <c r="M233" s="54">
        <v>-675905.25</v>
      </c>
      <c r="O233" s="196">
        <f t="shared" si="13"/>
        <v>0</v>
      </c>
      <c r="AA233" t="s">
        <v>625</v>
      </c>
      <c r="AB233" t="s">
        <v>1059</v>
      </c>
      <c r="AC233" s="115">
        <v>-141327.12</v>
      </c>
      <c r="AD233" s="115">
        <v>-137675.91</v>
      </c>
      <c r="AE233" s="115">
        <v>-114241.78</v>
      </c>
      <c r="AF233" s="115">
        <v>-139020.45000000001</v>
      </c>
      <c r="AG233" s="115">
        <f t="shared" si="14"/>
        <v>-532265.26</v>
      </c>
      <c r="AI233" s="115">
        <f t="shared" si="15"/>
        <v>0</v>
      </c>
    </row>
    <row r="234" spans="1:35">
      <c r="A234" s="199" t="s">
        <v>627</v>
      </c>
      <c r="B234" s="197" t="s">
        <v>1060</v>
      </c>
      <c r="C234" s="117">
        <v>-81565.2</v>
      </c>
      <c r="D234" s="117">
        <v>-74940.89</v>
      </c>
      <c r="E234" s="129">
        <v>-65429.37</v>
      </c>
      <c r="F234" s="198">
        <v>-62303.85</v>
      </c>
      <c r="G234" s="128">
        <f t="shared" si="12"/>
        <v>-284239.31</v>
      </c>
      <c r="I234" s="117">
        <v>-78684.3</v>
      </c>
      <c r="J234" s="117">
        <v>-81565.2</v>
      </c>
      <c r="M234" s="54">
        <v>-362923.61</v>
      </c>
      <c r="O234" s="196">
        <f t="shared" si="13"/>
        <v>0</v>
      </c>
      <c r="AA234" t="s">
        <v>627</v>
      </c>
      <c r="AB234" t="s">
        <v>1060</v>
      </c>
      <c r="AC234" s="115">
        <v>-81565.2</v>
      </c>
      <c r="AD234" s="115">
        <v>-74940.89</v>
      </c>
      <c r="AE234" s="115">
        <v>-65429.37</v>
      </c>
      <c r="AF234" s="115">
        <v>-62303.85</v>
      </c>
      <c r="AG234" s="115">
        <f t="shared" si="14"/>
        <v>-284239.31</v>
      </c>
      <c r="AI234" s="115">
        <f t="shared" si="15"/>
        <v>0</v>
      </c>
    </row>
    <row r="235" spans="1:35">
      <c r="A235" s="199" t="s">
        <v>629</v>
      </c>
      <c r="B235" s="197" t="s">
        <v>1061</v>
      </c>
      <c r="C235" s="117">
        <v>-204029.86</v>
      </c>
      <c r="D235" s="117">
        <v>-180980.72</v>
      </c>
      <c r="E235" s="129">
        <v>-215401.49</v>
      </c>
      <c r="F235" s="198">
        <v>-264419.59000000003</v>
      </c>
      <c r="G235" s="128">
        <f t="shared" si="12"/>
        <v>-864831.65999999992</v>
      </c>
      <c r="I235" s="117">
        <v>-194014.56</v>
      </c>
      <c r="J235" s="117">
        <v>-204029.86</v>
      </c>
      <c r="M235" s="54">
        <v>-1058846.22</v>
      </c>
      <c r="O235" s="196">
        <f t="shared" si="13"/>
        <v>0</v>
      </c>
      <c r="AA235" t="s">
        <v>629</v>
      </c>
      <c r="AB235" t="s">
        <v>1061</v>
      </c>
      <c r="AC235" s="115">
        <v>-204029.86</v>
      </c>
      <c r="AD235" s="115">
        <v>-180980.72</v>
      </c>
      <c r="AE235" s="115">
        <v>-215401.49</v>
      </c>
      <c r="AF235" s="115">
        <v>-264419.59000000003</v>
      </c>
      <c r="AG235" s="115">
        <f t="shared" si="14"/>
        <v>-864831.65999999992</v>
      </c>
      <c r="AI235" s="115">
        <f t="shared" si="15"/>
        <v>0</v>
      </c>
    </row>
    <row r="236" spans="1:35">
      <c r="A236" s="199" t="s">
        <v>631</v>
      </c>
      <c r="B236" s="197" t="s">
        <v>1062</v>
      </c>
      <c r="C236" s="117">
        <v>-44843.75</v>
      </c>
      <c r="D236" s="117">
        <v>-46299.64</v>
      </c>
      <c r="E236" s="129">
        <v>-42809.57</v>
      </c>
      <c r="F236" s="198">
        <v>-98546.240000000005</v>
      </c>
      <c r="G236" s="128">
        <f t="shared" si="12"/>
        <v>-232499.20000000001</v>
      </c>
      <c r="I236" s="117">
        <v>-70108.05</v>
      </c>
      <c r="J236" s="117">
        <v>-44843.75</v>
      </c>
      <c r="M236" s="54">
        <v>-302607.25</v>
      </c>
      <c r="O236" s="196">
        <f t="shared" si="13"/>
        <v>0</v>
      </c>
      <c r="AA236" t="s">
        <v>631</v>
      </c>
      <c r="AB236" t="s">
        <v>1062</v>
      </c>
      <c r="AC236" s="115">
        <v>-44843.75</v>
      </c>
      <c r="AD236" s="115">
        <v>-46299.64</v>
      </c>
      <c r="AE236" s="115">
        <v>-42809.57</v>
      </c>
      <c r="AF236" s="115">
        <v>-98546.240000000005</v>
      </c>
      <c r="AG236" s="115">
        <f t="shared" si="14"/>
        <v>-232499.20000000001</v>
      </c>
      <c r="AI236" s="115">
        <f t="shared" si="15"/>
        <v>0</v>
      </c>
    </row>
    <row r="237" spans="1:35">
      <c r="A237" s="199" t="s">
        <v>633</v>
      </c>
      <c r="B237" s="197" t="s">
        <v>1063</v>
      </c>
      <c r="C237" s="117">
        <v>-24949.21</v>
      </c>
      <c r="D237" s="117">
        <v>-48859.85</v>
      </c>
      <c r="E237" s="129">
        <v>-42066.31</v>
      </c>
      <c r="F237" s="198">
        <v>-37188.5</v>
      </c>
      <c r="G237" s="128">
        <f t="shared" si="12"/>
        <v>-153063.87</v>
      </c>
      <c r="I237" s="117">
        <v>-25799.439999999999</v>
      </c>
      <c r="J237" s="117">
        <v>-24949.21</v>
      </c>
      <c r="M237" s="54">
        <v>-178863.31</v>
      </c>
      <c r="O237" s="196">
        <f t="shared" si="13"/>
        <v>0</v>
      </c>
      <c r="AA237" t="s">
        <v>633</v>
      </c>
      <c r="AB237" t="s">
        <v>1063</v>
      </c>
      <c r="AC237" s="115">
        <v>-24949.21</v>
      </c>
      <c r="AD237" s="115">
        <v>-48859.85</v>
      </c>
      <c r="AE237" s="115">
        <v>-42066.31</v>
      </c>
      <c r="AF237" s="115">
        <v>-37188.5</v>
      </c>
      <c r="AG237" s="115">
        <f t="shared" si="14"/>
        <v>-153063.87</v>
      </c>
      <c r="AI237" s="115">
        <f t="shared" si="15"/>
        <v>0</v>
      </c>
    </row>
    <row r="238" spans="1:35">
      <c r="A238" s="199" t="s">
        <v>635</v>
      </c>
      <c r="B238" s="197" t="s">
        <v>867</v>
      </c>
      <c r="C238" s="117">
        <v>-35812.81</v>
      </c>
      <c r="D238" s="117">
        <v>-41729.11</v>
      </c>
      <c r="E238" s="129">
        <v>-37849.49</v>
      </c>
      <c r="F238" s="198">
        <v>-41796.720000000001</v>
      </c>
      <c r="G238" s="128">
        <f t="shared" si="12"/>
        <v>-157188.13</v>
      </c>
      <c r="I238" s="117">
        <v>-31628.34</v>
      </c>
      <c r="J238" s="117">
        <v>-35812.81</v>
      </c>
      <c r="M238" s="54">
        <v>-188816.47</v>
      </c>
      <c r="O238" s="196">
        <f t="shared" si="13"/>
        <v>0</v>
      </c>
      <c r="AA238" t="s">
        <v>635</v>
      </c>
      <c r="AB238" t="s">
        <v>867</v>
      </c>
      <c r="AC238" s="115">
        <v>-35812.81</v>
      </c>
      <c r="AD238" s="115">
        <v>-41729.11</v>
      </c>
      <c r="AE238" s="115">
        <v>-37849.49</v>
      </c>
      <c r="AF238" s="115">
        <v>-41796.720000000001</v>
      </c>
      <c r="AG238" s="115">
        <f t="shared" si="14"/>
        <v>-157188.13</v>
      </c>
      <c r="AI238" s="115">
        <f t="shared" si="15"/>
        <v>0</v>
      </c>
    </row>
    <row r="239" spans="1:35">
      <c r="A239" s="199" t="s">
        <v>636</v>
      </c>
      <c r="B239" s="197" t="s">
        <v>1064</v>
      </c>
      <c r="C239" s="117">
        <v>-65798.66</v>
      </c>
      <c r="D239" s="117">
        <v>-57297.41</v>
      </c>
      <c r="E239" s="129">
        <v>-39456.080000000002</v>
      </c>
      <c r="F239" s="198">
        <v>-42105.41</v>
      </c>
      <c r="G239" s="128">
        <f t="shared" si="12"/>
        <v>-204657.56000000003</v>
      </c>
      <c r="I239" s="117">
        <v>-43049.77</v>
      </c>
      <c r="J239" s="117">
        <v>-65798.66</v>
      </c>
      <c r="M239" s="54">
        <v>-247707.33</v>
      </c>
      <c r="O239" s="196">
        <f t="shared" si="13"/>
        <v>0</v>
      </c>
      <c r="AA239" t="s">
        <v>636</v>
      </c>
      <c r="AB239" t="s">
        <v>1064</v>
      </c>
      <c r="AC239" s="115">
        <v>-65798.66</v>
      </c>
      <c r="AD239" s="115">
        <v>-57297.41</v>
      </c>
      <c r="AE239" s="115">
        <v>-39456.080000000002</v>
      </c>
      <c r="AF239" s="115">
        <v>-42105.41</v>
      </c>
      <c r="AG239" s="115">
        <f t="shared" si="14"/>
        <v>-204657.56000000003</v>
      </c>
      <c r="AI239" s="115">
        <f t="shared" si="15"/>
        <v>0</v>
      </c>
    </row>
    <row r="240" spans="1:35">
      <c r="A240" s="199" t="s">
        <v>637</v>
      </c>
      <c r="B240" s="197" t="s">
        <v>1065</v>
      </c>
      <c r="C240" s="117">
        <v>-68828.960000000006</v>
      </c>
      <c r="D240" s="117">
        <v>-47066.41</v>
      </c>
      <c r="E240" s="129">
        <v>-168688.91</v>
      </c>
      <c r="F240" s="198">
        <v>184058.72</v>
      </c>
      <c r="G240" s="128">
        <f t="shared" si="12"/>
        <v>-100525.56000000003</v>
      </c>
      <c r="I240" s="117">
        <v>-22796.02</v>
      </c>
      <c r="J240" s="117">
        <v>-68828.960000000006</v>
      </c>
      <c r="M240" s="54">
        <v>-123321.58000000005</v>
      </c>
      <c r="O240" s="196">
        <f t="shared" si="13"/>
        <v>0</v>
      </c>
      <c r="AA240" t="s">
        <v>637</v>
      </c>
      <c r="AB240" t="s">
        <v>1065</v>
      </c>
      <c r="AC240" s="115">
        <v>-68828.960000000006</v>
      </c>
      <c r="AD240" s="115">
        <v>-47066.41</v>
      </c>
      <c r="AE240" s="115">
        <v>-168688.91</v>
      </c>
      <c r="AF240" s="115">
        <v>184058.72</v>
      </c>
      <c r="AG240" s="115">
        <f t="shared" si="14"/>
        <v>-100525.56000000003</v>
      </c>
      <c r="AI240" s="115">
        <f t="shared" si="15"/>
        <v>0</v>
      </c>
    </row>
    <row r="241" spans="1:35">
      <c r="A241" s="199" t="s">
        <v>639</v>
      </c>
      <c r="B241" s="197" t="s">
        <v>1066</v>
      </c>
      <c r="C241" s="117">
        <v>-64467.01</v>
      </c>
      <c r="D241" s="117">
        <v>-60305.65</v>
      </c>
      <c r="E241" s="129">
        <v>-73736.479999999996</v>
      </c>
      <c r="F241" s="198">
        <v>-101000.38</v>
      </c>
      <c r="G241" s="128">
        <f t="shared" si="12"/>
        <v>-299509.52</v>
      </c>
      <c r="I241" s="117">
        <v>-56385.57</v>
      </c>
      <c r="J241" s="117">
        <v>-64467.01</v>
      </c>
      <c r="M241" s="54">
        <v>-355895.09</v>
      </c>
      <c r="O241" s="196">
        <f t="shared" si="13"/>
        <v>0</v>
      </c>
      <c r="AA241" t="s">
        <v>639</v>
      </c>
      <c r="AB241" t="s">
        <v>1066</v>
      </c>
      <c r="AC241" s="115">
        <v>-64467.01</v>
      </c>
      <c r="AD241" s="115">
        <v>-60305.65</v>
      </c>
      <c r="AE241" s="115">
        <v>-73736.479999999996</v>
      </c>
      <c r="AF241" s="115">
        <v>-101000.38</v>
      </c>
      <c r="AG241" s="115">
        <f t="shared" si="14"/>
        <v>-299509.52</v>
      </c>
      <c r="AI241" s="115">
        <f t="shared" si="15"/>
        <v>0</v>
      </c>
    </row>
    <row r="242" spans="1:35">
      <c r="A242" s="199" t="s">
        <v>641</v>
      </c>
      <c r="B242" s="197" t="s">
        <v>1067</v>
      </c>
      <c r="C242" s="117">
        <v>-34826.699999999997</v>
      </c>
      <c r="D242" s="117">
        <v>-18898.53</v>
      </c>
      <c r="E242" s="129">
        <v>-21280.17</v>
      </c>
      <c r="F242" s="198">
        <v>-30077.33</v>
      </c>
      <c r="G242" s="128">
        <f t="shared" si="12"/>
        <v>-105082.73</v>
      </c>
      <c r="I242" s="117">
        <v>-26495.65</v>
      </c>
      <c r="J242" s="117">
        <v>-34826.699999999997</v>
      </c>
      <c r="M242" s="54">
        <v>-131578.38</v>
      </c>
      <c r="O242" s="196">
        <f t="shared" si="13"/>
        <v>0</v>
      </c>
      <c r="AA242" t="s">
        <v>641</v>
      </c>
      <c r="AB242" t="s">
        <v>1067</v>
      </c>
      <c r="AC242" s="115">
        <v>-34826.699999999997</v>
      </c>
      <c r="AD242" s="115">
        <v>-18898.53</v>
      </c>
      <c r="AE242" s="115">
        <v>-21280.17</v>
      </c>
      <c r="AF242" s="115">
        <v>-30077.33</v>
      </c>
      <c r="AG242" s="115">
        <f t="shared" si="14"/>
        <v>-105082.73</v>
      </c>
      <c r="AI242" s="115">
        <f t="shared" si="15"/>
        <v>0</v>
      </c>
    </row>
    <row r="243" spans="1:35">
      <c r="A243" s="199" t="s">
        <v>643</v>
      </c>
      <c r="B243" s="197" t="s">
        <v>1068</v>
      </c>
      <c r="C243" s="117">
        <v>-170678.77</v>
      </c>
      <c r="D243" s="117">
        <v>-169043.5</v>
      </c>
      <c r="E243" s="129">
        <v>-171636.37</v>
      </c>
      <c r="F243" s="198">
        <v>-220854.5</v>
      </c>
      <c r="G243" s="128">
        <f t="shared" si="12"/>
        <v>-732213.14</v>
      </c>
      <c r="I243" s="117">
        <v>-146168.54</v>
      </c>
      <c r="J243" s="117">
        <v>-170678.77</v>
      </c>
      <c r="M243" s="54">
        <v>-878381.67999999993</v>
      </c>
      <c r="O243" s="196">
        <f t="shared" si="13"/>
        <v>0</v>
      </c>
      <c r="AA243" t="s">
        <v>643</v>
      </c>
      <c r="AB243" t="s">
        <v>1068</v>
      </c>
      <c r="AC243" s="115">
        <v>-170678.77</v>
      </c>
      <c r="AD243" s="115">
        <v>-169043.5</v>
      </c>
      <c r="AE243" s="115">
        <v>-171636.37</v>
      </c>
      <c r="AF243" s="115">
        <v>-220854.5</v>
      </c>
      <c r="AG243" s="115">
        <f t="shared" si="14"/>
        <v>-732213.14</v>
      </c>
      <c r="AI243" s="115">
        <f t="shared" si="15"/>
        <v>0</v>
      </c>
    </row>
    <row r="244" spans="1:35">
      <c r="A244" s="199" t="s">
        <v>645</v>
      </c>
      <c r="B244" s="197" t="s">
        <v>1069</v>
      </c>
      <c r="C244" s="115">
        <v>-515066.03</v>
      </c>
      <c r="D244" s="117">
        <v>-129844.15</v>
      </c>
      <c r="E244" s="129">
        <v>-179121.49</v>
      </c>
      <c r="F244" s="198">
        <v>-597854.97</v>
      </c>
      <c r="G244" s="128">
        <f t="shared" si="12"/>
        <v>-1421886.6400000001</v>
      </c>
      <c r="I244" s="117">
        <v>153863.26</v>
      </c>
      <c r="J244" s="117">
        <v>-668929.29</v>
      </c>
      <c r="K244" s="115">
        <v>-515066.03</v>
      </c>
      <c r="M244" s="54">
        <v>-1421886.6400000001</v>
      </c>
      <c r="O244" s="196">
        <f t="shared" si="13"/>
        <v>153863.26</v>
      </c>
      <c r="AA244" t="s">
        <v>645</v>
      </c>
      <c r="AB244" t="s">
        <v>1069</v>
      </c>
      <c r="AC244" s="115">
        <v>-515066.03</v>
      </c>
      <c r="AD244" s="115">
        <v>-129844.15</v>
      </c>
      <c r="AE244" s="115">
        <v>-179121.49</v>
      </c>
      <c r="AF244" s="115">
        <v>-597854.97</v>
      </c>
      <c r="AG244" s="115">
        <f t="shared" si="14"/>
        <v>-1421886.6400000001</v>
      </c>
      <c r="AI244" s="115">
        <f t="shared" si="15"/>
        <v>0</v>
      </c>
    </row>
    <row r="245" spans="1:35">
      <c r="A245" s="199" t="s">
        <v>647</v>
      </c>
      <c r="B245" s="197" t="s">
        <v>1070</v>
      </c>
      <c r="C245" s="117">
        <v>-126861.63</v>
      </c>
      <c r="D245" s="117">
        <v>-240978.43</v>
      </c>
      <c r="E245" s="129">
        <v>-243011.77</v>
      </c>
      <c r="F245" s="198">
        <v>-111390.87</v>
      </c>
      <c r="G245" s="128">
        <f t="shared" si="12"/>
        <v>-722242.7</v>
      </c>
      <c r="I245" s="117">
        <v>-138543.74</v>
      </c>
      <c r="J245" s="117">
        <v>-126861.63</v>
      </c>
      <c r="M245" s="54">
        <v>-860786.44</v>
      </c>
      <c r="O245" s="196">
        <f t="shared" si="13"/>
        <v>0</v>
      </c>
      <c r="AA245" t="s">
        <v>647</v>
      </c>
      <c r="AB245" t="s">
        <v>1070</v>
      </c>
      <c r="AC245" s="115">
        <v>-126861.63</v>
      </c>
      <c r="AD245" s="115">
        <v>-240978.43</v>
      </c>
      <c r="AE245" s="115">
        <v>-243011.77</v>
      </c>
      <c r="AF245" s="115">
        <v>-111390.87</v>
      </c>
      <c r="AG245" s="115">
        <f t="shared" si="14"/>
        <v>-722242.7</v>
      </c>
      <c r="AI245" s="115">
        <f t="shared" si="15"/>
        <v>0</v>
      </c>
    </row>
    <row r="246" spans="1:35">
      <c r="A246" s="199" t="s">
        <v>649</v>
      </c>
      <c r="B246" s="197" t="s">
        <v>1071</v>
      </c>
      <c r="C246" s="117">
        <v>-344764.55</v>
      </c>
      <c r="D246" s="117">
        <v>-319451.61</v>
      </c>
      <c r="E246" s="129">
        <v>-363539.57</v>
      </c>
      <c r="F246" s="198">
        <v>-206569.79</v>
      </c>
      <c r="G246" s="128">
        <f t="shared" si="12"/>
        <v>-1234325.52</v>
      </c>
      <c r="I246" s="117">
        <v>-210516.73</v>
      </c>
      <c r="J246" s="117">
        <v>-344764.55</v>
      </c>
      <c r="M246" s="54">
        <v>-1444842.25</v>
      </c>
      <c r="O246" s="196">
        <f t="shared" si="13"/>
        <v>0</v>
      </c>
      <c r="AA246" t="s">
        <v>649</v>
      </c>
      <c r="AB246" t="s">
        <v>1071</v>
      </c>
      <c r="AC246" s="115">
        <v>-344764.55</v>
      </c>
      <c r="AD246" s="115">
        <v>-319451.61</v>
      </c>
      <c r="AE246" s="115">
        <v>-363539.57</v>
      </c>
      <c r="AF246" s="115">
        <v>-206569.79</v>
      </c>
      <c r="AG246" s="115">
        <f t="shared" si="14"/>
        <v>-1234325.52</v>
      </c>
      <c r="AI246" s="115">
        <f t="shared" si="15"/>
        <v>0</v>
      </c>
    </row>
    <row r="247" spans="1:35">
      <c r="A247" s="199" t="s">
        <v>651</v>
      </c>
      <c r="B247" s="197" t="s">
        <v>1072</v>
      </c>
      <c r="C247" s="117">
        <v>-73347.429999999993</v>
      </c>
      <c r="D247" s="117">
        <v>-100725.81</v>
      </c>
      <c r="E247" s="129">
        <v>-103355.71</v>
      </c>
      <c r="F247" s="198">
        <v>-91106.91</v>
      </c>
      <c r="G247" s="128">
        <f t="shared" si="12"/>
        <v>-368535.86</v>
      </c>
      <c r="I247" s="117">
        <v>-45331.16</v>
      </c>
      <c r="J247" s="117">
        <v>-73347.429999999993</v>
      </c>
      <c r="M247" s="54">
        <v>-413867.02</v>
      </c>
      <c r="O247" s="196">
        <f t="shared" si="13"/>
        <v>0</v>
      </c>
      <c r="AA247" t="s">
        <v>651</v>
      </c>
      <c r="AB247" t="s">
        <v>1072</v>
      </c>
      <c r="AC247" s="115">
        <v>-73347.429999999993</v>
      </c>
      <c r="AD247" s="115">
        <v>-100725.81</v>
      </c>
      <c r="AE247" s="115">
        <v>-103355.71</v>
      </c>
      <c r="AF247" s="115">
        <v>-91106.91</v>
      </c>
      <c r="AG247" s="115">
        <f t="shared" si="14"/>
        <v>-368535.86</v>
      </c>
      <c r="AI247" s="115">
        <f t="shared" si="15"/>
        <v>0</v>
      </c>
    </row>
    <row r="248" spans="1:35">
      <c r="A248" s="199" t="s">
        <v>653</v>
      </c>
      <c r="B248" s="197" t="s">
        <v>1073</v>
      </c>
      <c r="C248" s="117">
        <v>-48204.22</v>
      </c>
      <c r="D248" s="117">
        <v>-33634.25</v>
      </c>
      <c r="E248" s="129">
        <v>-42593.23</v>
      </c>
      <c r="F248" s="198">
        <v>-62832.160000000003</v>
      </c>
      <c r="G248" s="128">
        <f t="shared" si="12"/>
        <v>-187263.86000000002</v>
      </c>
      <c r="I248" s="117">
        <v>-32869.839999999997</v>
      </c>
      <c r="J248" s="117">
        <v>-48204.22</v>
      </c>
      <c r="M248" s="54">
        <v>-220133.7</v>
      </c>
      <c r="O248" s="196">
        <f t="shared" si="13"/>
        <v>0</v>
      </c>
      <c r="AA248" t="s">
        <v>653</v>
      </c>
      <c r="AB248" t="s">
        <v>1073</v>
      </c>
      <c r="AC248" s="115">
        <v>-48204.22</v>
      </c>
      <c r="AD248" s="115">
        <v>-33634.25</v>
      </c>
      <c r="AE248" s="115">
        <v>-42593.23</v>
      </c>
      <c r="AF248" s="115">
        <v>-62832.160000000003</v>
      </c>
      <c r="AG248" s="115">
        <f t="shared" si="14"/>
        <v>-187263.86000000002</v>
      </c>
      <c r="AI248" s="115">
        <f t="shared" si="15"/>
        <v>0</v>
      </c>
    </row>
    <row r="249" spans="1:35">
      <c r="A249" s="199" t="s">
        <v>655</v>
      </c>
      <c r="B249" s="197" t="s">
        <v>1074</v>
      </c>
      <c r="C249" s="117">
        <v>-95656.47</v>
      </c>
      <c r="D249" s="117">
        <v>-55799.95</v>
      </c>
      <c r="E249" s="129">
        <v>-41933.879999999997</v>
      </c>
      <c r="F249" s="198">
        <v>-33223.839999999997</v>
      </c>
      <c r="G249" s="128">
        <f t="shared" si="12"/>
        <v>-226614.13999999998</v>
      </c>
      <c r="I249" s="117">
        <v>-86332.51</v>
      </c>
      <c r="J249" s="117">
        <v>-95656.47</v>
      </c>
      <c r="M249" s="54">
        <v>-312946.65000000002</v>
      </c>
      <c r="O249" s="196">
        <f t="shared" si="13"/>
        <v>0</v>
      </c>
      <c r="AA249" t="s">
        <v>655</v>
      </c>
      <c r="AB249" t="s">
        <v>1074</v>
      </c>
      <c r="AC249" s="115">
        <v>-95656.47</v>
      </c>
      <c r="AD249" s="115">
        <v>-55799.95</v>
      </c>
      <c r="AE249" s="115">
        <v>-41933.879999999997</v>
      </c>
      <c r="AF249" s="115">
        <v>-33223.839999999997</v>
      </c>
      <c r="AG249" s="115">
        <f t="shared" si="14"/>
        <v>-226614.13999999998</v>
      </c>
      <c r="AI249" s="115">
        <f t="shared" si="15"/>
        <v>0</v>
      </c>
    </row>
    <row r="250" spans="1:35">
      <c r="A250" s="199" t="s">
        <v>657</v>
      </c>
      <c r="B250" s="197" t="s">
        <v>1075</v>
      </c>
      <c r="C250" s="117">
        <v>-119738.61</v>
      </c>
      <c r="D250" s="117">
        <v>-147595.94</v>
      </c>
      <c r="E250" s="129">
        <v>-246076.99</v>
      </c>
      <c r="F250" s="198">
        <v>-170715.22</v>
      </c>
      <c r="G250" s="128">
        <f t="shared" si="12"/>
        <v>-684126.76</v>
      </c>
      <c r="I250" s="117">
        <v>-112274.55</v>
      </c>
      <c r="J250" s="117">
        <v>-119738.61</v>
      </c>
      <c r="M250" s="54">
        <v>-796401.30999999994</v>
      </c>
      <c r="O250" s="196">
        <f t="shared" si="13"/>
        <v>0</v>
      </c>
      <c r="AA250" t="s">
        <v>657</v>
      </c>
      <c r="AB250" t="s">
        <v>1075</v>
      </c>
      <c r="AC250" s="115">
        <v>-119738.61</v>
      </c>
      <c r="AD250" s="115">
        <v>-147595.94</v>
      </c>
      <c r="AE250" s="115">
        <v>-246076.99</v>
      </c>
      <c r="AF250" s="115">
        <v>-170715.22</v>
      </c>
      <c r="AG250" s="115">
        <f t="shared" si="14"/>
        <v>-684126.76</v>
      </c>
      <c r="AI250" s="115">
        <f t="shared" si="15"/>
        <v>0</v>
      </c>
    </row>
    <row r="251" spans="1:35">
      <c r="A251" s="199" t="s">
        <v>659</v>
      </c>
      <c r="B251" s="197" t="s">
        <v>1076</v>
      </c>
      <c r="C251" s="117">
        <v>-87583.11</v>
      </c>
      <c r="D251" s="117">
        <v>-52906.31</v>
      </c>
      <c r="E251" s="129">
        <v>-66101.63</v>
      </c>
      <c r="F251" s="198">
        <v>-75510.850000000006</v>
      </c>
      <c r="G251" s="128">
        <f t="shared" si="12"/>
        <v>-282101.90000000002</v>
      </c>
      <c r="I251" s="117">
        <v>-82549.31</v>
      </c>
      <c r="J251" s="117">
        <v>-87583.11</v>
      </c>
      <c r="M251" s="54">
        <v>-364651.20999999996</v>
      </c>
      <c r="O251" s="196">
        <f t="shared" si="13"/>
        <v>0</v>
      </c>
      <c r="AA251" t="s">
        <v>659</v>
      </c>
      <c r="AB251" t="s">
        <v>1076</v>
      </c>
      <c r="AC251" s="115">
        <v>-87583.11</v>
      </c>
      <c r="AD251" s="115">
        <v>-52906.31</v>
      </c>
      <c r="AE251" s="115">
        <v>-66101.63</v>
      </c>
      <c r="AF251" s="115">
        <v>-75510.850000000006</v>
      </c>
      <c r="AG251" s="115">
        <f t="shared" si="14"/>
        <v>-282101.90000000002</v>
      </c>
      <c r="AI251" s="115">
        <f t="shared" si="15"/>
        <v>0</v>
      </c>
    </row>
    <row r="252" spans="1:35">
      <c r="A252" s="199" t="s">
        <v>661</v>
      </c>
      <c r="B252" s="197" t="s">
        <v>1077</v>
      </c>
      <c r="C252" s="117">
        <v>-54582.080000000002</v>
      </c>
      <c r="D252" s="117">
        <v>-45764.23</v>
      </c>
      <c r="E252" s="129">
        <v>-53993.88</v>
      </c>
      <c r="F252" s="198">
        <v>-57359.13</v>
      </c>
      <c r="G252" s="128">
        <f t="shared" si="12"/>
        <v>-211699.32</v>
      </c>
      <c r="I252" s="117">
        <v>-46867.03</v>
      </c>
      <c r="J252" s="117">
        <v>-54582.080000000002</v>
      </c>
      <c r="M252" s="54">
        <v>-258566.35</v>
      </c>
      <c r="O252" s="196">
        <f t="shared" si="13"/>
        <v>0</v>
      </c>
      <c r="AA252" t="s">
        <v>661</v>
      </c>
      <c r="AB252" t="s">
        <v>1077</v>
      </c>
      <c r="AC252" s="115">
        <v>-54582.080000000002</v>
      </c>
      <c r="AD252" s="115">
        <v>-45764.23</v>
      </c>
      <c r="AE252" s="115">
        <v>-53993.88</v>
      </c>
      <c r="AF252" s="115">
        <v>-57359.13</v>
      </c>
      <c r="AG252" s="115">
        <f t="shared" si="14"/>
        <v>-211699.32</v>
      </c>
      <c r="AI252" s="115">
        <f t="shared" si="15"/>
        <v>0</v>
      </c>
    </row>
    <row r="253" spans="1:35">
      <c r="A253" s="199" t="s">
        <v>663</v>
      </c>
      <c r="B253" s="197" t="s">
        <v>1078</v>
      </c>
      <c r="C253" s="117">
        <v>-371749.03</v>
      </c>
      <c r="D253" s="117">
        <v>-191110.23</v>
      </c>
      <c r="E253" s="129">
        <v>-289139.84999999998</v>
      </c>
      <c r="F253" s="198">
        <v>-456615.36</v>
      </c>
      <c r="G253" s="128">
        <f t="shared" si="12"/>
        <v>-1308614.47</v>
      </c>
      <c r="I253" s="117">
        <v>-119501.34000000001</v>
      </c>
      <c r="J253" s="117">
        <v>-371749.03</v>
      </c>
      <c r="M253" s="54">
        <v>-1428115.81</v>
      </c>
      <c r="O253" s="196">
        <f t="shared" si="13"/>
        <v>0</v>
      </c>
      <c r="AA253" t="s">
        <v>663</v>
      </c>
      <c r="AB253" t="s">
        <v>1078</v>
      </c>
      <c r="AC253" s="115">
        <v>-371749.03</v>
      </c>
      <c r="AD253" s="115">
        <v>-191110.23</v>
      </c>
      <c r="AE253" s="115">
        <v>-289139.84999999998</v>
      </c>
      <c r="AF253" s="115">
        <v>-456615.36</v>
      </c>
      <c r="AG253" s="115">
        <f t="shared" si="14"/>
        <v>-1308614.47</v>
      </c>
      <c r="AI253" s="115">
        <f t="shared" si="15"/>
        <v>0</v>
      </c>
    </row>
    <row r="254" spans="1:35">
      <c r="A254" s="199" t="s">
        <v>665</v>
      </c>
      <c r="B254" s="197" t="s">
        <v>1079</v>
      </c>
      <c r="C254" s="115">
        <v>22229.549999999996</v>
      </c>
      <c r="D254" s="117">
        <v>-24476.080000000002</v>
      </c>
      <c r="E254" s="129">
        <v>-33637.68</v>
      </c>
      <c r="F254" s="198">
        <v>-33315.68</v>
      </c>
      <c r="G254" s="128">
        <f t="shared" si="12"/>
        <v>-69199.890000000014</v>
      </c>
      <c r="I254" s="117">
        <v>49669.439999999995</v>
      </c>
      <c r="J254" s="117">
        <v>-27439.89</v>
      </c>
      <c r="K254" s="115">
        <v>22229.549999999996</v>
      </c>
      <c r="M254" s="54">
        <v>-69199.890000000014</v>
      </c>
      <c r="O254" s="196">
        <f t="shared" si="13"/>
        <v>49669.439999999995</v>
      </c>
      <c r="AA254" t="s">
        <v>665</v>
      </c>
      <c r="AB254" t="s">
        <v>1079</v>
      </c>
      <c r="AC254" s="115">
        <v>22229.55</v>
      </c>
      <c r="AD254" s="115">
        <v>-24476.080000000002</v>
      </c>
      <c r="AE254" s="115">
        <v>-33637.68</v>
      </c>
      <c r="AF254" s="115">
        <v>-33315.68</v>
      </c>
      <c r="AG254" s="115">
        <f t="shared" si="14"/>
        <v>-69199.890000000014</v>
      </c>
      <c r="AI254" s="115">
        <f t="shared" si="15"/>
        <v>0</v>
      </c>
    </row>
    <row r="255" spans="1:35">
      <c r="A255" s="199" t="s">
        <v>667</v>
      </c>
      <c r="B255" s="197" t="s">
        <v>1080</v>
      </c>
      <c r="C255" s="117">
        <v>-95802.880000000005</v>
      </c>
      <c r="D255" s="117">
        <v>-103000.06</v>
      </c>
      <c r="E255" s="129">
        <v>-118434.63</v>
      </c>
      <c r="F255" s="198">
        <v>-110570.92</v>
      </c>
      <c r="G255" s="128">
        <f t="shared" si="12"/>
        <v>-427808.49</v>
      </c>
      <c r="I255" s="117">
        <v>-89506.11</v>
      </c>
      <c r="J255" s="117">
        <v>-95802.880000000005</v>
      </c>
      <c r="M255" s="54">
        <v>-517314.6</v>
      </c>
      <c r="O255" s="196">
        <f t="shared" si="13"/>
        <v>0</v>
      </c>
      <c r="AA255" t="s">
        <v>667</v>
      </c>
      <c r="AB255" t="s">
        <v>1080</v>
      </c>
      <c r="AC255" s="115">
        <v>-95802.880000000005</v>
      </c>
      <c r="AD255" s="115">
        <v>-103000.06</v>
      </c>
      <c r="AE255" s="115">
        <v>-118434.63</v>
      </c>
      <c r="AF255" s="115">
        <v>-110570.92</v>
      </c>
      <c r="AG255" s="115">
        <f t="shared" si="14"/>
        <v>-427808.49</v>
      </c>
      <c r="AI255" s="115">
        <f t="shared" si="15"/>
        <v>0</v>
      </c>
    </row>
    <row r="256" spans="1:35">
      <c r="A256" s="199" t="s">
        <v>669</v>
      </c>
      <c r="B256" s="197" t="s">
        <v>1064</v>
      </c>
      <c r="C256" s="117">
        <v>-92857.53</v>
      </c>
      <c r="D256" s="117">
        <v>-89959.51</v>
      </c>
      <c r="E256" s="129">
        <v>-113207.51</v>
      </c>
      <c r="F256" s="198">
        <v>-130766.49</v>
      </c>
      <c r="G256" s="128">
        <f t="shared" si="12"/>
        <v>-426791.04</v>
      </c>
      <c r="I256" s="117">
        <v>-83560.12</v>
      </c>
      <c r="J256" s="117">
        <v>-92857.53</v>
      </c>
      <c r="M256" s="54">
        <v>-510351.16</v>
      </c>
      <c r="O256" s="196">
        <f t="shared" si="13"/>
        <v>0</v>
      </c>
      <c r="AA256" t="s">
        <v>669</v>
      </c>
      <c r="AB256" t="s">
        <v>1064</v>
      </c>
      <c r="AC256" s="115">
        <v>-92857.53</v>
      </c>
      <c r="AD256" s="115">
        <v>-89959.51</v>
      </c>
      <c r="AE256" s="115">
        <v>-113207.51</v>
      </c>
      <c r="AF256" s="115">
        <v>-130766.49</v>
      </c>
      <c r="AG256" s="115">
        <f t="shared" si="14"/>
        <v>-426791.04</v>
      </c>
      <c r="AI256" s="115">
        <f t="shared" si="15"/>
        <v>0</v>
      </c>
    </row>
    <row r="257" spans="1:35">
      <c r="A257" s="199" t="s">
        <v>670</v>
      </c>
      <c r="B257" s="197" t="s">
        <v>1081</v>
      </c>
      <c r="C257" s="117">
        <v>-55459.79</v>
      </c>
      <c r="D257" s="117">
        <v>-65905.02</v>
      </c>
      <c r="E257" s="129">
        <v>-92209.7</v>
      </c>
      <c r="F257" s="198">
        <v>-94406.56</v>
      </c>
      <c r="G257" s="128">
        <f t="shared" si="12"/>
        <v>-307981.07</v>
      </c>
      <c r="I257" s="117">
        <v>-53477.9</v>
      </c>
      <c r="J257" s="117">
        <v>-55459.79</v>
      </c>
      <c r="M257" s="54">
        <v>-361458.97000000003</v>
      </c>
      <c r="O257" s="196">
        <f t="shared" si="13"/>
        <v>0</v>
      </c>
      <c r="AA257" t="s">
        <v>670</v>
      </c>
      <c r="AB257" t="s">
        <v>1081</v>
      </c>
      <c r="AC257" s="115">
        <v>-55459.79</v>
      </c>
      <c r="AD257" s="115">
        <v>-65905.02</v>
      </c>
      <c r="AE257" s="115">
        <v>-92209.7</v>
      </c>
      <c r="AF257" s="115">
        <v>-94406.56</v>
      </c>
      <c r="AG257" s="115">
        <f t="shared" si="14"/>
        <v>-307981.07</v>
      </c>
      <c r="AI257" s="115">
        <f t="shared" si="15"/>
        <v>0</v>
      </c>
    </row>
    <row r="258" spans="1:35">
      <c r="A258" s="199" t="s">
        <v>672</v>
      </c>
      <c r="B258" s="197" t="s">
        <v>1082</v>
      </c>
      <c r="C258" s="117">
        <v>-82588.94</v>
      </c>
      <c r="D258" s="117">
        <v>-111065.8</v>
      </c>
      <c r="E258" s="129">
        <v>-122792.22</v>
      </c>
      <c r="F258" s="198">
        <v>-127820.29</v>
      </c>
      <c r="G258" s="128">
        <f t="shared" si="12"/>
        <v>-444267.24999999994</v>
      </c>
      <c r="I258" s="117">
        <v>-88564.35</v>
      </c>
      <c r="J258" s="117">
        <v>-82588.94</v>
      </c>
      <c r="M258" s="54">
        <v>-532831.60000000009</v>
      </c>
      <c r="O258" s="196">
        <f t="shared" si="13"/>
        <v>0</v>
      </c>
      <c r="AA258" t="s">
        <v>672</v>
      </c>
      <c r="AB258" t="s">
        <v>1082</v>
      </c>
      <c r="AC258" s="115">
        <v>-82588.94</v>
      </c>
      <c r="AD258" s="115">
        <v>-111065.8</v>
      </c>
      <c r="AE258" s="115">
        <v>-122792.22</v>
      </c>
      <c r="AF258" s="115">
        <v>-127820.29</v>
      </c>
      <c r="AG258" s="115">
        <f t="shared" si="14"/>
        <v>-444267.24999999994</v>
      </c>
      <c r="AI258" s="115">
        <f t="shared" si="15"/>
        <v>0</v>
      </c>
    </row>
    <row r="259" spans="1:35">
      <c r="A259" s="199" t="s">
        <v>674</v>
      </c>
      <c r="B259" s="197" t="s">
        <v>1083</v>
      </c>
      <c r="C259" s="117">
        <v>-568719.85</v>
      </c>
      <c r="D259" s="117">
        <v>-782707.61</v>
      </c>
      <c r="E259" s="129">
        <v>-948756.13</v>
      </c>
      <c r="F259" s="198">
        <v>-573001.59</v>
      </c>
      <c r="G259" s="128">
        <f t="shared" ref="G259:G291" si="16">SUM(C259:F259)</f>
        <v>-2873185.1799999997</v>
      </c>
      <c r="I259" s="117">
        <v>-366148.71</v>
      </c>
      <c r="J259" s="117">
        <v>-568719.85</v>
      </c>
      <c r="M259" s="54">
        <v>-3239333.8899999997</v>
      </c>
      <c r="O259" s="196">
        <f t="shared" si="13"/>
        <v>0</v>
      </c>
      <c r="AA259" t="s">
        <v>674</v>
      </c>
      <c r="AB259" t="s">
        <v>1083</v>
      </c>
      <c r="AC259" s="115">
        <v>-568719.85</v>
      </c>
      <c r="AD259" s="115">
        <v>-782707.61</v>
      </c>
      <c r="AE259" s="115">
        <v>-948756.13</v>
      </c>
      <c r="AF259" s="115">
        <v>-573001.59</v>
      </c>
      <c r="AG259" s="115">
        <f t="shared" si="14"/>
        <v>-2873185.1799999997</v>
      </c>
      <c r="AI259" s="115">
        <f t="shared" si="15"/>
        <v>0</v>
      </c>
    </row>
    <row r="260" spans="1:35">
      <c r="A260" s="199" t="s">
        <v>676</v>
      </c>
      <c r="B260" s="197" t="s">
        <v>1084</v>
      </c>
      <c r="C260" s="117">
        <v>-305206.57</v>
      </c>
      <c r="D260" s="117">
        <v>-259270.82</v>
      </c>
      <c r="E260" s="129">
        <v>-344842.95</v>
      </c>
      <c r="F260" s="198">
        <v>-391274.93</v>
      </c>
      <c r="G260" s="128">
        <f t="shared" si="16"/>
        <v>-1300595.27</v>
      </c>
      <c r="I260" s="117">
        <v>-318112.13</v>
      </c>
      <c r="J260" s="117">
        <v>-305206.57</v>
      </c>
      <c r="M260" s="54">
        <v>-1618707.4</v>
      </c>
      <c r="O260" s="196">
        <f t="shared" ref="O260:O291" si="17">+G260+I260-M260</f>
        <v>0</v>
      </c>
      <c r="AA260" t="s">
        <v>676</v>
      </c>
      <c r="AB260" t="s">
        <v>1084</v>
      </c>
      <c r="AC260" s="115">
        <v>-305206.57</v>
      </c>
      <c r="AD260" s="115">
        <v>-259270.82</v>
      </c>
      <c r="AE260" s="115">
        <v>-344842.95</v>
      </c>
      <c r="AF260" s="115">
        <v>-391274.93</v>
      </c>
      <c r="AG260" s="115">
        <f t="shared" ref="AG260:AG291" si="18">SUM(AC260:AF260)</f>
        <v>-1300595.27</v>
      </c>
      <c r="AI260" s="115">
        <f t="shared" ref="AI260:AI291" si="19">+AG260-G260</f>
        <v>0</v>
      </c>
    </row>
    <row r="261" spans="1:35">
      <c r="A261" s="199" t="s">
        <v>678</v>
      </c>
      <c r="B261" s="197" t="s">
        <v>1085</v>
      </c>
      <c r="C261" s="117">
        <v>-66029.66</v>
      </c>
      <c r="D261" s="117">
        <v>-23572.79</v>
      </c>
      <c r="E261" s="129">
        <v>-107907.89</v>
      </c>
      <c r="F261" s="198">
        <v>-132121.22</v>
      </c>
      <c r="G261" s="128">
        <f t="shared" si="16"/>
        <v>-329631.56000000006</v>
      </c>
      <c r="I261" s="117">
        <v>-45410.66</v>
      </c>
      <c r="J261" s="117">
        <v>-66029.66</v>
      </c>
      <c r="M261" s="54">
        <v>-375042.22</v>
      </c>
      <c r="O261" s="196">
        <f t="shared" si="17"/>
        <v>0</v>
      </c>
      <c r="AA261" t="s">
        <v>678</v>
      </c>
      <c r="AB261" t="s">
        <v>1085</v>
      </c>
      <c r="AC261" s="115">
        <v>-66029.66</v>
      </c>
      <c r="AD261" s="115">
        <v>-23572.79</v>
      </c>
      <c r="AE261" s="115">
        <v>-107907.89</v>
      </c>
      <c r="AF261" s="115">
        <v>-132121.22</v>
      </c>
      <c r="AG261" s="115">
        <f t="shared" si="18"/>
        <v>-329631.56000000006</v>
      </c>
      <c r="AI261" s="115">
        <f t="shared" si="19"/>
        <v>0</v>
      </c>
    </row>
    <row r="262" spans="1:35">
      <c r="A262" s="199" t="s">
        <v>680</v>
      </c>
      <c r="B262" s="197" t="s">
        <v>1086</v>
      </c>
      <c r="C262" s="115">
        <v>82005.22</v>
      </c>
      <c r="D262" s="117">
        <v>41450</v>
      </c>
      <c r="E262" s="129">
        <v>21900.87</v>
      </c>
      <c r="F262" s="198">
        <v>-56447.58</v>
      </c>
      <c r="G262" s="128">
        <f t="shared" si="16"/>
        <v>88908.51</v>
      </c>
      <c r="I262" s="117">
        <v>92322.2</v>
      </c>
      <c r="J262" s="117">
        <v>-10316.98</v>
      </c>
      <c r="K262" s="115">
        <v>82005.22</v>
      </c>
      <c r="M262" s="54">
        <v>88908.51</v>
      </c>
      <c r="O262" s="196">
        <f t="shared" si="17"/>
        <v>92322.2</v>
      </c>
      <c r="AA262" t="s">
        <v>680</v>
      </c>
      <c r="AB262" t="s">
        <v>1086</v>
      </c>
      <c r="AC262" s="115">
        <v>82005.22</v>
      </c>
      <c r="AD262" s="115">
        <v>41450</v>
      </c>
      <c r="AE262" s="115">
        <v>21900.87</v>
      </c>
      <c r="AF262" s="115">
        <v>-56447.58</v>
      </c>
      <c r="AG262" s="115">
        <f t="shared" si="18"/>
        <v>88908.51</v>
      </c>
      <c r="AI262" s="115">
        <f t="shared" si="19"/>
        <v>0</v>
      </c>
    </row>
    <row r="263" spans="1:35">
      <c r="A263" s="199" t="s">
        <v>682</v>
      </c>
      <c r="B263" s="197" t="s">
        <v>1087</v>
      </c>
      <c r="C263" s="117">
        <v>-79411.73</v>
      </c>
      <c r="D263" s="117">
        <v>-1224.24</v>
      </c>
      <c r="E263" s="129">
        <v>6971.53</v>
      </c>
      <c r="F263" s="198">
        <v>-1635.2</v>
      </c>
      <c r="G263" s="128">
        <f t="shared" si="16"/>
        <v>-75299.64</v>
      </c>
      <c r="I263" s="117">
        <v>-32039.62</v>
      </c>
      <c r="J263" s="117">
        <v>-79411.73</v>
      </c>
      <c r="M263" s="54">
        <v>-107339.26</v>
      </c>
      <c r="O263" s="196">
        <f t="shared" si="17"/>
        <v>0</v>
      </c>
      <c r="AA263" t="s">
        <v>682</v>
      </c>
      <c r="AB263" t="s">
        <v>1087</v>
      </c>
      <c r="AC263" s="115">
        <v>-79411.73</v>
      </c>
      <c r="AD263" s="115">
        <v>-1224.24</v>
      </c>
      <c r="AE263" s="115">
        <v>6971.53</v>
      </c>
      <c r="AF263" s="115">
        <v>-1635.2</v>
      </c>
      <c r="AG263" s="115">
        <f t="shared" si="18"/>
        <v>-75299.64</v>
      </c>
      <c r="AI263" s="115">
        <f t="shared" si="19"/>
        <v>0</v>
      </c>
    </row>
    <row r="264" spans="1:35">
      <c r="A264" s="199" t="s">
        <v>684</v>
      </c>
      <c r="B264" s="197" t="s">
        <v>1088</v>
      </c>
      <c r="C264" s="115">
        <v>-58295.360000000001</v>
      </c>
      <c r="D264" s="117">
        <v>-50949.1</v>
      </c>
      <c r="E264" s="129">
        <v>-54277.61</v>
      </c>
      <c r="F264" s="198">
        <v>-56802.58</v>
      </c>
      <c r="G264" s="128">
        <f t="shared" si="16"/>
        <v>-220324.65000000002</v>
      </c>
      <c r="I264" s="117">
        <v>18314.2</v>
      </c>
      <c r="J264" s="117">
        <v>-76609.56</v>
      </c>
      <c r="K264" s="115">
        <v>-58295.360000000001</v>
      </c>
      <c r="M264" s="54">
        <v>-220324.65000000002</v>
      </c>
      <c r="O264" s="196">
        <f t="shared" si="17"/>
        <v>18314.200000000012</v>
      </c>
      <c r="AA264" t="s">
        <v>684</v>
      </c>
      <c r="AB264" t="s">
        <v>1088</v>
      </c>
      <c r="AC264" s="115">
        <v>-58295.360000000001</v>
      </c>
      <c r="AD264" s="115">
        <v>-50949.1</v>
      </c>
      <c r="AE264" s="115">
        <v>-54277.61</v>
      </c>
      <c r="AF264" s="115">
        <v>-56802.58</v>
      </c>
      <c r="AG264" s="115">
        <f t="shared" si="18"/>
        <v>-220324.65000000002</v>
      </c>
      <c r="AI264" s="115">
        <f t="shared" si="19"/>
        <v>0</v>
      </c>
    </row>
    <row r="265" spans="1:35">
      <c r="A265" s="199" t="s">
        <v>686</v>
      </c>
      <c r="B265" s="197" t="s">
        <v>1089</v>
      </c>
      <c r="C265" s="117">
        <v>-56550.27</v>
      </c>
      <c r="D265" s="117">
        <v>-17495.38</v>
      </c>
      <c r="E265" s="129">
        <v>-99396.36</v>
      </c>
      <c r="F265" s="198">
        <v>-56712.22</v>
      </c>
      <c r="G265" s="128">
        <f t="shared" si="16"/>
        <v>-230154.23</v>
      </c>
      <c r="I265" s="117">
        <v>-31543.16</v>
      </c>
      <c r="J265" s="117">
        <v>-56550.27</v>
      </c>
      <c r="M265" s="54">
        <v>-261697.38999999998</v>
      </c>
      <c r="O265" s="196">
        <f t="shared" si="17"/>
        <v>0</v>
      </c>
      <c r="AA265" t="s">
        <v>686</v>
      </c>
      <c r="AB265" t="s">
        <v>1089</v>
      </c>
      <c r="AC265" s="115">
        <v>-56550.27</v>
      </c>
      <c r="AD265" s="115">
        <v>-17495.38</v>
      </c>
      <c r="AE265" s="115">
        <v>-99396.36</v>
      </c>
      <c r="AF265" s="115">
        <v>-56712.22</v>
      </c>
      <c r="AG265" s="115">
        <f t="shared" si="18"/>
        <v>-230154.23</v>
      </c>
      <c r="AI265" s="115">
        <f t="shared" si="19"/>
        <v>0</v>
      </c>
    </row>
    <row r="266" spans="1:35">
      <c r="A266" s="200" t="s">
        <v>1240</v>
      </c>
      <c r="B266" s="203" t="s">
        <v>1669</v>
      </c>
      <c r="C266" s="117"/>
      <c r="D266" s="117"/>
      <c r="E266" s="129"/>
      <c r="F266" s="204">
        <v>-39909.19</v>
      </c>
      <c r="G266" s="128">
        <f t="shared" si="16"/>
        <v>-39909.19</v>
      </c>
      <c r="I266" s="117"/>
      <c r="J266" s="117"/>
      <c r="M266" s="54">
        <v>-39909.19</v>
      </c>
      <c r="O266" s="196">
        <f t="shared" si="17"/>
        <v>0</v>
      </c>
      <c r="AA266" t="s">
        <v>1240</v>
      </c>
      <c r="AB266" t="s">
        <v>1669</v>
      </c>
      <c r="AC266" s="115"/>
      <c r="AD266" s="115"/>
      <c r="AE266" s="115"/>
      <c r="AF266" s="115">
        <v>-39909.19</v>
      </c>
      <c r="AG266" s="115">
        <f t="shared" si="18"/>
        <v>-39909.19</v>
      </c>
      <c r="AI266" s="115">
        <f t="shared" si="19"/>
        <v>0</v>
      </c>
    </row>
    <row r="267" spans="1:35">
      <c r="A267" s="199" t="s">
        <v>690</v>
      </c>
      <c r="B267" s="197" t="s">
        <v>1091</v>
      </c>
      <c r="C267" s="117">
        <v>-27804.81</v>
      </c>
      <c r="D267" s="117">
        <v>-14740.08</v>
      </c>
      <c r="E267" s="129">
        <v>-20349.560000000001</v>
      </c>
      <c r="F267" s="198">
        <v>-21603.38</v>
      </c>
      <c r="G267" s="128">
        <f t="shared" si="16"/>
        <v>-84497.83</v>
      </c>
      <c r="I267" s="117">
        <v>-25934.04</v>
      </c>
      <c r="J267" s="117">
        <v>-27804.81</v>
      </c>
      <c r="M267" s="54">
        <v>-110431.87000000001</v>
      </c>
      <c r="O267" s="196">
        <f t="shared" si="17"/>
        <v>0</v>
      </c>
      <c r="AA267" t="s">
        <v>690</v>
      </c>
      <c r="AB267" t="s">
        <v>1091</v>
      </c>
      <c r="AC267" s="115">
        <v>-27804.81</v>
      </c>
      <c r="AD267" s="115">
        <v>-14740.08</v>
      </c>
      <c r="AE267" s="115">
        <v>-20349.560000000001</v>
      </c>
      <c r="AF267" s="115">
        <v>-21603.38</v>
      </c>
      <c r="AG267" s="115">
        <f t="shared" si="18"/>
        <v>-84497.83</v>
      </c>
      <c r="AI267" s="115">
        <f t="shared" si="19"/>
        <v>0</v>
      </c>
    </row>
    <row r="268" spans="1:35">
      <c r="A268" s="199" t="s">
        <v>692</v>
      </c>
      <c r="B268" s="197" t="s">
        <v>1092</v>
      </c>
      <c r="C268" s="117">
        <v>-18392.23</v>
      </c>
      <c r="D268" s="117">
        <v>-26666.65</v>
      </c>
      <c r="E268" s="129">
        <v>-23061.95</v>
      </c>
      <c r="F268" s="198">
        <v>-76455.929999999993</v>
      </c>
      <c r="G268" s="128">
        <f t="shared" si="16"/>
        <v>-144576.76</v>
      </c>
      <c r="I268" s="117">
        <v>-12552.47</v>
      </c>
      <c r="J268" s="117">
        <v>-18392.23</v>
      </c>
      <c r="M268" s="54">
        <v>-157129.22999999998</v>
      </c>
      <c r="O268" s="196">
        <f t="shared" si="17"/>
        <v>0</v>
      </c>
      <c r="AA268" t="s">
        <v>692</v>
      </c>
      <c r="AB268" t="s">
        <v>1092</v>
      </c>
      <c r="AC268" s="115">
        <v>-18392.23</v>
      </c>
      <c r="AD268" s="115">
        <v>-26666.65</v>
      </c>
      <c r="AE268" s="115">
        <v>-23061.95</v>
      </c>
      <c r="AF268" s="115">
        <v>-76455.929999999993</v>
      </c>
      <c r="AG268" s="115">
        <f t="shared" si="18"/>
        <v>-144576.76</v>
      </c>
      <c r="AI268" s="115">
        <f t="shared" si="19"/>
        <v>0</v>
      </c>
    </row>
    <row r="269" spans="1:35">
      <c r="A269" s="199" t="s">
        <v>694</v>
      </c>
      <c r="B269" s="197" t="s">
        <v>1093</v>
      </c>
      <c r="C269" s="117">
        <v>-69806.490000000005</v>
      </c>
      <c r="D269" s="117">
        <v>-28458.71</v>
      </c>
      <c r="E269" s="129">
        <v>-65464.46</v>
      </c>
      <c r="F269" s="198">
        <v>-20176.310000000001</v>
      </c>
      <c r="G269" s="128">
        <f t="shared" si="16"/>
        <v>-183905.97</v>
      </c>
      <c r="I269" s="117">
        <v>-57578.85</v>
      </c>
      <c r="J269" s="117">
        <v>-69806.490000000005</v>
      </c>
      <c r="M269" s="54">
        <v>-241484.81999999998</v>
      </c>
      <c r="O269" s="196">
        <f t="shared" si="17"/>
        <v>0</v>
      </c>
      <c r="AA269" t="s">
        <v>694</v>
      </c>
      <c r="AB269" t="s">
        <v>1093</v>
      </c>
      <c r="AC269" s="115">
        <v>-69806.490000000005</v>
      </c>
      <c r="AD269" s="115">
        <v>-28458.71</v>
      </c>
      <c r="AE269" s="115">
        <v>-65464.46</v>
      </c>
      <c r="AF269" s="115">
        <v>-20176.310000000001</v>
      </c>
      <c r="AG269" s="115">
        <f t="shared" si="18"/>
        <v>-183905.97</v>
      </c>
      <c r="AI269" s="115">
        <f t="shared" si="19"/>
        <v>0</v>
      </c>
    </row>
    <row r="270" spans="1:35">
      <c r="A270" s="199" t="s">
        <v>696</v>
      </c>
      <c r="B270" s="197" t="s">
        <v>1094</v>
      </c>
      <c r="C270" s="117">
        <v>-6396.6</v>
      </c>
      <c r="D270" s="117">
        <v>-21305.48</v>
      </c>
      <c r="E270" s="129">
        <v>-67750.240000000005</v>
      </c>
      <c r="F270" s="198">
        <v>-25197.09</v>
      </c>
      <c r="G270" s="128">
        <f t="shared" si="16"/>
        <v>-120649.41</v>
      </c>
      <c r="I270" s="117">
        <v>-26876.65</v>
      </c>
      <c r="J270" s="117">
        <v>-6396.6</v>
      </c>
      <c r="M270" s="54">
        <v>-147526.06</v>
      </c>
      <c r="O270" s="196">
        <f t="shared" si="17"/>
        <v>0</v>
      </c>
      <c r="AA270" t="s">
        <v>696</v>
      </c>
      <c r="AB270" t="s">
        <v>1094</v>
      </c>
      <c r="AC270" s="115">
        <v>-6396.6</v>
      </c>
      <c r="AD270" s="115">
        <v>-21305.48</v>
      </c>
      <c r="AE270" s="115">
        <v>-67750.240000000005</v>
      </c>
      <c r="AF270" s="115">
        <v>-25197.09</v>
      </c>
      <c r="AG270" s="115">
        <f t="shared" si="18"/>
        <v>-120649.41</v>
      </c>
      <c r="AI270" s="115">
        <f t="shared" si="19"/>
        <v>0</v>
      </c>
    </row>
    <row r="271" spans="1:35">
      <c r="A271" s="199" t="s">
        <v>698</v>
      </c>
      <c r="B271" s="197" t="s">
        <v>699</v>
      </c>
      <c r="C271" s="117">
        <v>-24472.7</v>
      </c>
      <c r="D271" s="117">
        <v>-21184.11</v>
      </c>
      <c r="E271" s="129">
        <v>-30830.42</v>
      </c>
      <c r="F271" s="198">
        <v>-35964.61</v>
      </c>
      <c r="G271" s="128">
        <f t="shared" si="16"/>
        <v>-112451.84</v>
      </c>
      <c r="I271" s="117">
        <v>-22002.46</v>
      </c>
      <c r="J271" s="117">
        <v>-24472.7</v>
      </c>
      <c r="M271" s="54">
        <v>-134454.29999999999</v>
      </c>
      <c r="O271" s="196">
        <f t="shared" si="17"/>
        <v>0</v>
      </c>
      <c r="AA271" t="s">
        <v>698</v>
      </c>
      <c r="AB271" t="s">
        <v>699</v>
      </c>
      <c r="AC271" s="115">
        <v>-24472.7</v>
      </c>
      <c r="AD271" s="115">
        <v>-21184.11</v>
      </c>
      <c r="AE271" s="115">
        <v>-30830.42</v>
      </c>
      <c r="AF271" s="115">
        <v>-35964.61</v>
      </c>
      <c r="AG271" s="115">
        <f t="shared" si="18"/>
        <v>-112451.84</v>
      </c>
      <c r="AI271" s="115">
        <f t="shared" si="19"/>
        <v>0</v>
      </c>
    </row>
    <row r="272" spans="1:35">
      <c r="A272" s="199" t="s">
        <v>700</v>
      </c>
      <c r="B272" s="197" t="s">
        <v>1095</v>
      </c>
      <c r="C272" s="117">
        <v>-65962.679999999993</v>
      </c>
      <c r="D272" s="117">
        <v>-70965.63</v>
      </c>
      <c r="E272" s="129">
        <v>-74384.53</v>
      </c>
      <c r="F272" s="198">
        <v>-79247.23</v>
      </c>
      <c r="G272" s="128">
        <f t="shared" si="16"/>
        <v>-290560.07</v>
      </c>
      <c r="I272" s="117">
        <v>-63775.93</v>
      </c>
      <c r="J272" s="117">
        <v>-65962.679999999993</v>
      </c>
      <c r="M272" s="54">
        <v>-354336</v>
      </c>
      <c r="O272" s="196">
        <f t="shared" si="17"/>
        <v>0</v>
      </c>
      <c r="AA272" t="s">
        <v>700</v>
      </c>
      <c r="AB272" t="s">
        <v>1095</v>
      </c>
      <c r="AC272" s="115">
        <v>-65962.679999999993</v>
      </c>
      <c r="AD272" s="115">
        <v>-70965.63</v>
      </c>
      <c r="AE272" s="115">
        <v>-74384.53</v>
      </c>
      <c r="AF272" s="115">
        <v>-79247.23</v>
      </c>
      <c r="AG272" s="115">
        <f t="shared" si="18"/>
        <v>-290560.07</v>
      </c>
      <c r="AI272" s="115">
        <f t="shared" si="19"/>
        <v>0</v>
      </c>
    </row>
    <row r="273" spans="1:35">
      <c r="A273" s="199" t="s">
        <v>704</v>
      </c>
      <c r="B273" s="197" t="s">
        <v>1096</v>
      </c>
      <c r="C273" s="117">
        <v>-58085.59</v>
      </c>
      <c r="D273" s="117">
        <v>-60285.33</v>
      </c>
      <c r="E273" s="129">
        <v>-60885.64</v>
      </c>
      <c r="F273" s="198">
        <v>-61758.52</v>
      </c>
      <c r="G273" s="128">
        <f t="shared" si="16"/>
        <v>-241015.08</v>
      </c>
      <c r="I273" s="117">
        <v>-63979.99</v>
      </c>
      <c r="J273" s="117">
        <v>-58085.59</v>
      </c>
      <c r="M273" s="54">
        <v>-304995.07</v>
      </c>
      <c r="O273" s="196">
        <f t="shared" si="17"/>
        <v>0</v>
      </c>
      <c r="AA273" t="s">
        <v>704</v>
      </c>
      <c r="AB273" t="s">
        <v>1096</v>
      </c>
      <c r="AC273" s="115">
        <v>-58085.59</v>
      </c>
      <c r="AD273" s="115">
        <v>-60285.33</v>
      </c>
      <c r="AE273" s="115">
        <v>-60885.64</v>
      </c>
      <c r="AF273" s="115">
        <v>-61758.52</v>
      </c>
      <c r="AG273" s="115">
        <f t="shared" si="18"/>
        <v>-241015.08</v>
      </c>
      <c r="AI273" s="115">
        <f t="shared" si="19"/>
        <v>0</v>
      </c>
    </row>
    <row r="274" spans="1:35">
      <c r="A274" s="199" t="s">
        <v>706</v>
      </c>
      <c r="B274" s="197" t="s">
        <v>1097</v>
      </c>
      <c r="C274" s="117">
        <v>-37568.559999999998</v>
      </c>
      <c r="D274" s="117">
        <v>-45649.64</v>
      </c>
      <c r="E274" s="129">
        <v>-44621.9</v>
      </c>
      <c r="F274" s="198">
        <v>-49040.22</v>
      </c>
      <c r="G274" s="128">
        <f t="shared" si="16"/>
        <v>-176880.32</v>
      </c>
      <c r="I274" s="117">
        <v>-43919.94</v>
      </c>
      <c r="J274" s="117">
        <v>-37568.559999999998</v>
      </c>
      <c r="M274" s="54">
        <v>-220800.26</v>
      </c>
      <c r="O274" s="196">
        <f t="shared" si="17"/>
        <v>0</v>
      </c>
      <c r="AA274" t="s">
        <v>706</v>
      </c>
      <c r="AB274" t="s">
        <v>1097</v>
      </c>
      <c r="AC274" s="115">
        <v>-37568.559999999998</v>
      </c>
      <c r="AD274" s="115">
        <v>-45649.64</v>
      </c>
      <c r="AE274" s="115">
        <v>-44621.9</v>
      </c>
      <c r="AF274" s="115">
        <v>-49040.22</v>
      </c>
      <c r="AG274" s="115">
        <f t="shared" si="18"/>
        <v>-176880.32</v>
      </c>
      <c r="AI274" s="115">
        <f t="shared" si="19"/>
        <v>0</v>
      </c>
    </row>
    <row r="275" spans="1:35">
      <c r="A275" s="199" t="s">
        <v>708</v>
      </c>
      <c r="B275" s="197" t="s">
        <v>1098</v>
      </c>
      <c r="C275" s="117">
        <v>-40978.639999999999</v>
      </c>
      <c r="D275" s="117">
        <v>-38518.379999999997</v>
      </c>
      <c r="E275" s="129">
        <v>-26767.41</v>
      </c>
      <c r="F275" s="198">
        <v>-35392.550000000003</v>
      </c>
      <c r="G275" s="128">
        <f t="shared" si="16"/>
        <v>-141656.97999999998</v>
      </c>
      <c r="I275" s="117">
        <v>-29393.18</v>
      </c>
      <c r="J275" s="117">
        <v>-40978.639999999999</v>
      </c>
      <c r="M275" s="54">
        <v>-171050.16000000003</v>
      </c>
      <c r="O275" s="196">
        <f t="shared" si="17"/>
        <v>0</v>
      </c>
      <c r="AA275" t="s">
        <v>708</v>
      </c>
      <c r="AB275" t="s">
        <v>1098</v>
      </c>
      <c r="AC275" s="115">
        <v>-40978.639999999999</v>
      </c>
      <c r="AD275" s="115">
        <v>-38518.379999999997</v>
      </c>
      <c r="AE275" s="115">
        <v>-26767.41</v>
      </c>
      <c r="AF275" s="115">
        <v>-35392.550000000003</v>
      </c>
      <c r="AG275" s="115">
        <f t="shared" si="18"/>
        <v>-141656.97999999998</v>
      </c>
      <c r="AI275" s="115">
        <f t="shared" si="19"/>
        <v>0</v>
      </c>
    </row>
    <row r="276" spans="1:35">
      <c r="A276" s="199" t="s">
        <v>710</v>
      </c>
      <c r="B276" s="197" t="s">
        <v>1099</v>
      </c>
      <c r="C276" s="117">
        <v>-77810.679999999993</v>
      </c>
      <c r="D276" s="117">
        <v>-91709.65</v>
      </c>
      <c r="E276" s="129">
        <v>-88559.7</v>
      </c>
      <c r="F276" s="198">
        <v>-85895.6</v>
      </c>
      <c r="G276" s="128">
        <f t="shared" si="16"/>
        <v>-343975.63</v>
      </c>
      <c r="I276" s="117">
        <v>-70339.8</v>
      </c>
      <c r="J276" s="117">
        <v>-77810.679999999993</v>
      </c>
      <c r="M276" s="54">
        <v>-414315.42999999993</v>
      </c>
      <c r="O276" s="196">
        <f t="shared" si="17"/>
        <v>0</v>
      </c>
      <c r="AA276" t="s">
        <v>710</v>
      </c>
      <c r="AB276" t="s">
        <v>1099</v>
      </c>
      <c r="AC276" s="115">
        <v>-77810.679999999993</v>
      </c>
      <c r="AD276" s="115">
        <v>-91709.65</v>
      </c>
      <c r="AE276" s="115">
        <v>-88559.7</v>
      </c>
      <c r="AF276" s="115">
        <v>-85895.6</v>
      </c>
      <c r="AG276" s="115">
        <f t="shared" si="18"/>
        <v>-343975.63</v>
      </c>
      <c r="AI276" s="115">
        <f t="shared" si="19"/>
        <v>0</v>
      </c>
    </row>
    <row r="277" spans="1:35">
      <c r="A277" s="199" t="s">
        <v>714</v>
      </c>
      <c r="B277" s="197" t="s">
        <v>1101</v>
      </c>
      <c r="C277" s="117">
        <v>-27589.56</v>
      </c>
      <c r="D277" s="117">
        <v>-12744.32</v>
      </c>
      <c r="E277" s="129">
        <v>-15299.87</v>
      </c>
      <c r="F277" s="198">
        <v>-84902.17</v>
      </c>
      <c r="G277" s="128">
        <f t="shared" si="16"/>
        <v>-140535.92000000001</v>
      </c>
      <c r="I277" s="117">
        <v>-4028.2</v>
      </c>
      <c r="J277" s="117">
        <v>-27589.56</v>
      </c>
      <c r="M277" s="54">
        <v>-144564.12</v>
      </c>
      <c r="O277" s="196">
        <f t="shared" si="17"/>
        <v>0</v>
      </c>
      <c r="AA277" t="s">
        <v>714</v>
      </c>
      <c r="AB277" t="s">
        <v>1101</v>
      </c>
      <c r="AC277" s="115">
        <v>-27589.56</v>
      </c>
      <c r="AD277" s="115">
        <v>-12744.32</v>
      </c>
      <c r="AE277" s="115">
        <v>-15299.87</v>
      </c>
      <c r="AF277" s="115">
        <v>-84902.17</v>
      </c>
      <c r="AG277" s="115">
        <f t="shared" si="18"/>
        <v>-140535.92000000001</v>
      </c>
      <c r="AI277" s="115">
        <f t="shared" si="19"/>
        <v>0</v>
      </c>
    </row>
    <row r="278" spans="1:35">
      <c r="A278" s="199" t="s">
        <v>716</v>
      </c>
      <c r="B278" s="197" t="s">
        <v>1102</v>
      </c>
      <c r="C278" s="117">
        <v>-58098.91</v>
      </c>
      <c r="D278" s="117">
        <v>-43516.46</v>
      </c>
      <c r="E278" s="129">
        <v>-55382.96</v>
      </c>
      <c r="F278" s="198">
        <v>-127174.59</v>
      </c>
      <c r="G278" s="128">
        <f t="shared" si="16"/>
        <v>-284172.92</v>
      </c>
      <c r="I278" s="117">
        <v>-20457.009999999998</v>
      </c>
      <c r="J278" s="117">
        <v>-58098.91</v>
      </c>
      <c r="M278" s="54">
        <v>-304629.93</v>
      </c>
      <c r="O278" s="196">
        <f t="shared" si="17"/>
        <v>0</v>
      </c>
      <c r="AA278" t="s">
        <v>716</v>
      </c>
      <c r="AB278" t="s">
        <v>1102</v>
      </c>
      <c r="AC278" s="115">
        <v>-58098.91</v>
      </c>
      <c r="AD278" s="115">
        <v>-43516.46</v>
      </c>
      <c r="AE278" s="115">
        <v>-55382.96</v>
      </c>
      <c r="AF278" s="115">
        <v>-127174.59</v>
      </c>
      <c r="AG278" s="115">
        <f t="shared" si="18"/>
        <v>-284172.92</v>
      </c>
      <c r="AI278" s="115">
        <f t="shared" si="19"/>
        <v>0</v>
      </c>
    </row>
    <row r="279" spans="1:35">
      <c r="A279" s="199" t="s">
        <v>718</v>
      </c>
      <c r="B279" s="197" t="s">
        <v>1103</v>
      </c>
      <c r="C279" s="117">
        <v>-1045425.1</v>
      </c>
      <c r="D279" s="117">
        <v>11869.93</v>
      </c>
      <c r="E279" s="129">
        <v>-499080.33</v>
      </c>
      <c r="F279" s="198">
        <v>115828.03</v>
      </c>
      <c r="G279" s="128">
        <f t="shared" si="16"/>
        <v>-1416807.47</v>
      </c>
      <c r="I279" s="117">
        <v>-623056.31999999995</v>
      </c>
      <c r="J279" s="117">
        <v>-1045425.1</v>
      </c>
      <c r="M279" s="54">
        <v>-2039863.7899999998</v>
      </c>
      <c r="O279" s="196">
        <f t="shared" si="17"/>
        <v>0</v>
      </c>
      <c r="AA279" t="s">
        <v>718</v>
      </c>
      <c r="AB279" t="s">
        <v>1103</v>
      </c>
      <c r="AC279" s="115">
        <v>-1045425.1</v>
      </c>
      <c r="AD279" s="115">
        <v>11869.93</v>
      </c>
      <c r="AE279" s="115">
        <v>-499080.33</v>
      </c>
      <c r="AF279" s="115">
        <v>115828.03</v>
      </c>
      <c r="AG279" s="115">
        <f t="shared" si="18"/>
        <v>-1416807.47</v>
      </c>
      <c r="AI279" s="115">
        <f t="shared" si="19"/>
        <v>0</v>
      </c>
    </row>
    <row r="280" spans="1:35">
      <c r="A280" s="199" t="s">
        <v>720</v>
      </c>
      <c r="B280" s="197" t="s">
        <v>1052</v>
      </c>
      <c r="C280" s="115">
        <v>127406.29000000001</v>
      </c>
      <c r="D280" s="117">
        <v>61534.7</v>
      </c>
      <c r="E280" s="129">
        <v>-929.81</v>
      </c>
      <c r="F280" s="198">
        <v>-41144.32</v>
      </c>
      <c r="G280" s="128">
        <f t="shared" si="16"/>
        <v>146866.85999999999</v>
      </c>
      <c r="I280" s="117">
        <v>165116.56</v>
      </c>
      <c r="J280" s="117">
        <v>-37710.269999999997</v>
      </c>
      <c r="K280" s="115">
        <v>127406.29000000001</v>
      </c>
      <c r="M280" s="54">
        <v>146866.85999999999</v>
      </c>
      <c r="O280" s="196">
        <f t="shared" si="17"/>
        <v>165116.56</v>
      </c>
      <c r="AA280" t="s">
        <v>720</v>
      </c>
      <c r="AB280" t="s">
        <v>1052</v>
      </c>
      <c r="AC280" s="115">
        <v>127406.29</v>
      </c>
      <c r="AD280" s="115">
        <v>61534.7</v>
      </c>
      <c r="AE280" s="115">
        <v>-929.81</v>
      </c>
      <c r="AF280" s="115">
        <v>-41144.32</v>
      </c>
      <c r="AG280" s="115">
        <f t="shared" si="18"/>
        <v>146866.85999999999</v>
      </c>
      <c r="AI280" s="115">
        <f t="shared" si="19"/>
        <v>0</v>
      </c>
    </row>
    <row r="281" spans="1:35">
      <c r="A281" s="199" t="s">
        <v>721</v>
      </c>
      <c r="B281" s="197" t="s">
        <v>1104</v>
      </c>
      <c r="C281" s="115">
        <v>245714.68</v>
      </c>
      <c r="D281" s="117">
        <v>-118905.49</v>
      </c>
      <c r="E281" s="129">
        <v>-36720.68</v>
      </c>
      <c r="F281" s="198">
        <v>-82968.67</v>
      </c>
      <c r="G281" s="128">
        <f t="shared" si="16"/>
        <v>7119.839999999982</v>
      </c>
      <c r="I281" s="117">
        <v>275027.99</v>
      </c>
      <c r="J281" s="117">
        <v>-29313.31</v>
      </c>
      <c r="K281" s="115">
        <v>245714.68</v>
      </c>
      <c r="M281" s="54">
        <v>7119.839999999982</v>
      </c>
      <c r="O281" s="196">
        <f t="shared" si="17"/>
        <v>275027.99</v>
      </c>
      <c r="AA281" t="s">
        <v>721</v>
      </c>
      <c r="AB281" t="s">
        <v>1104</v>
      </c>
      <c r="AC281" s="115">
        <v>245714.68</v>
      </c>
      <c r="AD281" s="115">
        <v>-118905.49</v>
      </c>
      <c r="AE281" s="115">
        <v>-36720.68</v>
      </c>
      <c r="AF281" s="115">
        <v>-82968.67</v>
      </c>
      <c r="AG281" s="115">
        <f t="shared" si="18"/>
        <v>7119.839999999982</v>
      </c>
      <c r="AI281" s="115">
        <f t="shared" si="19"/>
        <v>0</v>
      </c>
    </row>
    <row r="282" spans="1:35">
      <c r="A282" s="199" t="s">
        <v>723</v>
      </c>
      <c r="B282" s="197" t="s">
        <v>1105</v>
      </c>
      <c r="C282" s="117">
        <v>4035.6</v>
      </c>
      <c r="D282" s="117">
        <v>65379.64</v>
      </c>
      <c r="E282" s="129">
        <v>46270.57</v>
      </c>
      <c r="F282" s="198">
        <v>8441.82</v>
      </c>
      <c r="G282" s="128">
        <f t="shared" si="16"/>
        <v>124127.63</v>
      </c>
      <c r="I282" s="117">
        <v>0</v>
      </c>
      <c r="J282" s="117">
        <v>4035.6</v>
      </c>
      <c r="M282" s="54">
        <v>124127.63</v>
      </c>
      <c r="O282" s="196">
        <f t="shared" si="17"/>
        <v>0</v>
      </c>
      <c r="AA282" t="s">
        <v>723</v>
      </c>
      <c r="AB282" t="s">
        <v>1105</v>
      </c>
      <c r="AC282" s="115">
        <v>4035.6</v>
      </c>
      <c r="AD282" s="115">
        <v>65379.64</v>
      </c>
      <c r="AE282" s="115">
        <v>46270.57</v>
      </c>
      <c r="AF282" s="115">
        <v>8441.82</v>
      </c>
      <c r="AG282" s="115">
        <f t="shared" si="18"/>
        <v>124127.63</v>
      </c>
      <c r="AI282" s="115">
        <f t="shared" si="19"/>
        <v>0</v>
      </c>
    </row>
    <row r="283" spans="1:35">
      <c r="A283" s="199" t="s">
        <v>725</v>
      </c>
      <c r="B283" s="197" t="s">
        <v>1106</v>
      </c>
      <c r="C283" s="115">
        <v>-80180.66</v>
      </c>
      <c r="D283" s="117">
        <v>-36629.839999999997</v>
      </c>
      <c r="E283" s="129">
        <v>-164351.72</v>
      </c>
      <c r="F283" s="198">
        <v>-234936.87</v>
      </c>
      <c r="G283" s="128">
        <f t="shared" si="16"/>
        <v>-516099.08999999997</v>
      </c>
      <c r="I283" s="117">
        <v>63774.070000000007</v>
      </c>
      <c r="J283" s="117">
        <v>-143954.73000000001</v>
      </c>
      <c r="K283" s="115">
        <v>-80180.66</v>
      </c>
      <c r="M283" s="54">
        <v>-516099.08999999997</v>
      </c>
      <c r="O283" s="196">
        <f t="shared" si="17"/>
        <v>63774.070000000007</v>
      </c>
      <c r="AA283" t="s">
        <v>725</v>
      </c>
      <c r="AB283" t="s">
        <v>1106</v>
      </c>
      <c r="AC283" s="115">
        <v>-80180.66</v>
      </c>
      <c r="AD283" s="115">
        <v>-36629.839999999997</v>
      </c>
      <c r="AE283" s="115">
        <v>-164351.72</v>
      </c>
      <c r="AF283" s="115">
        <v>-234936.87</v>
      </c>
      <c r="AG283" s="115">
        <f t="shared" si="18"/>
        <v>-516099.08999999997</v>
      </c>
      <c r="AI283" s="115">
        <f t="shared" si="19"/>
        <v>0</v>
      </c>
    </row>
    <row r="284" spans="1:35">
      <c r="A284" s="199" t="s">
        <v>727</v>
      </c>
      <c r="B284" s="197" t="s">
        <v>1107</v>
      </c>
      <c r="C284" s="117">
        <v>-1186031.96</v>
      </c>
      <c r="D284" s="117">
        <v>-554369.18000000005</v>
      </c>
      <c r="E284" s="129">
        <v>15555.04</v>
      </c>
      <c r="F284" s="198">
        <v>-632887.42000000004</v>
      </c>
      <c r="G284" s="128">
        <f t="shared" si="16"/>
        <v>-2357733.52</v>
      </c>
      <c r="I284" s="117">
        <v>-1570324.82</v>
      </c>
      <c r="J284" s="117">
        <v>-1186031.96</v>
      </c>
      <c r="M284">
        <v>-3928058.3400000003</v>
      </c>
      <c r="O284" s="196">
        <f t="shared" si="17"/>
        <v>0</v>
      </c>
      <c r="AA284" t="s">
        <v>727</v>
      </c>
      <c r="AB284" t="s">
        <v>1107</v>
      </c>
      <c r="AC284" s="115">
        <v>-1186031.96</v>
      </c>
      <c r="AD284" s="115">
        <v>-554369.18000000005</v>
      </c>
      <c r="AE284" s="115">
        <v>15555.04</v>
      </c>
      <c r="AF284" s="115">
        <v>-632887.42000000004</v>
      </c>
      <c r="AG284" s="115">
        <f t="shared" si="18"/>
        <v>-2357733.52</v>
      </c>
      <c r="AI284" s="115">
        <f t="shared" si="19"/>
        <v>0</v>
      </c>
    </row>
    <row r="285" spans="1:35">
      <c r="A285" s="199" t="s">
        <v>729</v>
      </c>
      <c r="B285" s="197" t="s">
        <v>1108</v>
      </c>
      <c r="C285" s="117">
        <v>-605.08000000000004</v>
      </c>
      <c r="D285" s="117">
        <v>73112.45</v>
      </c>
      <c r="E285" s="129">
        <v>-73461.570000000007</v>
      </c>
      <c r="F285" s="198">
        <v>-76860.800000000003</v>
      </c>
      <c r="G285" s="128">
        <f t="shared" si="16"/>
        <v>-77815.000000000015</v>
      </c>
      <c r="I285" s="117">
        <v>0</v>
      </c>
      <c r="J285" s="117">
        <v>-605.08000000000004</v>
      </c>
      <c r="M285">
        <v>-77815.000000000015</v>
      </c>
      <c r="O285" s="196">
        <f t="shared" si="17"/>
        <v>0</v>
      </c>
      <c r="AA285" t="s">
        <v>729</v>
      </c>
      <c r="AB285" t="s">
        <v>1108</v>
      </c>
      <c r="AC285" s="115">
        <v>-605.08000000000004</v>
      </c>
      <c r="AD285" s="115">
        <v>73112.45</v>
      </c>
      <c r="AE285" s="115">
        <v>-73461.570000000007</v>
      </c>
      <c r="AF285" s="115">
        <v>-76860.800000000003</v>
      </c>
      <c r="AG285" s="115">
        <f t="shared" si="18"/>
        <v>-77815.000000000015</v>
      </c>
      <c r="AI285" s="115">
        <f t="shared" si="19"/>
        <v>0</v>
      </c>
    </row>
    <row r="286" spans="1:35">
      <c r="A286" s="199" t="s">
        <v>731</v>
      </c>
      <c r="B286" s="197" t="s">
        <v>1109</v>
      </c>
      <c r="C286" s="115">
        <v>-8232.8700000000026</v>
      </c>
      <c r="D286" s="117">
        <v>-10573.47</v>
      </c>
      <c r="E286" s="129">
        <v>-16310.95</v>
      </c>
      <c r="F286" s="198">
        <v>-29286.560000000001</v>
      </c>
      <c r="G286" s="128">
        <f t="shared" si="16"/>
        <v>-64403.850000000006</v>
      </c>
      <c r="I286" s="117">
        <v>15136.21</v>
      </c>
      <c r="J286" s="117">
        <v>-23369.08</v>
      </c>
      <c r="K286" s="115">
        <v>-8232.8700000000026</v>
      </c>
      <c r="M286">
        <v>-64403.850000000006</v>
      </c>
      <c r="O286" s="196">
        <f t="shared" si="17"/>
        <v>15136.21</v>
      </c>
      <c r="AA286" t="s">
        <v>731</v>
      </c>
      <c r="AB286" t="s">
        <v>1109</v>
      </c>
      <c r="AC286" s="115">
        <v>-8232.8700000000008</v>
      </c>
      <c r="AD286" s="115">
        <v>-10573.47</v>
      </c>
      <c r="AE286" s="115">
        <v>-16310.95</v>
      </c>
      <c r="AF286" s="115">
        <v>-29286.560000000001</v>
      </c>
      <c r="AG286" s="115">
        <f t="shared" si="18"/>
        <v>-64403.850000000006</v>
      </c>
      <c r="AI286" s="115">
        <f t="shared" si="19"/>
        <v>0</v>
      </c>
    </row>
    <row r="287" spans="1:35">
      <c r="A287" s="199" t="s">
        <v>733</v>
      </c>
      <c r="B287" s="197" t="s">
        <v>1110</v>
      </c>
      <c r="C287" s="117">
        <v>-133388.18</v>
      </c>
      <c r="D287" s="117">
        <v>-164248.85999999999</v>
      </c>
      <c r="E287" s="129">
        <v>-155622.84</v>
      </c>
      <c r="F287" s="198">
        <v>-138350.22</v>
      </c>
      <c r="G287" s="128">
        <f t="shared" si="16"/>
        <v>-591610.1</v>
      </c>
      <c r="I287" s="117">
        <v>-73504.25</v>
      </c>
      <c r="J287" s="117">
        <v>-133388.18</v>
      </c>
      <c r="M287">
        <v>-665114.35</v>
      </c>
      <c r="O287" s="196">
        <f t="shared" si="17"/>
        <v>0</v>
      </c>
      <c r="AA287" t="s">
        <v>733</v>
      </c>
      <c r="AB287" t="s">
        <v>1110</v>
      </c>
      <c r="AC287" s="115">
        <v>-133388.18</v>
      </c>
      <c r="AD287" s="115">
        <v>-164248.85999999999</v>
      </c>
      <c r="AE287" s="115">
        <v>-155622.84</v>
      </c>
      <c r="AF287" s="115">
        <v>-138350.22</v>
      </c>
      <c r="AG287" s="115">
        <f t="shared" si="18"/>
        <v>-591610.1</v>
      </c>
      <c r="AI287" s="115">
        <f t="shared" si="19"/>
        <v>0</v>
      </c>
    </row>
    <row r="288" spans="1:35">
      <c r="A288" s="199" t="s">
        <v>735</v>
      </c>
      <c r="B288" s="197" t="s">
        <v>1111</v>
      </c>
      <c r="C288" s="117">
        <v>-61731.51</v>
      </c>
      <c r="D288" s="117">
        <v>-102911.39</v>
      </c>
      <c r="E288" s="129">
        <v>-81004.160000000003</v>
      </c>
      <c r="F288" s="198">
        <v>-84908.92</v>
      </c>
      <c r="G288" s="128">
        <f t="shared" si="16"/>
        <v>-330555.98</v>
      </c>
      <c r="I288" s="117">
        <v>-36882.71</v>
      </c>
      <c r="J288" s="117">
        <v>-61731.51</v>
      </c>
      <c r="M288">
        <v>-367438.69</v>
      </c>
      <c r="O288" s="196">
        <f t="shared" si="17"/>
        <v>0</v>
      </c>
      <c r="AA288" t="s">
        <v>735</v>
      </c>
      <c r="AB288" t="s">
        <v>1111</v>
      </c>
      <c r="AC288" s="115">
        <v>-61731.51</v>
      </c>
      <c r="AD288" s="115">
        <v>-102911.39</v>
      </c>
      <c r="AE288" s="115">
        <v>-81004.160000000003</v>
      </c>
      <c r="AF288" s="115">
        <v>-84908.92</v>
      </c>
      <c r="AG288" s="115">
        <f t="shared" si="18"/>
        <v>-330555.98</v>
      </c>
      <c r="AI288" s="115">
        <f t="shared" si="19"/>
        <v>0</v>
      </c>
    </row>
    <row r="289" spans="1:35">
      <c r="A289" s="199" t="s">
        <v>737</v>
      </c>
      <c r="B289" s="197" t="s">
        <v>1112</v>
      </c>
      <c r="C289" s="117">
        <v>-155679.43</v>
      </c>
      <c r="D289" s="117">
        <v>-76446.850000000006</v>
      </c>
      <c r="E289" s="129">
        <v>-154244.42000000001</v>
      </c>
      <c r="F289" s="198">
        <v>-32531.91</v>
      </c>
      <c r="G289" s="128">
        <f t="shared" si="16"/>
        <v>-418902.61</v>
      </c>
      <c r="I289" s="117">
        <v>-117917.31</v>
      </c>
      <c r="J289" s="117">
        <v>-155679.43</v>
      </c>
      <c r="M289">
        <v>-536819.92000000004</v>
      </c>
      <c r="O289" s="196">
        <f t="shared" si="17"/>
        <v>0</v>
      </c>
      <c r="AA289" t="s">
        <v>737</v>
      </c>
      <c r="AB289" t="s">
        <v>1112</v>
      </c>
      <c r="AC289" s="115">
        <v>-155679.43</v>
      </c>
      <c r="AD289" s="115">
        <v>-76446.850000000006</v>
      </c>
      <c r="AE289" s="115">
        <v>-154244.42000000001</v>
      </c>
      <c r="AF289" s="115">
        <v>-32531.91</v>
      </c>
      <c r="AG289" s="115">
        <f t="shared" si="18"/>
        <v>-418902.61</v>
      </c>
      <c r="AI289" s="115">
        <f t="shared" si="19"/>
        <v>0</v>
      </c>
    </row>
    <row r="290" spans="1:35">
      <c r="A290" s="199" t="s">
        <v>739</v>
      </c>
      <c r="B290" s="197" t="s">
        <v>1054</v>
      </c>
      <c r="C290" s="115">
        <v>862139.2</v>
      </c>
      <c r="D290" s="117">
        <v>221494.13</v>
      </c>
      <c r="E290" s="129">
        <v>208615.38</v>
      </c>
      <c r="F290" s="198">
        <v>-22745.86</v>
      </c>
      <c r="G290" s="128">
        <f t="shared" si="16"/>
        <v>1269502.8499999999</v>
      </c>
      <c r="I290" s="117">
        <v>662857.5</v>
      </c>
      <c r="J290" s="117">
        <v>199281.7</v>
      </c>
      <c r="K290" s="115">
        <v>862139.2</v>
      </c>
      <c r="M290">
        <v>1269502.8499999999</v>
      </c>
      <c r="O290" s="196">
        <f t="shared" si="17"/>
        <v>662857.5</v>
      </c>
      <c r="AA290" t="s">
        <v>739</v>
      </c>
      <c r="AB290" t="s">
        <v>1054</v>
      </c>
      <c r="AC290" s="115">
        <v>862139.2</v>
      </c>
      <c r="AD290" s="115">
        <v>221494.13</v>
      </c>
      <c r="AE290" s="115">
        <v>208615.38</v>
      </c>
      <c r="AF290" s="115">
        <v>-22745.86</v>
      </c>
      <c r="AG290" s="115">
        <f t="shared" si="18"/>
        <v>1269502.8499999999</v>
      </c>
      <c r="AI290" s="115">
        <f t="shared" si="19"/>
        <v>0</v>
      </c>
    </row>
    <row r="291" spans="1:35">
      <c r="A291" s="199" t="s">
        <v>740</v>
      </c>
      <c r="B291" s="197" t="s">
        <v>1113</v>
      </c>
      <c r="C291" s="117">
        <v>-70928.95</v>
      </c>
      <c r="D291" s="117">
        <v>-59791.29</v>
      </c>
      <c r="E291" s="129">
        <v>-47854.36</v>
      </c>
      <c r="F291" s="198">
        <v>-99095.7</v>
      </c>
      <c r="G291" s="128">
        <f t="shared" si="16"/>
        <v>-277670.3</v>
      </c>
      <c r="I291" s="117">
        <v>-113319.34</v>
      </c>
      <c r="J291" s="117">
        <v>-70928.95</v>
      </c>
      <c r="K291" s="115"/>
      <c r="M291">
        <v>-390989.64</v>
      </c>
      <c r="O291" s="196">
        <f t="shared" si="17"/>
        <v>0</v>
      </c>
      <c r="AA291" t="s">
        <v>740</v>
      </c>
      <c r="AB291" t="s">
        <v>1113</v>
      </c>
      <c r="AC291" s="115">
        <v>-70928.95</v>
      </c>
      <c r="AD291" s="115">
        <v>-59791.29</v>
      </c>
      <c r="AE291" s="115">
        <v>-47854.36</v>
      </c>
      <c r="AF291" s="115">
        <v>-99095.7</v>
      </c>
      <c r="AG291" s="115">
        <f t="shared" si="18"/>
        <v>-277670.3</v>
      </c>
      <c r="AI291" s="115">
        <f t="shared" si="19"/>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299"/>
  <sheetViews>
    <sheetView topLeftCell="BB1" workbookViewId="0">
      <pane ySplit="4" topLeftCell="A5" activePane="bottomLeft" state="frozen"/>
      <selection activeCell="BL1" sqref="BL1"/>
      <selection pane="bottomLeft" activeCell="BK20" sqref="BK20"/>
    </sheetView>
  </sheetViews>
  <sheetFormatPr defaultRowHeight="15"/>
  <cols>
    <col min="3" max="3" width="15.7109375" bestFit="1" customWidth="1"/>
    <col min="4" max="5" width="11.5703125" bestFit="1" customWidth="1"/>
    <col min="6" max="8" width="13.140625" bestFit="1" customWidth="1"/>
    <col min="12" max="12" width="21.5703125" bestFit="1" customWidth="1"/>
    <col min="13" max="13" width="11.5703125" bestFit="1" customWidth="1"/>
    <col min="14" max="14" width="12.42578125" bestFit="1" customWidth="1"/>
    <col min="15" max="16" width="13.28515625" bestFit="1" customWidth="1"/>
    <col min="17" max="17" width="11.5703125" bestFit="1" customWidth="1"/>
    <col min="18" max="18" width="11.5703125" style="114" customWidth="1"/>
    <col min="19" max="19" width="13.28515625" style="114" bestFit="1" customWidth="1"/>
    <col min="20" max="20" width="13.28515625" bestFit="1" customWidth="1"/>
    <col min="21" max="21" width="10.85546875" bestFit="1" customWidth="1"/>
    <col min="22" max="22" width="2.85546875" customWidth="1"/>
    <col min="23" max="23" width="12.42578125" bestFit="1" customWidth="1"/>
    <col min="24" max="24" width="3.7109375" style="114" customWidth="1"/>
    <col min="25" max="27" width="11.5703125" bestFit="1" customWidth="1"/>
    <col min="28" max="28" width="9.85546875" bestFit="1" customWidth="1"/>
    <col min="34" max="34" width="3.28515625" style="50" customWidth="1"/>
    <col min="35" max="35" width="2.42578125" style="50" customWidth="1"/>
    <col min="36" max="36" width="11.5703125" style="77" bestFit="1" customWidth="1"/>
    <col min="37" max="37" width="13.140625" style="50" bestFit="1" customWidth="1"/>
    <col min="38" max="38" width="11.5703125" style="50" bestFit="1" customWidth="1"/>
    <col min="39" max="39" width="2.28515625" style="84" customWidth="1"/>
    <col min="40" max="40" width="11.5703125" style="50" bestFit="1" customWidth="1"/>
    <col min="41" max="41" width="13.140625" style="50" bestFit="1" customWidth="1"/>
    <col min="42" max="42" width="11.5703125" style="50" bestFit="1" customWidth="1"/>
    <col min="43" max="45" width="13.140625" style="50" bestFit="1" customWidth="1"/>
    <col min="46" max="46" width="2.28515625" style="84" customWidth="1"/>
    <col min="47" max="47" width="11.5703125" style="50" bestFit="1" customWidth="1"/>
    <col min="48" max="49" width="10.5703125" style="50" bestFit="1" customWidth="1"/>
    <col min="50" max="50" width="9.140625" style="50"/>
    <col min="55" max="55" width="18.85546875" bestFit="1" customWidth="1"/>
    <col min="56" max="56" width="12.42578125" bestFit="1" customWidth="1"/>
    <col min="57" max="58" width="13.28515625" bestFit="1" customWidth="1"/>
    <col min="59" max="59" width="11.5703125" bestFit="1" customWidth="1"/>
    <col min="60" max="61" width="13.28515625" bestFit="1" customWidth="1"/>
    <col min="66" max="66" width="18.85546875" bestFit="1" customWidth="1"/>
    <col min="67" max="67" width="12.42578125" bestFit="1" customWidth="1"/>
    <col min="68" max="69" width="13.28515625" bestFit="1" customWidth="1"/>
    <col min="70" max="70" width="11.5703125" bestFit="1" customWidth="1"/>
    <col min="71" max="71" width="13.28515625" bestFit="1" customWidth="1"/>
    <col min="72" max="72" width="3.7109375" style="119" customWidth="1"/>
    <col min="73" max="73" width="13.28515625" bestFit="1" customWidth="1"/>
    <col min="74" max="74" width="4.85546875" customWidth="1"/>
    <col min="75" max="75" width="15.140625" bestFit="1" customWidth="1"/>
    <col min="76" max="76" width="12.42578125" bestFit="1" customWidth="1"/>
    <col min="77" max="77" width="13.28515625" bestFit="1" customWidth="1"/>
    <col min="78" max="80" width="13.28515625" style="119" customWidth="1"/>
    <col min="81" max="81" width="12.42578125" bestFit="1" customWidth="1"/>
    <col min="82" max="82" width="11.5703125" bestFit="1" customWidth="1"/>
    <col min="85" max="85" width="10.85546875" bestFit="1" customWidth="1"/>
    <col min="87" max="87" width="18.85546875" bestFit="1" customWidth="1"/>
    <col min="88" max="89" width="13.28515625" bestFit="1" customWidth="1"/>
    <col min="90" max="90" width="11.5703125" bestFit="1" customWidth="1"/>
    <col min="91" max="91" width="13.28515625" bestFit="1" customWidth="1"/>
    <col min="92" max="92" width="7.5703125" bestFit="1" customWidth="1"/>
    <col min="93" max="93" width="13.28515625" bestFit="1" customWidth="1"/>
    <col min="97" max="97" width="12.28515625" bestFit="1" customWidth="1"/>
  </cols>
  <sheetData>
    <row r="1" spans="2:80">
      <c r="AX1" s="49"/>
      <c r="BX1" t="s">
        <v>1627</v>
      </c>
    </row>
    <row r="2" spans="2:80">
      <c r="C2" t="s">
        <v>1622</v>
      </c>
      <c r="BN2" t="s">
        <v>1623</v>
      </c>
      <c r="BW2" t="s">
        <v>1624</v>
      </c>
      <c r="BX2" t="s">
        <v>1628</v>
      </c>
    </row>
    <row r="3" spans="2:80">
      <c r="M3" t="s">
        <v>1600</v>
      </c>
      <c r="BW3" t="s">
        <v>1625</v>
      </c>
      <c r="BX3" t="s">
        <v>1629</v>
      </c>
      <c r="BY3" s="138" t="s">
        <v>1630</v>
      </c>
      <c r="BZ3" s="138"/>
      <c r="CA3" s="138"/>
      <c r="CB3" s="138"/>
    </row>
    <row r="4" spans="2:80" ht="26.25">
      <c r="B4" s="107" t="s">
        <v>80</v>
      </c>
      <c r="C4" s="107" t="s">
        <v>836</v>
      </c>
      <c r="D4" s="106" t="s">
        <v>1212</v>
      </c>
      <c r="E4" s="106" t="s">
        <v>1233</v>
      </c>
      <c r="F4" s="106" t="s">
        <v>1598</v>
      </c>
      <c r="G4" s="106" t="s">
        <v>1599</v>
      </c>
      <c r="H4" s="75" t="s">
        <v>838</v>
      </c>
      <c r="K4" s="110" t="s">
        <v>80</v>
      </c>
      <c r="L4" s="110" t="s">
        <v>836</v>
      </c>
      <c r="M4" s="105" t="s">
        <v>837</v>
      </c>
      <c r="N4" s="105" t="s">
        <v>1180</v>
      </c>
      <c r="O4" s="105" t="s">
        <v>1212</v>
      </c>
      <c r="P4" s="105" t="s">
        <v>1233</v>
      </c>
      <c r="Q4" s="105" t="s">
        <v>1598</v>
      </c>
      <c r="R4" s="105" t="s">
        <v>1599</v>
      </c>
      <c r="S4" s="105" t="s">
        <v>838</v>
      </c>
      <c r="Z4" s="105" t="s">
        <v>837</v>
      </c>
      <c r="AH4" s="49"/>
      <c r="AI4" s="49"/>
      <c r="AJ4" s="76" t="s">
        <v>1235</v>
      </c>
      <c r="AK4" s="76" t="s">
        <v>1236</v>
      </c>
      <c r="AL4" s="76" t="s">
        <v>1234</v>
      </c>
      <c r="AM4" s="83"/>
      <c r="AN4" s="76" t="s">
        <v>1235</v>
      </c>
      <c r="AO4" s="76" t="s">
        <v>1236</v>
      </c>
      <c r="AP4" s="88" t="s">
        <v>1268</v>
      </c>
      <c r="AQ4" s="88" t="s">
        <v>1269</v>
      </c>
      <c r="AR4" s="88" t="s">
        <v>1270</v>
      </c>
      <c r="AS4" s="75" t="s">
        <v>838</v>
      </c>
      <c r="AT4" s="83"/>
      <c r="AU4" s="49"/>
      <c r="AV4" s="49"/>
      <c r="AW4" s="49"/>
      <c r="BB4" s="107" t="s">
        <v>80</v>
      </c>
      <c r="BC4" s="107" t="s">
        <v>836</v>
      </c>
      <c r="BD4" s="106" t="s">
        <v>1180</v>
      </c>
      <c r="BE4" s="106" t="s">
        <v>1212</v>
      </c>
      <c r="BF4" s="106" t="s">
        <v>1233</v>
      </c>
      <c r="BG4" s="106" t="s">
        <v>1598</v>
      </c>
      <c r="BH4" s="106" t="s">
        <v>1599</v>
      </c>
      <c r="BI4" s="126" t="s">
        <v>838</v>
      </c>
      <c r="BM4" s="107" t="s">
        <v>80</v>
      </c>
      <c r="BN4" s="107" t="s">
        <v>836</v>
      </c>
      <c r="BO4" s="106" t="s">
        <v>1180</v>
      </c>
      <c r="BP4" s="106" t="s">
        <v>1212</v>
      </c>
      <c r="BQ4" s="106" t="s">
        <v>1233</v>
      </c>
      <c r="BR4" s="106" t="s">
        <v>1598</v>
      </c>
      <c r="BS4" s="106" t="s">
        <v>1599</v>
      </c>
      <c r="BT4" s="106" t="s">
        <v>1621</v>
      </c>
      <c r="BU4" s="126" t="s">
        <v>838</v>
      </c>
      <c r="BW4" s="106" t="s">
        <v>1626</v>
      </c>
      <c r="BX4" s="106" t="s">
        <v>1180</v>
      </c>
      <c r="BY4" s="106" t="s">
        <v>1212</v>
      </c>
      <c r="BZ4" s="106" t="s">
        <v>1233</v>
      </c>
      <c r="CA4" s="106" t="s">
        <v>1598</v>
      </c>
      <c r="CB4" s="106" t="s">
        <v>1599</v>
      </c>
    </row>
    <row r="5" spans="2:80">
      <c r="B5" s="100" t="s">
        <v>165</v>
      </c>
      <c r="C5" s="101" t="s">
        <v>839</v>
      </c>
      <c r="D5" s="118">
        <v>-40118.49</v>
      </c>
      <c r="E5" s="118">
        <v>-47075.199999999997</v>
      </c>
      <c r="F5" s="118">
        <v>-54082.14</v>
      </c>
      <c r="G5" s="127">
        <v>-36062.68</v>
      </c>
      <c r="H5" s="102">
        <f t="shared" ref="H5:H68" si="0">SUM(D5:G5)</f>
        <v>-177338.51</v>
      </c>
      <c r="K5" s="113" t="s">
        <v>165</v>
      </c>
      <c r="L5" s="111" t="s">
        <v>839</v>
      </c>
      <c r="M5" s="117">
        <v>0</v>
      </c>
      <c r="N5" s="117">
        <v>-50967.96</v>
      </c>
      <c r="O5" s="117">
        <v>-40118.49</v>
      </c>
      <c r="P5" s="117">
        <v>-47075.199999999997</v>
      </c>
      <c r="Q5" s="117">
        <v>-54082.14</v>
      </c>
      <c r="R5" s="117"/>
      <c r="S5" s="117">
        <f>SUM(M5:R5)</f>
        <v>-192243.78999999998</v>
      </c>
      <c r="T5" s="117">
        <v>-236786.56</v>
      </c>
      <c r="U5" s="115">
        <f>+S5-T5</f>
        <v>44542.770000000019</v>
      </c>
      <c r="Y5" s="115">
        <f>+U5+Z5</f>
        <v>0</v>
      </c>
      <c r="Z5" s="117">
        <v>-44542.769999999975</v>
      </c>
      <c r="AA5" s="115">
        <f>+U5+Z5</f>
        <v>0</v>
      </c>
      <c r="AH5" s="79"/>
      <c r="AI5" s="79"/>
      <c r="AJ5" s="79">
        <v>-37083.379999999997</v>
      </c>
      <c r="AK5" s="79">
        <v>-44542.769999999975</v>
      </c>
      <c r="AL5" s="85">
        <f t="shared" ref="AL5:AL68" si="1">IF(AJ5&gt;0,+AJ5+AK5,AK5)</f>
        <v>-44542.769999999975</v>
      </c>
      <c r="AN5" s="79">
        <v>-37083.379999999997</v>
      </c>
      <c r="AO5" s="79">
        <v>-44542.769999999975</v>
      </c>
      <c r="AP5" s="79">
        <v>-50967.96</v>
      </c>
      <c r="AQ5" s="79">
        <v>-40118.49</v>
      </c>
      <c r="AR5" s="79">
        <v>-47075.199999999997</v>
      </c>
      <c r="AS5" s="79">
        <f t="shared" ref="AS5:AS68" si="2">SUM(AN5:AR5)</f>
        <v>-219787.79999999993</v>
      </c>
      <c r="BB5" s="100" t="s">
        <v>165</v>
      </c>
      <c r="BC5" s="101" t="s">
        <v>839</v>
      </c>
      <c r="BD5" s="117">
        <v>-50967.96</v>
      </c>
      <c r="BE5" s="117">
        <v>-40118.49</v>
      </c>
      <c r="BF5" s="117">
        <v>-47075.199999999997</v>
      </c>
      <c r="BG5" s="117">
        <v>-54082.14</v>
      </c>
      <c r="BH5" s="127">
        <v>-36062.68</v>
      </c>
      <c r="BI5" s="128">
        <f t="shared" ref="BI5:BI68" si="3">SUM(BD5:BH5)</f>
        <v>-228306.46999999997</v>
      </c>
      <c r="BM5" s="100" t="s">
        <v>165</v>
      </c>
      <c r="BN5" s="101" t="s">
        <v>839</v>
      </c>
      <c r="BO5" s="117">
        <v>0</v>
      </c>
      <c r="BP5" s="117">
        <v>-40118.49</v>
      </c>
      <c r="BQ5" s="117">
        <v>-47075.199999999997</v>
      </c>
      <c r="BR5" s="117">
        <v>-54082.14</v>
      </c>
      <c r="BS5" s="127">
        <v>-36062.68</v>
      </c>
      <c r="BT5" s="127"/>
      <c r="BU5" s="128">
        <f>SUM(BP5:BT5)</f>
        <v>-177338.51</v>
      </c>
      <c r="BW5" s="115">
        <f>+BI5-BU5</f>
        <v>-50967.959999999963</v>
      </c>
      <c r="BX5" s="117">
        <v>-50967.96</v>
      </c>
      <c r="BY5" s="117"/>
    </row>
    <row r="6" spans="2:80">
      <c r="B6" s="103" t="s">
        <v>169</v>
      </c>
      <c r="C6" s="101" t="s">
        <v>840</v>
      </c>
      <c r="D6" s="118">
        <v>-180164</v>
      </c>
      <c r="E6" s="118">
        <v>-40589.410000000003</v>
      </c>
      <c r="F6" s="118">
        <v>-43095.69</v>
      </c>
      <c r="G6" s="127">
        <v>17643.810000000001</v>
      </c>
      <c r="H6" s="102">
        <f t="shared" si="0"/>
        <v>-246205.28999999998</v>
      </c>
      <c r="K6" s="112" t="s">
        <v>169</v>
      </c>
      <c r="L6" s="111" t="s">
        <v>840</v>
      </c>
      <c r="M6" s="118">
        <v>0</v>
      </c>
      <c r="N6" s="117">
        <v>-79797.87</v>
      </c>
      <c r="O6" s="117">
        <v>-180164</v>
      </c>
      <c r="P6" s="117">
        <v>-40589.410000000003</v>
      </c>
      <c r="Q6" s="117">
        <v>-43095.69</v>
      </c>
      <c r="R6" s="117"/>
      <c r="S6" s="117">
        <f t="shared" ref="S6:S69" si="4">SUM(M6:R6)</f>
        <v>-343646.97000000003</v>
      </c>
      <c r="T6" s="117">
        <v>-377876.37000000005</v>
      </c>
      <c r="U6" s="115">
        <f t="shared" ref="U6:U69" si="5">+S6-T6</f>
        <v>34229.400000000023</v>
      </c>
      <c r="Y6" s="115">
        <f t="shared" ref="Y6:Y69" si="6">+U6+Z6</f>
        <v>0</v>
      </c>
      <c r="Z6" s="118">
        <v>-34229.4</v>
      </c>
      <c r="AA6" s="115">
        <f t="shared" ref="AA6:AA69" si="7">+U6+Z6</f>
        <v>0</v>
      </c>
      <c r="AH6" s="79"/>
      <c r="AI6" s="79"/>
      <c r="AJ6" s="79">
        <v>96347.49</v>
      </c>
      <c r="AK6" s="79">
        <v>-130576.89000000036</v>
      </c>
      <c r="AL6" s="85">
        <f t="shared" si="1"/>
        <v>-34229.400000000358</v>
      </c>
      <c r="AN6" s="79">
        <v>96347.49</v>
      </c>
      <c r="AO6" s="79">
        <v>-130576.89000000036</v>
      </c>
      <c r="AP6" s="79">
        <v>-79797.87</v>
      </c>
      <c r="AQ6" s="79">
        <v>-180164</v>
      </c>
      <c r="AR6" s="79">
        <v>-40589.410000000003</v>
      </c>
      <c r="AS6" s="79">
        <f t="shared" si="2"/>
        <v>-334780.6800000004</v>
      </c>
      <c r="BB6" s="103" t="s">
        <v>169</v>
      </c>
      <c r="BC6" s="101" t="s">
        <v>840</v>
      </c>
      <c r="BD6" s="117">
        <v>-79797.87</v>
      </c>
      <c r="BE6" s="117">
        <v>-180164</v>
      </c>
      <c r="BF6" s="117">
        <v>-40589.410000000003</v>
      </c>
      <c r="BG6" s="117">
        <v>-43095.69</v>
      </c>
      <c r="BH6" s="129">
        <v>17643.810000000001</v>
      </c>
      <c r="BI6" s="128">
        <f t="shared" si="3"/>
        <v>-326003.16000000003</v>
      </c>
      <c r="BM6" s="103" t="s">
        <v>169</v>
      </c>
      <c r="BN6" s="101" t="s">
        <v>840</v>
      </c>
      <c r="BO6" s="117">
        <v>0</v>
      </c>
      <c r="BP6" s="117">
        <v>-180164</v>
      </c>
      <c r="BQ6" s="117">
        <v>-40589.410000000003</v>
      </c>
      <c r="BR6" s="117">
        <v>-43095.69</v>
      </c>
      <c r="BS6" s="129">
        <v>17643.810000000001</v>
      </c>
      <c r="BT6" s="129"/>
      <c r="BU6" s="128">
        <f t="shared" ref="BU6:BU69" si="8">SUM(BP6:BT6)</f>
        <v>-246205.28999999998</v>
      </c>
      <c r="BW6" s="115">
        <f t="shared" ref="BW6:BW69" si="9">+BI6-BU6</f>
        <v>-79797.870000000054</v>
      </c>
      <c r="BX6" s="117">
        <v>-79797.87</v>
      </c>
      <c r="BY6" s="117"/>
    </row>
    <row r="7" spans="2:80">
      <c r="B7" s="103" t="s">
        <v>171</v>
      </c>
      <c r="C7" s="101" t="s">
        <v>841</v>
      </c>
      <c r="D7" s="118">
        <v>-61597.95</v>
      </c>
      <c r="E7" s="118">
        <v>-71639.61</v>
      </c>
      <c r="F7" s="118">
        <v>-82313.94</v>
      </c>
      <c r="G7" s="127">
        <v>-79338.7</v>
      </c>
      <c r="H7" s="102">
        <f t="shared" si="0"/>
        <v>-294890.2</v>
      </c>
      <c r="K7" s="112" t="s">
        <v>171</v>
      </c>
      <c r="L7" s="111" t="s">
        <v>841</v>
      </c>
      <c r="M7" s="117">
        <v>0</v>
      </c>
      <c r="N7" s="117">
        <v>-67633.13</v>
      </c>
      <c r="O7" s="117">
        <v>-61597.95</v>
      </c>
      <c r="P7" s="117">
        <v>-71639.61</v>
      </c>
      <c r="Q7" s="117">
        <v>-82313.94</v>
      </c>
      <c r="R7" s="117"/>
      <c r="S7" s="117">
        <f t="shared" si="4"/>
        <v>-283184.63</v>
      </c>
      <c r="T7" s="117">
        <v>-358558.9</v>
      </c>
      <c r="U7" s="115">
        <f t="shared" si="5"/>
        <v>75374.270000000019</v>
      </c>
      <c r="Y7" s="115">
        <f t="shared" si="6"/>
        <v>0</v>
      </c>
      <c r="Z7" s="117">
        <v>-75374.270000000019</v>
      </c>
      <c r="AA7" s="115">
        <f t="shared" si="7"/>
        <v>0</v>
      </c>
      <c r="AH7" s="79"/>
      <c r="AI7" s="79"/>
      <c r="AJ7" s="79">
        <v>-61118.57</v>
      </c>
      <c r="AK7" s="79">
        <v>-75374.270000000019</v>
      </c>
      <c r="AL7" s="79">
        <f t="shared" si="1"/>
        <v>-75374.270000000019</v>
      </c>
      <c r="AN7" s="79">
        <v>-61118.57</v>
      </c>
      <c r="AO7" s="79">
        <v>-75374.270000000019</v>
      </c>
      <c r="AP7" s="79">
        <v>-67633.13</v>
      </c>
      <c r="AQ7" s="79">
        <v>-61597.95</v>
      </c>
      <c r="AR7" s="79">
        <v>-71639.61</v>
      </c>
      <c r="AS7" s="79">
        <f t="shared" si="2"/>
        <v>-337363.53</v>
      </c>
      <c r="BB7" s="103" t="s">
        <v>171</v>
      </c>
      <c r="BC7" s="101" t="s">
        <v>841</v>
      </c>
      <c r="BD7" s="117">
        <v>-67633.13</v>
      </c>
      <c r="BE7" s="117">
        <v>-61597.95</v>
      </c>
      <c r="BF7" s="117">
        <v>-71639.61</v>
      </c>
      <c r="BG7" s="117">
        <v>-82313.94</v>
      </c>
      <c r="BH7" s="129">
        <v>-79338.7</v>
      </c>
      <c r="BI7" s="128">
        <f t="shared" si="3"/>
        <v>-362523.33</v>
      </c>
      <c r="BM7" s="103" t="s">
        <v>171</v>
      </c>
      <c r="BN7" s="101" t="s">
        <v>841</v>
      </c>
      <c r="BO7" s="117">
        <v>0</v>
      </c>
      <c r="BP7" s="117">
        <v>-61597.95</v>
      </c>
      <c r="BQ7" s="117">
        <v>-71639.61</v>
      </c>
      <c r="BR7" s="117">
        <v>-82313.94</v>
      </c>
      <c r="BS7" s="129">
        <v>-79338.7</v>
      </c>
      <c r="BT7" s="129"/>
      <c r="BU7" s="128">
        <f t="shared" si="8"/>
        <v>-294890.2</v>
      </c>
      <c r="BW7" s="115">
        <f t="shared" si="9"/>
        <v>-67633.13</v>
      </c>
      <c r="BX7" s="117">
        <v>-67633.13</v>
      </c>
      <c r="BY7" s="117"/>
    </row>
    <row r="8" spans="2:80">
      <c r="B8" s="103" t="s">
        <v>173</v>
      </c>
      <c r="C8" s="101" t="s">
        <v>842</v>
      </c>
      <c r="D8" s="118">
        <v>-63335.89</v>
      </c>
      <c r="E8" s="118">
        <v>-75387.95</v>
      </c>
      <c r="F8" s="118">
        <v>-48204.02</v>
      </c>
      <c r="G8" s="127">
        <v>-90080.48</v>
      </c>
      <c r="H8" s="102">
        <f t="shared" si="0"/>
        <v>-277008.33999999997</v>
      </c>
      <c r="K8" s="112" t="s">
        <v>173</v>
      </c>
      <c r="L8" s="111" t="s">
        <v>842</v>
      </c>
      <c r="M8" s="117">
        <v>0</v>
      </c>
      <c r="N8" s="117">
        <v>-47155.09</v>
      </c>
      <c r="O8" s="117">
        <v>-63335.89</v>
      </c>
      <c r="P8" s="117">
        <v>-75387.95</v>
      </c>
      <c r="Q8" s="117">
        <v>-48204.02</v>
      </c>
      <c r="R8" s="117"/>
      <c r="S8" s="117">
        <f t="shared" si="4"/>
        <v>-234082.94999999998</v>
      </c>
      <c r="T8" s="117">
        <v>-281235.55000000016</v>
      </c>
      <c r="U8" s="115">
        <f t="shared" si="5"/>
        <v>47152.60000000018</v>
      </c>
      <c r="Y8" s="115">
        <f t="shared" si="6"/>
        <v>5.8207660913467407E-11</v>
      </c>
      <c r="Z8" s="117">
        <v>-47152.600000000122</v>
      </c>
      <c r="AA8" s="115">
        <f t="shared" si="7"/>
        <v>5.8207660913467407E-11</v>
      </c>
      <c r="AH8" s="79"/>
      <c r="AI8" s="79"/>
      <c r="AJ8" s="79">
        <v>-55269.34</v>
      </c>
      <c r="AK8" s="79">
        <v>-47152.600000000122</v>
      </c>
      <c r="AL8" s="79">
        <f t="shared" si="1"/>
        <v>-47152.600000000122</v>
      </c>
      <c r="AN8" s="79">
        <v>-55269.34</v>
      </c>
      <c r="AO8" s="79">
        <v>-47152.600000000122</v>
      </c>
      <c r="AP8" s="79">
        <v>-47155.09</v>
      </c>
      <c r="AQ8" s="79">
        <v>-63335.89</v>
      </c>
      <c r="AR8" s="79">
        <v>-75387.95</v>
      </c>
      <c r="AS8" s="79">
        <f t="shared" si="2"/>
        <v>-288300.87000000011</v>
      </c>
      <c r="BB8" s="103" t="s">
        <v>173</v>
      </c>
      <c r="BC8" s="101" t="s">
        <v>842</v>
      </c>
      <c r="BD8" s="117">
        <v>-47155.09</v>
      </c>
      <c r="BE8" s="117">
        <v>-63335.89</v>
      </c>
      <c r="BF8" s="117">
        <v>-75387.95</v>
      </c>
      <c r="BG8" s="117">
        <v>-48204.02</v>
      </c>
      <c r="BH8" s="129">
        <v>-90080.48</v>
      </c>
      <c r="BI8" s="128">
        <f t="shared" si="3"/>
        <v>-324163.43</v>
      </c>
      <c r="BM8" s="103" t="s">
        <v>173</v>
      </c>
      <c r="BN8" s="101" t="s">
        <v>842</v>
      </c>
      <c r="BO8" s="117">
        <v>0</v>
      </c>
      <c r="BP8" s="117">
        <v>-63335.89</v>
      </c>
      <c r="BQ8" s="117">
        <v>-75387.95</v>
      </c>
      <c r="BR8" s="117">
        <v>-48204.02</v>
      </c>
      <c r="BS8" s="129">
        <v>-90080.48</v>
      </c>
      <c r="BT8" s="129"/>
      <c r="BU8" s="128">
        <f t="shared" si="8"/>
        <v>-277008.33999999997</v>
      </c>
      <c r="BW8" s="115">
        <f t="shared" si="9"/>
        <v>-47155.090000000026</v>
      </c>
      <c r="BX8" s="117">
        <v>-47155.09</v>
      </c>
      <c r="BY8" s="117"/>
    </row>
    <row r="9" spans="2:80">
      <c r="B9" s="103" t="s">
        <v>175</v>
      </c>
      <c r="C9" s="101" t="s">
        <v>843</v>
      </c>
      <c r="D9" s="118">
        <v>-67259.81</v>
      </c>
      <c r="E9" s="118">
        <v>-122173.79</v>
      </c>
      <c r="F9" s="118">
        <v>-117877.45</v>
      </c>
      <c r="G9" s="127">
        <v>-145589.54</v>
      </c>
      <c r="H9" s="102">
        <f t="shared" si="0"/>
        <v>-452900.58999999997</v>
      </c>
      <c r="K9" s="112" t="s">
        <v>175</v>
      </c>
      <c r="L9" s="111" t="s">
        <v>843</v>
      </c>
      <c r="M9" s="117">
        <v>0</v>
      </c>
      <c r="N9" s="117">
        <v>-78953.75</v>
      </c>
      <c r="O9" s="117">
        <v>-67259.81</v>
      </c>
      <c r="P9" s="117">
        <v>-122173.79</v>
      </c>
      <c r="Q9" s="117">
        <v>-117877.45</v>
      </c>
      <c r="R9" s="117"/>
      <c r="S9" s="117">
        <f t="shared" si="4"/>
        <v>-386264.8</v>
      </c>
      <c r="T9" s="117">
        <v>-462466.76000000042</v>
      </c>
      <c r="U9" s="115">
        <f t="shared" si="5"/>
        <v>76201.960000000428</v>
      </c>
      <c r="Y9" s="115">
        <f t="shared" si="6"/>
        <v>0</v>
      </c>
      <c r="Z9" s="117">
        <v>-76201.960000000428</v>
      </c>
      <c r="AA9" s="115">
        <f t="shared" si="7"/>
        <v>0</v>
      </c>
      <c r="AH9" s="79"/>
      <c r="AI9" s="79"/>
      <c r="AJ9" s="79">
        <v>-56381.56</v>
      </c>
      <c r="AK9" s="79">
        <v>-76201.960000000428</v>
      </c>
      <c r="AL9" s="79">
        <f t="shared" si="1"/>
        <v>-76201.960000000428</v>
      </c>
      <c r="AN9" s="79">
        <v>-56381.56</v>
      </c>
      <c r="AO9" s="79">
        <v>-76201.960000000428</v>
      </c>
      <c r="AP9" s="79">
        <v>-78953.75</v>
      </c>
      <c r="AQ9" s="79">
        <v>-67259.81</v>
      </c>
      <c r="AR9" s="79">
        <v>-122173.79</v>
      </c>
      <c r="AS9" s="79">
        <f t="shared" si="2"/>
        <v>-400970.8700000004</v>
      </c>
      <c r="BB9" s="103" t="s">
        <v>175</v>
      </c>
      <c r="BC9" s="101" t="s">
        <v>843</v>
      </c>
      <c r="BD9" s="117">
        <v>-78953.75</v>
      </c>
      <c r="BE9" s="117">
        <v>-67259.81</v>
      </c>
      <c r="BF9" s="117">
        <v>-122173.79</v>
      </c>
      <c r="BG9" s="117">
        <v>-117877.45</v>
      </c>
      <c r="BH9" s="129">
        <v>-145589.54</v>
      </c>
      <c r="BI9" s="128">
        <f t="shared" si="3"/>
        <v>-531854.34</v>
      </c>
      <c r="BM9" s="103" t="s">
        <v>175</v>
      </c>
      <c r="BN9" s="101" t="s">
        <v>843</v>
      </c>
      <c r="BO9" s="117">
        <v>0</v>
      </c>
      <c r="BP9" s="117">
        <v>-67259.81</v>
      </c>
      <c r="BQ9" s="117">
        <v>-122173.79</v>
      </c>
      <c r="BR9" s="117">
        <v>-117877.45</v>
      </c>
      <c r="BS9" s="129">
        <v>-145589.54</v>
      </c>
      <c r="BT9" s="129"/>
      <c r="BU9" s="128">
        <f t="shared" si="8"/>
        <v>-452900.58999999997</v>
      </c>
      <c r="BW9" s="115">
        <f t="shared" si="9"/>
        <v>-78953.75</v>
      </c>
      <c r="BX9" s="117">
        <v>-78953.75</v>
      </c>
      <c r="BY9" s="117"/>
    </row>
    <row r="10" spans="2:80">
      <c r="B10" s="103" t="s">
        <v>177</v>
      </c>
      <c r="C10" s="101" t="s">
        <v>844</v>
      </c>
      <c r="D10" s="118">
        <v>-35281.03</v>
      </c>
      <c r="E10" s="118">
        <v>-33514.93</v>
      </c>
      <c r="F10" s="118">
        <v>-54076.480000000003</v>
      </c>
      <c r="G10" s="127">
        <v>-71421.600000000006</v>
      </c>
      <c r="H10" s="102">
        <f t="shared" si="0"/>
        <v>-194294.04</v>
      </c>
      <c r="K10" s="112" t="s">
        <v>177</v>
      </c>
      <c r="L10" s="111" t="s">
        <v>844</v>
      </c>
      <c r="M10" s="117">
        <v>0</v>
      </c>
      <c r="N10" s="117">
        <v>-31333.53</v>
      </c>
      <c r="O10" s="117">
        <v>-35281.03</v>
      </c>
      <c r="P10" s="117">
        <v>-33514.93</v>
      </c>
      <c r="Q10" s="117">
        <v>-54076.480000000003</v>
      </c>
      <c r="R10" s="117"/>
      <c r="S10" s="117">
        <f t="shared" si="4"/>
        <v>-154205.97</v>
      </c>
      <c r="T10" s="117">
        <v>-160077.50999999995</v>
      </c>
      <c r="U10" s="115">
        <f t="shared" si="5"/>
        <v>5871.5399999999499</v>
      </c>
      <c r="Y10" s="115">
        <f t="shared" si="6"/>
        <v>0</v>
      </c>
      <c r="Z10" s="117">
        <v>-5871.5399999999499</v>
      </c>
      <c r="AA10" s="115">
        <f t="shared" si="7"/>
        <v>0</v>
      </c>
      <c r="AH10" s="79"/>
      <c r="AI10" s="79"/>
      <c r="AJ10" s="79">
        <v>-27928.57</v>
      </c>
      <c r="AK10" s="79">
        <v>-5871.5399999999499</v>
      </c>
      <c r="AL10" s="79">
        <f t="shared" si="1"/>
        <v>-5871.5399999999499</v>
      </c>
      <c r="AN10" s="79">
        <v>-27928.57</v>
      </c>
      <c r="AO10" s="79">
        <v>-5871.5399999999499</v>
      </c>
      <c r="AP10" s="79">
        <v>-31333.53</v>
      </c>
      <c r="AQ10" s="79">
        <v>-35281.03</v>
      </c>
      <c r="AR10" s="79">
        <v>-33514.93</v>
      </c>
      <c r="AS10" s="79">
        <f t="shared" si="2"/>
        <v>-133929.59999999995</v>
      </c>
      <c r="BB10" s="103" t="s">
        <v>177</v>
      </c>
      <c r="BC10" s="101" t="s">
        <v>844</v>
      </c>
      <c r="BD10" s="117">
        <v>-31333.53</v>
      </c>
      <c r="BE10" s="117">
        <v>-35281.03</v>
      </c>
      <c r="BF10" s="117">
        <v>-33514.93</v>
      </c>
      <c r="BG10" s="117">
        <v>-54076.480000000003</v>
      </c>
      <c r="BH10" s="129">
        <v>-71421.600000000006</v>
      </c>
      <c r="BI10" s="128">
        <f t="shared" si="3"/>
        <v>-225627.57</v>
      </c>
      <c r="BM10" s="103" t="s">
        <v>177</v>
      </c>
      <c r="BN10" s="101" t="s">
        <v>844</v>
      </c>
      <c r="BO10" s="117">
        <v>0</v>
      </c>
      <c r="BP10" s="117">
        <v>-35281.03</v>
      </c>
      <c r="BQ10" s="117">
        <v>-33514.93</v>
      </c>
      <c r="BR10" s="117">
        <v>-54076.480000000003</v>
      </c>
      <c r="BS10" s="129">
        <v>-71421.600000000006</v>
      </c>
      <c r="BT10" s="129"/>
      <c r="BU10" s="128">
        <f t="shared" si="8"/>
        <v>-194294.04</v>
      </c>
      <c r="BW10" s="115">
        <f t="shared" si="9"/>
        <v>-31333.53</v>
      </c>
      <c r="BX10" s="117">
        <v>-31333.53</v>
      </c>
      <c r="BY10" s="117"/>
    </row>
    <row r="11" spans="2:80">
      <c r="B11" s="103" t="s">
        <v>179</v>
      </c>
      <c r="C11" s="101" t="s">
        <v>845</v>
      </c>
      <c r="D11" s="118">
        <v>-642613.66</v>
      </c>
      <c r="E11" s="118">
        <v>-794129.87</v>
      </c>
      <c r="F11" s="118">
        <v>-728320.67</v>
      </c>
      <c r="G11" s="127">
        <v>-1085526.56</v>
      </c>
      <c r="H11" s="102">
        <f t="shared" si="0"/>
        <v>-3250590.7600000002</v>
      </c>
      <c r="K11" s="112" t="s">
        <v>179</v>
      </c>
      <c r="L11" s="111" t="s">
        <v>845</v>
      </c>
      <c r="M11" s="117">
        <v>0</v>
      </c>
      <c r="N11" s="117">
        <v>-327426.71999999997</v>
      </c>
      <c r="O11" s="117">
        <v>-642613.66</v>
      </c>
      <c r="P11" s="117">
        <v>-794129.87</v>
      </c>
      <c r="Q11" s="117">
        <v>-728320.67</v>
      </c>
      <c r="R11" s="117"/>
      <c r="S11" s="117">
        <f t="shared" si="4"/>
        <v>-2492490.92</v>
      </c>
      <c r="T11" s="117">
        <v>-2718076.679999996</v>
      </c>
      <c r="U11" s="115">
        <f t="shared" si="5"/>
        <v>225585.75999999605</v>
      </c>
      <c r="Y11" s="115">
        <f t="shared" si="6"/>
        <v>0</v>
      </c>
      <c r="Z11" s="117">
        <v>-225585.75999999605</v>
      </c>
      <c r="AA11" s="115">
        <f t="shared" si="7"/>
        <v>0</v>
      </c>
      <c r="AH11" s="79"/>
      <c r="AI11" s="79"/>
      <c r="AJ11" s="79">
        <v>-81269.11</v>
      </c>
      <c r="AK11" s="79">
        <v>-225585.75999999605</v>
      </c>
      <c r="AL11" s="79">
        <f t="shared" si="1"/>
        <v>-225585.75999999605</v>
      </c>
      <c r="AN11" s="79">
        <v>-81269.11</v>
      </c>
      <c r="AO11" s="79">
        <v>-225585.75999999605</v>
      </c>
      <c r="AP11" s="79">
        <v>-327426.71999999997</v>
      </c>
      <c r="AQ11" s="79">
        <v>-642613.66</v>
      </c>
      <c r="AR11" s="79">
        <v>-794129.87</v>
      </c>
      <c r="AS11" s="79">
        <f t="shared" si="2"/>
        <v>-2071025.1199999959</v>
      </c>
      <c r="BB11" s="103" t="s">
        <v>179</v>
      </c>
      <c r="BC11" s="101" t="s">
        <v>845</v>
      </c>
      <c r="BD11" s="117">
        <v>-327426.71999999997</v>
      </c>
      <c r="BE11" s="117">
        <v>-642613.66</v>
      </c>
      <c r="BF11" s="117">
        <v>-794129.87</v>
      </c>
      <c r="BG11" s="117">
        <v>-728320.67</v>
      </c>
      <c r="BH11" s="129">
        <v>-1085526.56</v>
      </c>
      <c r="BI11" s="128">
        <f t="shared" si="3"/>
        <v>-3578017.48</v>
      </c>
      <c r="BM11" s="103" t="s">
        <v>179</v>
      </c>
      <c r="BN11" s="101" t="s">
        <v>845</v>
      </c>
      <c r="BO11" s="117">
        <v>0</v>
      </c>
      <c r="BP11" s="117">
        <v>-642613.66</v>
      </c>
      <c r="BQ11" s="117">
        <v>-794129.87</v>
      </c>
      <c r="BR11" s="117">
        <v>-728320.67</v>
      </c>
      <c r="BS11" s="129">
        <v>-1085526.56</v>
      </c>
      <c r="BT11" s="129"/>
      <c r="BU11" s="128">
        <f t="shared" si="8"/>
        <v>-3250590.7600000002</v>
      </c>
      <c r="BW11" s="115">
        <f t="shared" si="9"/>
        <v>-327426.71999999974</v>
      </c>
      <c r="BX11" s="117">
        <v>-327426.71999999997</v>
      </c>
      <c r="BY11" s="117"/>
    </row>
    <row r="12" spans="2:80">
      <c r="B12" s="103" t="s">
        <v>181</v>
      </c>
      <c r="C12" s="101" t="s">
        <v>846</v>
      </c>
      <c r="D12" s="118">
        <v>-63364.68</v>
      </c>
      <c r="E12" s="118">
        <v>-61575.8</v>
      </c>
      <c r="F12" s="118">
        <v>-52237.86</v>
      </c>
      <c r="G12" s="127">
        <v>-52417.25</v>
      </c>
      <c r="H12" s="102">
        <f t="shared" si="0"/>
        <v>-229595.59000000003</v>
      </c>
      <c r="K12" s="112" t="s">
        <v>181</v>
      </c>
      <c r="L12" s="111" t="s">
        <v>846</v>
      </c>
      <c r="M12" s="117">
        <v>0</v>
      </c>
      <c r="N12" s="117">
        <v>-49395.25</v>
      </c>
      <c r="O12" s="117">
        <v>-63364.68</v>
      </c>
      <c r="P12" s="117">
        <v>-61575.8</v>
      </c>
      <c r="Q12" s="117">
        <v>-52237.86</v>
      </c>
      <c r="R12" s="117"/>
      <c r="S12" s="117">
        <f t="shared" si="4"/>
        <v>-226573.58999999997</v>
      </c>
      <c r="T12" s="117">
        <v>-275000.16000000003</v>
      </c>
      <c r="U12" s="115">
        <f t="shared" si="5"/>
        <v>48426.570000000065</v>
      </c>
      <c r="Y12" s="115">
        <f t="shared" si="6"/>
        <v>0</v>
      </c>
      <c r="Z12" s="117">
        <v>-48426.570000000022</v>
      </c>
      <c r="AA12" s="115">
        <f t="shared" si="7"/>
        <v>0</v>
      </c>
      <c r="AH12" s="79"/>
      <c r="AI12" s="79"/>
      <c r="AJ12" s="79">
        <v>-34731.96</v>
      </c>
      <c r="AK12" s="79">
        <v>-48426.570000000022</v>
      </c>
      <c r="AL12" s="79">
        <f t="shared" si="1"/>
        <v>-48426.570000000022</v>
      </c>
      <c r="AN12" s="79">
        <v>-34731.96</v>
      </c>
      <c r="AO12" s="79">
        <v>-48426.570000000022</v>
      </c>
      <c r="AP12" s="79">
        <v>-49395.25</v>
      </c>
      <c r="AQ12" s="79">
        <v>-63364.68</v>
      </c>
      <c r="AR12" s="79">
        <v>-61575.8</v>
      </c>
      <c r="AS12" s="79">
        <f t="shared" si="2"/>
        <v>-257494.26</v>
      </c>
      <c r="BB12" s="103" t="s">
        <v>181</v>
      </c>
      <c r="BC12" s="101" t="s">
        <v>846</v>
      </c>
      <c r="BD12" s="117">
        <v>-49395.25</v>
      </c>
      <c r="BE12" s="117">
        <v>-63364.68</v>
      </c>
      <c r="BF12" s="117">
        <v>-61575.8</v>
      </c>
      <c r="BG12" s="117">
        <v>-52237.86</v>
      </c>
      <c r="BH12" s="129">
        <v>-52417.25</v>
      </c>
      <c r="BI12" s="128">
        <f t="shared" si="3"/>
        <v>-278990.83999999997</v>
      </c>
      <c r="BM12" s="103" t="s">
        <v>181</v>
      </c>
      <c r="BN12" s="101" t="s">
        <v>846</v>
      </c>
      <c r="BO12" s="117">
        <v>0</v>
      </c>
      <c r="BP12" s="117">
        <v>-63364.68</v>
      </c>
      <c r="BQ12" s="117">
        <v>-61575.8</v>
      </c>
      <c r="BR12" s="117">
        <v>-52237.86</v>
      </c>
      <c r="BS12" s="129">
        <v>-52417.25</v>
      </c>
      <c r="BT12" s="129"/>
      <c r="BU12" s="128">
        <f t="shared" si="8"/>
        <v>-229595.59000000003</v>
      </c>
      <c r="BW12" s="115">
        <f t="shared" si="9"/>
        <v>-49395.249999999942</v>
      </c>
      <c r="BX12" s="117">
        <v>-49395.25</v>
      </c>
      <c r="BY12" s="117"/>
    </row>
    <row r="13" spans="2:80">
      <c r="B13" s="103" t="s">
        <v>183</v>
      </c>
      <c r="C13" s="101" t="s">
        <v>847</v>
      </c>
      <c r="D13" s="118">
        <v>29388.45</v>
      </c>
      <c r="E13" s="118">
        <v>21015.91</v>
      </c>
      <c r="F13" s="118">
        <v>-9562.59</v>
      </c>
      <c r="G13" s="127">
        <v>-20589.36</v>
      </c>
      <c r="H13" s="102">
        <f t="shared" si="0"/>
        <v>20252.410000000003</v>
      </c>
      <c r="K13" s="112" t="s">
        <v>183</v>
      </c>
      <c r="L13" s="111" t="s">
        <v>847</v>
      </c>
      <c r="M13" s="117">
        <v>0</v>
      </c>
      <c r="N13" s="117">
        <v>0</v>
      </c>
      <c r="O13" s="117">
        <v>29388.45</v>
      </c>
      <c r="P13" s="117">
        <v>21015.91</v>
      </c>
      <c r="Q13" s="117">
        <v>-9562.59</v>
      </c>
      <c r="R13" s="117"/>
      <c r="S13" s="117">
        <f t="shared" si="4"/>
        <v>40841.770000000004</v>
      </c>
      <c r="T13" s="117">
        <v>40841.770000000004</v>
      </c>
      <c r="U13" s="115">
        <f t="shared" si="5"/>
        <v>0</v>
      </c>
      <c r="W13" s="115">
        <f>+O13+M13</f>
        <v>29388.45</v>
      </c>
      <c r="X13" s="115"/>
      <c r="Y13" s="115">
        <f t="shared" si="6"/>
        <v>-2436.9699999999998</v>
      </c>
      <c r="Z13" s="117">
        <v>-2436.9699999999998</v>
      </c>
      <c r="AA13" s="115">
        <f t="shared" si="7"/>
        <v>-2436.9699999999998</v>
      </c>
      <c r="AH13" s="82"/>
      <c r="AI13" s="79"/>
      <c r="AJ13" s="79">
        <v>-42758.63</v>
      </c>
      <c r="AK13" s="79">
        <v>-2436.9700000002049</v>
      </c>
      <c r="AL13" s="79">
        <f t="shared" si="1"/>
        <v>-2436.9700000002049</v>
      </c>
      <c r="AN13" s="79">
        <v>-42758.63</v>
      </c>
      <c r="AO13" s="79">
        <v>-2436.9700000002049</v>
      </c>
      <c r="AP13" s="79">
        <v>26941.77</v>
      </c>
      <c r="AQ13" s="79">
        <v>47642.28</v>
      </c>
      <c r="AR13" s="79">
        <v>21015.91</v>
      </c>
      <c r="AS13" s="79">
        <f t="shared" si="2"/>
        <v>50404.359999999797</v>
      </c>
      <c r="AT13" s="87"/>
      <c r="BB13" s="103" t="s">
        <v>183</v>
      </c>
      <c r="BC13" s="101" t="s">
        <v>847</v>
      </c>
      <c r="BD13" s="117">
        <v>0</v>
      </c>
      <c r="BE13" s="117">
        <v>29388.45</v>
      </c>
      <c r="BF13" s="117">
        <v>21015.91</v>
      </c>
      <c r="BG13" s="117">
        <v>-9562.59</v>
      </c>
      <c r="BH13" s="129">
        <v>-20589.36</v>
      </c>
      <c r="BI13" s="128">
        <f t="shared" si="3"/>
        <v>20252.410000000003</v>
      </c>
      <c r="BM13" s="103" t="s">
        <v>183</v>
      </c>
      <c r="BN13" s="101" t="s">
        <v>847</v>
      </c>
      <c r="BO13" s="117">
        <v>0</v>
      </c>
      <c r="BP13" s="117">
        <v>29388.45</v>
      </c>
      <c r="BQ13" s="117">
        <v>21015.91</v>
      </c>
      <c r="BR13" s="117">
        <v>-9562.59</v>
      </c>
      <c r="BS13" s="129">
        <v>-20589.36</v>
      </c>
      <c r="BT13" s="129"/>
      <c r="BU13" s="128">
        <f t="shared" si="8"/>
        <v>20252.410000000003</v>
      </c>
      <c r="BW13" s="115">
        <f t="shared" si="9"/>
        <v>0</v>
      </c>
      <c r="BX13" s="117">
        <v>0</v>
      </c>
      <c r="BY13" s="117"/>
    </row>
    <row r="14" spans="2:80">
      <c r="B14" s="103" t="s">
        <v>185</v>
      </c>
      <c r="C14" s="101" t="s">
        <v>848</v>
      </c>
      <c r="D14" s="118">
        <v>-79531.13</v>
      </c>
      <c r="E14" s="118">
        <v>-98107.25</v>
      </c>
      <c r="F14" s="118">
        <v>-101242.41</v>
      </c>
      <c r="G14" s="127">
        <v>-130255.65</v>
      </c>
      <c r="H14" s="102">
        <f t="shared" si="0"/>
        <v>-409136.44000000006</v>
      </c>
      <c r="K14" s="112" t="s">
        <v>185</v>
      </c>
      <c r="L14" s="111" t="s">
        <v>848</v>
      </c>
      <c r="M14" s="117">
        <v>0</v>
      </c>
      <c r="N14" s="117">
        <v>-85151.59</v>
      </c>
      <c r="O14" s="117">
        <v>-79531.13</v>
      </c>
      <c r="P14" s="117">
        <v>-98107.25</v>
      </c>
      <c r="Q14" s="117">
        <v>-101242.41</v>
      </c>
      <c r="R14" s="117"/>
      <c r="S14" s="117">
        <f t="shared" si="4"/>
        <v>-364032.38</v>
      </c>
      <c r="T14" s="117">
        <v>-416460.74</v>
      </c>
      <c r="U14" s="115">
        <f t="shared" si="5"/>
        <v>52428.359999999986</v>
      </c>
      <c r="Y14" s="115">
        <f t="shared" si="6"/>
        <v>0</v>
      </c>
      <c r="Z14" s="117">
        <v>-52428.359999999986</v>
      </c>
      <c r="AA14" s="115">
        <f t="shared" si="7"/>
        <v>0</v>
      </c>
      <c r="AH14" s="79"/>
      <c r="AI14" s="79"/>
      <c r="AJ14" s="79">
        <v>-61885.02</v>
      </c>
      <c r="AK14" s="79">
        <v>-52428.359999999986</v>
      </c>
      <c r="AL14" s="79">
        <f t="shared" si="1"/>
        <v>-52428.359999999986</v>
      </c>
      <c r="AN14" s="79">
        <v>-61885.02</v>
      </c>
      <c r="AO14" s="79">
        <v>-52428.359999999986</v>
      </c>
      <c r="AP14" s="79">
        <v>-85151.59</v>
      </c>
      <c r="AQ14" s="79">
        <v>-79531.13</v>
      </c>
      <c r="AR14" s="79">
        <v>-98107.25</v>
      </c>
      <c r="AS14" s="79">
        <f t="shared" si="2"/>
        <v>-377103.35</v>
      </c>
      <c r="BB14" s="103" t="s">
        <v>185</v>
      </c>
      <c r="BC14" s="101" t="s">
        <v>848</v>
      </c>
      <c r="BD14" s="117">
        <v>-85151.59</v>
      </c>
      <c r="BE14" s="117">
        <v>-79531.13</v>
      </c>
      <c r="BF14" s="117">
        <v>-98107.25</v>
      </c>
      <c r="BG14" s="117">
        <v>-101242.41</v>
      </c>
      <c r="BH14" s="129">
        <v>-130255.65</v>
      </c>
      <c r="BI14" s="128">
        <f t="shared" si="3"/>
        <v>-494288.03</v>
      </c>
      <c r="BM14" s="103" t="s">
        <v>185</v>
      </c>
      <c r="BN14" s="101" t="s">
        <v>848</v>
      </c>
      <c r="BO14" s="117">
        <v>0</v>
      </c>
      <c r="BP14" s="117">
        <v>-79531.13</v>
      </c>
      <c r="BQ14" s="117">
        <v>-98107.25</v>
      </c>
      <c r="BR14" s="117">
        <v>-101242.41</v>
      </c>
      <c r="BS14" s="129">
        <v>-130255.65</v>
      </c>
      <c r="BT14" s="129"/>
      <c r="BU14" s="128">
        <f t="shared" si="8"/>
        <v>-409136.44000000006</v>
      </c>
      <c r="BW14" s="115">
        <f t="shared" si="9"/>
        <v>-85151.589999999967</v>
      </c>
      <c r="BX14" s="117">
        <v>-85151.59</v>
      </c>
      <c r="BY14" s="117"/>
    </row>
    <row r="15" spans="2:80">
      <c r="B15" s="103" t="s">
        <v>187</v>
      </c>
      <c r="C15" s="101" t="s">
        <v>849</v>
      </c>
      <c r="D15" s="118">
        <v>-102662.38</v>
      </c>
      <c r="E15" s="118">
        <v>-159587.53</v>
      </c>
      <c r="F15" s="118">
        <v>-94931.39</v>
      </c>
      <c r="G15" s="127">
        <v>-174832.48</v>
      </c>
      <c r="H15" s="102">
        <f t="shared" si="0"/>
        <v>-532013.78</v>
      </c>
      <c r="K15" s="112" t="s">
        <v>187</v>
      </c>
      <c r="L15" s="111" t="s">
        <v>849</v>
      </c>
      <c r="M15" s="117">
        <v>0</v>
      </c>
      <c r="N15" s="117">
        <v>-16765.89</v>
      </c>
      <c r="O15" s="117">
        <v>-102662.38</v>
      </c>
      <c r="P15" s="117">
        <v>-159587.53</v>
      </c>
      <c r="Q15" s="117">
        <v>-94931.39</v>
      </c>
      <c r="R15" s="117"/>
      <c r="S15" s="117">
        <f t="shared" si="4"/>
        <v>-373947.19</v>
      </c>
      <c r="T15" s="117">
        <v>-450541.22999999963</v>
      </c>
      <c r="U15" s="115">
        <f t="shared" si="5"/>
        <v>76594.03999999963</v>
      </c>
      <c r="Y15" s="115">
        <f t="shared" si="6"/>
        <v>0</v>
      </c>
      <c r="Z15" s="117">
        <v>-76594.039999999572</v>
      </c>
      <c r="AA15" s="115">
        <f t="shared" si="7"/>
        <v>0</v>
      </c>
      <c r="AH15" s="79"/>
      <c r="AI15" s="79"/>
      <c r="AJ15" s="79">
        <v>-11496.83</v>
      </c>
      <c r="AK15" s="79">
        <v>-76594.039999999572</v>
      </c>
      <c r="AL15" s="79">
        <f t="shared" si="1"/>
        <v>-76594.039999999572</v>
      </c>
      <c r="AN15" s="79">
        <v>-11496.83</v>
      </c>
      <c r="AO15" s="79">
        <v>-76594.039999999572</v>
      </c>
      <c r="AP15" s="79">
        <v>-16765.89</v>
      </c>
      <c r="AQ15" s="79">
        <v>-102662.38</v>
      </c>
      <c r="AR15" s="79">
        <v>-159587.53</v>
      </c>
      <c r="AS15" s="79">
        <f t="shared" si="2"/>
        <v>-367106.66999999958</v>
      </c>
      <c r="BB15" s="103" t="s">
        <v>187</v>
      </c>
      <c r="BC15" s="101" t="s">
        <v>849</v>
      </c>
      <c r="BD15" s="117">
        <v>-16765.89</v>
      </c>
      <c r="BE15" s="117">
        <v>-102662.38</v>
      </c>
      <c r="BF15" s="117">
        <v>-159587.53</v>
      </c>
      <c r="BG15" s="117">
        <v>-94931.39</v>
      </c>
      <c r="BH15" s="129">
        <v>-174832.48</v>
      </c>
      <c r="BI15" s="128">
        <f t="shared" si="3"/>
        <v>-548779.67000000004</v>
      </c>
      <c r="BM15" s="103" t="s">
        <v>187</v>
      </c>
      <c r="BN15" s="101" t="s">
        <v>849</v>
      </c>
      <c r="BO15" s="117">
        <v>0</v>
      </c>
      <c r="BP15" s="117">
        <v>-102662.38</v>
      </c>
      <c r="BQ15" s="117">
        <v>-159587.53</v>
      </c>
      <c r="BR15" s="117">
        <v>-94931.39</v>
      </c>
      <c r="BS15" s="129">
        <v>-174832.48</v>
      </c>
      <c r="BT15" s="129"/>
      <c r="BU15" s="128">
        <f t="shared" si="8"/>
        <v>-532013.78</v>
      </c>
      <c r="BW15" s="115">
        <f t="shared" si="9"/>
        <v>-16765.890000000014</v>
      </c>
      <c r="BX15" s="117">
        <v>-16765.89</v>
      </c>
      <c r="BY15" s="117"/>
    </row>
    <row r="16" spans="2:80">
      <c r="B16" s="103" t="s">
        <v>189</v>
      </c>
      <c r="C16" s="101" t="s">
        <v>850</v>
      </c>
      <c r="D16" s="118">
        <v>-276591.90999999997</v>
      </c>
      <c r="E16" s="118">
        <v>-434476.59</v>
      </c>
      <c r="F16" s="118">
        <v>-290702.68</v>
      </c>
      <c r="G16" s="127">
        <v>-653592.43999999994</v>
      </c>
      <c r="H16" s="102">
        <f t="shared" si="0"/>
        <v>-1655363.6199999999</v>
      </c>
      <c r="K16" s="112" t="s">
        <v>189</v>
      </c>
      <c r="L16" s="111" t="s">
        <v>850</v>
      </c>
      <c r="M16" s="117">
        <v>0</v>
      </c>
      <c r="N16" s="117">
        <v>-275258.40000000002</v>
      </c>
      <c r="O16" s="117">
        <v>-276591.90999999997</v>
      </c>
      <c r="P16" s="117">
        <v>-434476.59</v>
      </c>
      <c r="Q16" s="117">
        <v>-290702.68</v>
      </c>
      <c r="R16" s="117"/>
      <c r="S16" s="117">
        <f t="shared" si="4"/>
        <v>-1277029.58</v>
      </c>
      <c r="T16" s="117">
        <v>-1431126.9700000011</v>
      </c>
      <c r="U16" s="115">
        <f t="shared" si="5"/>
        <v>154097.39000000106</v>
      </c>
      <c r="Y16" s="115">
        <f t="shared" si="6"/>
        <v>0</v>
      </c>
      <c r="Z16" s="117">
        <v>-154097.39000000106</v>
      </c>
      <c r="AA16" s="115">
        <f t="shared" si="7"/>
        <v>0</v>
      </c>
      <c r="AH16" s="79"/>
      <c r="AI16" s="79"/>
      <c r="AJ16" s="79">
        <v>-298791.37</v>
      </c>
      <c r="AK16" s="79">
        <v>-154097.39000000106</v>
      </c>
      <c r="AL16" s="79">
        <f t="shared" si="1"/>
        <v>-154097.39000000106</v>
      </c>
      <c r="AN16" s="79">
        <v>-298791.37</v>
      </c>
      <c r="AO16" s="79">
        <v>-154097.39000000106</v>
      </c>
      <c r="AP16" s="79">
        <v>-275258.40000000002</v>
      </c>
      <c r="AQ16" s="79">
        <v>-276591.90999999997</v>
      </c>
      <c r="AR16" s="79">
        <v>-434476.59</v>
      </c>
      <c r="AS16" s="79">
        <f t="shared" si="2"/>
        <v>-1439215.6600000011</v>
      </c>
      <c r="BB16" s="103" t="s">
        <v>189</v>
      </c>
      <c r="BC16" s="101" t="s">
        <v>850</v>
      </c>
      <c r="BD16" s="117">
        <v>-275258.40000000002</v>
      </c>
      <c r="BE16" s="117">
        <v>-276591.90999999997</v>
      </c>
      <c r="BF16" s="117">
        <v>-434476.59</v>
      </c>
      <c r="BG16" s="117">
        <v>-290702.68</v>
      </c>
      <c r="BH16" s="129">
        <v>-653592.43999999994</v>
      </c>
      <c r="BI16" s="128">
        <f t="shared" si="3"/>
        <v>-1930622.02</v>
      </c>
      <c r="BM16" s="103" t="s">
        <v>189</v>
      </c>
      <c r="BN16" s="101" t="s">
        <v>850</v>
      </c>
      <c r="BO16" s="117">
        <v>0</v>
      </c>
      <c r="BP16" s="117">
        <v>-276591.90999999997</v>
      </c>
      <c r="BQ16" s="117">
        <v>-434476.59</v>
      </c>
      <c r="BR16" s="117">
        <v>-290702.68</v>
      </c>
      <c r="BS16" s="129">
        <v>-653592.43999999994</v>
      </c>
      <c r="BT16" s="129"/>
      <c r="BU16" s="128">
        <f t="shared" si="8"/>
        <v>-1655363.6199999999</v>
      </c>
      <c r="BW16" s="115">
        <f t="shared" si="9"/>
        <v>-275258.40000000014</v>
      </c>
      <c r="BX16" s="117">
        <v>-275258.40000000002</v>
      </c>
      <c r="BY16" s="117"/>
    </row>
    <row r="17" spans="2:83">
      <c r="B17" s="103" t="s">
        <v>191</v>
      </c>
      <c r="C17" s="101" t="s">
        <v>851</v>
      </c>
      <c r="D17" s="118">
        <v>-21732.84</v>
      </c>
      <c r="E17" s="118">
        <v>-59920.92</v>
      </c>
      <c r="F17" s="118">
        <v>-139726.82999999999</v>
      </c>
      <c r="G17" s="127">
        <v>-155496.48000000001</v>
      </c>
      <c r="H17" s="102">
        <f t="shared" si="0"/>
        <v>-376877.06999999995</v>
      </c>
      <c r="K17" s="112" t="s">
        <v>191</v>
      </c>
      <c r="L17" s="111" t="s">
        <v>851</v>
      </c>
      <c r="M17" s="117">
        <v>0</v>
      </c>
      <c r="N17" s="117">
        <v>-26443.200000000001</v>
      </c>
      <c r="O17" s="117">
        <v>-21732.84</v>
      </c>
      <c r="P17" s="117">
        <v>-59920.92</v>
      </c>
      <c r="Q17" s="117">
        <v>-139726.82999999999</v>
      </c>
      <c r="R17" s="117"/>
      <c r="S17" s="117">
        <f t="shared" si="4"/>
        <v>-247823.78999999998</v>
      </c>
      <c r="T17" s="117">
        <v>-270696.63</v>
      </c>
      <c r="U17" s="115">
        <f t="shared" si="5"/>
        <v>22872.840000000026</v>
      </c>
      <c r="Y17" s="115">
        <f t="shared" si="6"/>
        <v>0</v>
      </c>
      <c r="Z17" s="117">
        <v>-22872.840000000026</v>
      </c>
      <c r="AA17" s="115">
        <f t="shared" si="7"/>
        <v>0</v>
      </c>
      <c r="AH17" s="79"/>
      <c r="AI17" s="79"/>
      <c r="AJ17" s="79">
        <v>-30143.26</v>
      </c>
      <c r="AK17" s="79">
        <v>-22872.840000000026</v>
      </c>
      <c r="AL17" s="79">
        <f t="shared" si="1"/>
        <v>-22872.840000000026</v>
      </c>
      <c r="AN17" s="79">
        <v>-30143.26</v>
      </c>
      <c r="AO17" s="79">
        <v>-22872.840000000026</v>
      </c>
      <c r="AP17" s="79">
        <v>-26443.200000000001</v>
      </c>
      <c r="AQ17" s="79">
        <v>-21732.84</v>
      </c>
      <c r="AR17" s="79">
        <v>-59920.92</v>
      </c>
      <c r="AS17" s="79">
        <f t="shared" si="2"/>
        <v>-161113.06</v>
      </c>
      <c r="BB17" s="103" t="s">
        <v>191</v>
      </c>
      <c r="BC17" s="101" t="s">
        <v>851</v>
      </c>
      <c r="BD17" s="117">
        <v>-26443.200000000001</v>
      </c>
      <c r="BE17" s="117">
        <v>-21732.84</v>
      </c>
      <c r="BF17" s="117">
        <v>-59920.92</v>
      </c>
      <c r="BG17" s="117">
        <v>-139726.82999999999</v>
      </c>
      <c r="BH17" s="129">
        <v>-155496.48000000001</v>
      </c>
      <c r="BI17" s="128">
        <f t="shared" si="3"/>
        <v>-403320.27</v>
      </c>
      <c r="BM17" s="103" t="s">
        <v>191</v>
      </c>
      <c r="BN17" s="101" t="s">
        <v>851</v>
      </c>
      <c r="BO17" s="117">
        <v>0</v>
      </c>
      <c r="BP17" s="117">
        <v>-21732.84</v>
      </c>
      <c r="BQ17" s="117">
        <v>-59920.92</v>
      </c>
      <c r="BR17" s="117">
        <v>-139726.82999999999</v>
      </c>
      <c r="BS17" s="129">
        <v>-155496.48000000001</v>
      </c>
      <c r="BT17" s="129"/>
      <c r="BU17" s="128">
        <f t="shared" si="8"/>
        <v>-376877.06999999995</v>
      </c>
      <c r="BW17" s="115">
        <f t="shared" si="9"/>
        <v>-26443.20000000007</v>
      </c>
      <c r="BX17" s="117">
        <v>-26443.200000000001</v>
      </c>
      <c r="BY17" s="117"/>
    </row>
    <row r="18" spans="2:83">
      <c r="B18" s="103" t="s">
        <v>195</v>
      </c>
      <c r="C18" s="101" t="s">
        <v>852</v>
      </c>
      <c r="D18" s="118">
        <v>-51633.95</v>
      </c>
      <c r="E18" s="118">
        <v>-40609.08</v>
      </c>
      <c r="F18" s="118">
        <v>-77064.100000000006</v>
      </c>
      <c r="G18" s="127">
        <v>-82475.56</v>
      </c>
      <c r="H18" s="102">
        <f t="shared" si="0"/>
        <v>-251782.69</v>
      </c>
      <c r="K18" s="112" t="s">
        <v>195</v>
      </c>
      <c r="L18" s="111" t="s">
        <v>852</v>
      </c>
      <c r="M18" s="117">
        <v>0</v>
      </c>
      <c r="N18" s="117">
        <v>-50422.75</v>
      </c>
      <c r="O18" s="117">
        <v>-51633.95</v>
      </c>
      <c r="P18" s="117">
        <v>-40609.08</v>
      </c>
      <c r="Q18" s="117">
        <v>-77064.100000000006</v>
      </c>
      <c r="R18" s="117"/>
      <c r="S18" s="117">
        <f t="shared" si="4"/>
        <v>-219729.88</v>
      </c>
      <c r="T18" s="117">
        <v>-268983.42999999993</v>
      </c>
      <c r="U18" s="115">
        <f t="shared" si="5"/>
        <v>49253.54999999993</v>
      </c>
      <c r="Y18" s="115">
        <f t="shared" si="6"/>
        <v>0</v>
      </c>
      <c r="Z18" s="117">
        <v>-49253.549999999901</v>
      </c>
      <c r="AA18" s="115">
        <f t="shared" si="7"/>
        <v>0</v>
      </c>
      <c r="AH18" s="79"/>
      <c r="AI18" s="79"/>
      <c r="AJ18" s="79">
        <v>-38261.65</v>
      </c>
      <c r="AK18" s="79">
        <v>-49253.549999999901</v>
      </c>
      <c r="AL18" s="79">
        <f t="shared" si="1"/>
        <v>-49253.549999999901</v>
      </c>
      <c r="AN18" s="79">
        <v>-38261.65</v>
      </c>
      <c r="AO18" s="79">
        <v>-49253.549999999901</v>
      </c>
      <c r="AP18" s="79">
        <v>-50422.75</v>
      </c>
      <c r="AQ18" s="79">
        <v>-51633.95</v>
      </c>
      <c r="AR18" s="79">
        <v>-40609.08</v>
      </c>
      <c r="AS18" s="79">
        <f t="shared" si="2"/>
        <v>-230180.97999999992</v>
      </c>
      <c r="BB18" s="103" t="s">
        <v>195</v>
      </c>
      <c r="BC18" s="101" t="s">
        <v>852</v>
      </c>
      <c r="BD18" s="117">
        <v>-50422.75</v>
      </c>
      <c r="BE18" s="117">
        <v>-51633.95</v>
      </c>
      <c r="BF18" s="117">
        <v>-40609.08</v>
      </c>
      <c r="BG18" s="117">
        <v>-77064.100000000006</v>
      </c>
      <c r="BH18" s="129">
        <v>-82475.56</v>
      </c>
      <c r="BI18" s="128">
        <f t="shared" si="3"/>
        <v>-302205.44</v>
      </c>
      <c r="BM18" s="103" t="s">
        <v>195</v>
      </c>
      <c r="BN18" s="101" t="s">
        <v>852</v>
      </c>
      <c r="BO18" s="117">
        <v>0</v>
      </c>
      <c r="BP18" s="117">
        <v>-51633.95</v>
      </c>
      <c r="BQ18" s="117">
        <v>-40609.08</v>
      </c>
      <c r="BR18" s="117">
        <v>-77064.100000000006</v>
      </c>
      <c r="BS18" s="129">
        <v>-82475.56</v>
      </c>
      <c r="BT18" s="129"/>
      <c r="BU18" s="128">
        <f t="shared" si="8"/>
        <v>-251782.69</v>
      </c>
      <c r="BW18" s="115">
        <f t="shared" si="9"/>
        <v>-50422.75</v>
      </c>
      <c r="BX18" s="117">
        <v>-50422.75</v>
      </c>
      <c r="BY18" s="117"/>
    </row>
    <row r="19" spans="2:83">
      <c r="B19" s="103" t="s">
        <v>197</v>
      </c>
      <c r="C19" s="101" t="s">
        <v>853</v>
      </c>
      <c r="D19" s="118">
        <v>-142230.10999999999</v>
      </c>
      <c r="E19" s="118">
        <v>-142809.26</v>
      </c>
      <c r="F19" s="118">
        <v>-217278.9</v>
      </c>
      <c r="G19" s="127">
        <v>-261869.91</v>
      </c>
      <c r="H19" s="102">
        <f t="shared" si="0"/>
        <v>-764188.18</v>
      </c>
      <c r="K19" s="112" t="s">
        <v>197</v>
      </c>
      <c r="L19" s="111" t="s">
        <v>853</v>
      </c>
      <c r="M19" s="117">
        <v>0</v>
      </c>
      <c r="N19" s="117">
        <v>-56194.46</v>
      </c>
      <c r="O19" s="117">
        <v>-142230.10999999999</v>
      </c>
      <c r="P19" s="117">
        <v>-142809.26</v>
      </c>
      <c r="Q19" s="117">
        <v>-217278.9</v>
      </c>
      <c r="R19" s="117"/>
      <c r="S19" s="117">
        <f t="shared" si="4"/>
        <v>-558512.73</v>
      </c>
      <c r="T19" s="117">
        <v>-625268.84</v>
      </c>
      <c r="U19" s="115">
        <f t="shared" si="5"/>
        <v>66756.109999999986</v>
      </c>
      <c r="Y19" s="115">
        <f t="shared" si="6"/>
        <v>0</v>
      </c>
      <c r="Z19" s="117">
        <v>-66756.11</v>
      </c>
      <c r="AA19" s="115">
        <f t="shared" si="7"/>
        <v>0</v>
      </c>
      <c r="AH19" s="79"/>
      <c r="AI19" s="79"/>
      <c r="AJ19" s="79">
        <v>16611.560000000001</v>
      </c>
      <c r="AK19" s="79">
        <v>-83367.669999999693</v>
      </c>
      <c r="AL19" s="79">
        <f t="shared" si="1"/>
        <v>-66756.109999999695</v>
      </c>
      <c r="AN19" s="79">
        <v>16611.560000000001</v>
      </c>
      <c r="AO19" s="79">
        <v>-83367.669999999693</v>
      </c>
      <c r="AP19" s="79">
        <v>-56194.46</v>
      </c>
      <c r="AQ19" s="79">
        <v>-142230.10999999999</v>
      </c>
      <c r="AR19" s="79">
        <v>-142809.26</v>
      </c>
      <c r="AS19" s="79">
        <f t="shared" si="2"/>
        <v>-407989.93999999971</v>
      </c>
      <c r="BB19" s="103" t="s">
        <v>197</v>
      </c>
      <c r="BC19" s="101" t="s">
        <v>853</v>
      </c>
      <c r="BD19" s="117">
        <v>-56194.46</v>
      </c>
      <c r="BE19" s="117">
        <v>-142230.10999999999</v>
      </c>
      <c r="BF19" s="117">
        <v>-142809.26</v>
      </c>
      <c r="BG19" s="117">
        <v>-217278.9</v>
      </c>
      <c r="BH19" s="129">
        <v>-261869.91</v>
      </c>
      <c r="BI19" s="128">
        <f t="shared" si="3"/>
        <v>-820382.64</v>
      </c>
      <c r="BM19" s="103" t="s">
        <v>197</v>
      </c>
      <c r="BN19" s="101" t="s">
        <v>853</v>
      </c>
      <c r="BO19" s="117">
        <v>0</v>
      </c>
      <c r="BP19" s="117">
        <v>-142230.10999999999</v>
      </c>
      <c r="BQ19" s="117">
        <v>-142809.26</v>
      </c>
      <c r="BR19" s="117">
        <v>-217278.9</v>
      </c>
      <c r="BS19" s="129">
        <v>-261869.91</v>
      </c>
      <c r="BT19" s="129"/>
      <c r="BU19" s="128">
        <f t="shared" si="8"/>
        <v>-764188.18</v>
      </c>
      <c r="BW19" s="115">
        <f t="shared" si="9"/>
        <v>-56194.459999999963</v>
      </c>
      <c r="BX19" s="117">
        <v>-56194.46</v>
      </c>
      <c r="BY19" s="117"/>
    </row>
    <row r="20" spans="2:83">
      <c r="B20" s="103" t="s">
        <v>199</v>
      </c>
      <c r="C20" s="101" t="s">
        <v>854</v>
      </c>
      <c r="D20" s="118">
        <v>-100895.79</v>
      </c>
      <c r="E20" s="118">
        <v>-94090.85</v>
      </c>
      <c r="F20" s="118">
        <v>-96878.35</v>
      </c>
      <c r="G20" s="127">
        <v>-94611.91</v>
      </c>
      <c r="H20" s="102">
        <f t="shared" si="0"/>
        <v>-386476.9</v>
      </c>
      <c r="K20" s="112" t="s">
        <v>199</v>
      </c>
      <c r="L20" s="111" t="s">
        <v>854</v>
      </c>
      <c r="M20" s="117">
        <v>0</v>
      </c>
      <c r="N20" s="117">
        <v>-82795.69</v>
      </c>
      <c r="O20" s="117">
        <v>-100895.79</v>
      </c>
      <c r="P20" s="117">
        <v>-94090.85</v>
      </c>
      <c r="Q20" s="117">
        <v>-96878.35</v>
      </c>
      <c r="R20" s="117"/>
      <c r="S20" s="117">
        <f t="shared" si="4"/>
        <v>-374660.67999999993</v>
      </c>
      <c r="T20" s="117">
        <v>-439593.5</v>
      </c>
      <c r="U20" s="115">
        <f t="shared" si="5"/>
        <v>64932.820000000065</v>
      </c>
      <c r="Y20" s="115">
        <f t="shared" si="6"/>
        <v>0</v>
      </c>
      <c r="Z20" s="117">
        <v>-64932.820000000065</v>
      </c>
      <c r="AA20" s="115">
        <f t="shared" si="7"/>
        <v>0</v>
      </c>
      <c r="AH20" s="79"/>
      <c r="AI20" s="79"/>
      <c r="AJ20" s="79">
        <v>-58920.55</v>
      </c>
      <c r="AK20" s="79">
        <v>-64932.820000000065</v>
      </c>
      <c r="AL20" s="79">
        <f t="shared" si="1"/>
        <v>-64932.820000000065</v>
      </c>
      <c r="AN20" s="79">
        <v>-58920.55</v>
      </c>
      <c r="AO20" s="79">
        <v>-64932.820000000065</v>
      </c>
      <c r="AP20" s="79">
        <v>-82795.69</v>
      </c>
      <c r="AQ20" s="79">
        <v>-100895.79</v>
      </c>
      <c r="AR20" s="79">
        <v>-94090.85</v>
      </c>
      <c r="AS20" s="79">
        <f t="shared" si="2"/>
        <v>-401635.70000000007</v>
      </c>
      <c r="BB20" s="103" t="s">
        <v>199</v>
      </c>
      <c r="BC20" s="101" t="s">
        <v>854</v>
      </c>
      <c r="BD20" s="117">
        <v>-82795.69</v>
      </c>
      <c r="BE20" s="117">
        <v>-100895.79</v>
      </c>
      <c r="BF20" s="117">
        <v>-94090.85</v>
      </c>
      <c r="BG20" s="117">
        <v>-96878.35</v>
      </c>
      <c r="BH20" s="129">
        <v>-94611.91</v>
      </c>
      <c r="BI20" s="128">
        <f t="shared" si="3"/>
        <v>-469272.58999999997</v>
      </c>
      <c r="BM20" s="103" t="s">
        <v>199</v>
      </c>
      <c r="BN20" s="101" t="s">
        <v>854</v>
      </c>
      <c r="BO20" s="117">
        <v>0</v>
      </c>
      <c r="BP20" s="117">
        <v>-100895.79</v>
      </c>
      <c r="BQ20" s="117">
        <v>-94090.85</v>
      </c>
      <c r="BR20" s="117">
        <v>-96878.35</v>
      </c>
      <c r="BS20" s="129">
        <v>-94611.91</v>
      </c>
      <c r="BT20" s="129"/>
      <c r="BU20" s="128">
        <f t="shared" si="8"/>
        <v>-386476.9</v>
      </c>
      <c r="BW20" s="115">
        <f t="shared" si="9"/>
        <v>-82795.689999999944</v>
      </c>
      <c r="BX20" s="117">
        <v>-82795.69</v>
      </c>
      <c r="BY20" s="117"/>
    </row>
    <row r="21" spans="2:83">
      <c r="B21" s="103" t="s">
        <v>201</v>
      </c>
      <c r="C21" s="101" t="s">
        <v>855</v>
      </c>
      <c r="D21" s="118">
        <v>-112038.78</v>
      </c>
      <c r="E21" s="118">
        <v>-149187.70000000001</v>
      </c>
      <c r="F21" s="118">
        <v>-141725.65</v>
      </c>
      <c r="G21" s="127">
        <v>-183439.03</v>
      </c>
      <c r="H21" s="102">
        <f t="shared" si="0"/>
        <v>-586391.16</v>
      </c>
      <c r="K21" s="112" t="s">
        <v>201</v>
      </c>
      <c r="L21" s="111" t="s">
        <v>855</v>
      </c>
      <c r="M21" s="117">
        <v>0</v>
      </c>
      <c r="N21" s="117">
        <v>-122765.65</v>
      </c>
      <c r="O21" s="117">
        <v>-112038.78</v>
      </c>
      <c r="P21" s="117">
        <v>-149187.70000000001</v>
      </c>
      <c r="Q21" s="117">
        <v>-141725.65</v>
      </c>
      <c r="R21" s="117"/>
      <c r="S21" s="117">
        <f t="shared" si="4"/>
        <v>-525717.78</v>
      </c>
      <c r="T21" s="117">
        <v>-639874.60000000009</v>
      </c>
      <c r="U21" s="115">
        <f t="shared" si="5"/>
        <v>114156.82000000007</v>
      </c>
      <c r="Y21" s="115">
        <f t="shared" si="6"/>
        <v>0</v>
      </c>
      <c r="Z21" s="117">
        <v>-114156.82000000007</v>
      </c>
      <c r="AA21" s="115">
        <f t="shared" si="7"/>
        <v>0</v>
      </c>
      <c r="AH21" s="79"/>
      <c r="AI21" s="79"/>
      <c r="AJ21" s="79">
        <v>-106765.02</v>
      </c>
      <c r="AK21" s="79">
        <v>-114156.82000000007</v>
      </c>
      <c r="AL21" s="79">
        <f t="shared" si="1"/>
        <v>-114156.82000000007</v>
      </c>
      <c r="AN21" s="79">
        <v>-106765.02</v>
      </c>
      <c r="AO21" s="79">
        <v>-114156.82000000007</v>
      </c>
      <c r="AP21" s="79">
        <v>-122765.65</v>
      </c>
      <c r="AQ21" s="79">
        <v>-112038.78</v>
      </c>
      <c r="AR21" s="79">
        <v>-149187.70000000001</v>
      </c>
      <c r="AS21" s="79">
        <f t="shared" si="2"/>
        <v>-604913.9700000002</v>
      </c>
      <c r="BB21" s="103" t="s">
        <v>201</v>
      </c>
      <c r="BC21" s="101" t="s">
        <v>855</v>
      </c>
      <c r="BD21" s="117">
        <v>-122765.65</v>
      </c>
      <c r="BE21" s="117">
        <v>-112038.78</v>
      </c>
      <c r="BF21" s="117">
        <v>-149187.70000000001</v>
      </c>
      <c r="BG21" s="117">
        <v>-141725.65</v>
      </c>
      <c r="BH21" s="129">
        <v>-183439.03</v>
      </c>
      <c r="BI21" s="128">
        <f t="shared" si="3"/>
        <v>-709156.81</v>
      </c>
      <c r="BM21" s="103" t="s">
        <v>201</v>
      </c>
      <c r="BN21" s="101" t="s">
        <v>855</v>
      </c>
      <c r="BO21" s="117">
        <v>0</v>
      </c>
      <c r="BP21" s="117">
        <v>-112038.78</v>
      </c>
      <c r="BQ21" s="117">
        <v>-149187.70000000001</v>
      </c>
      <c r="BR21" s="117">
        <v>-141725.65</v>
      </c>
      <c r="BS21" s="129">
        <v>-183439.03</v>
      </c>
      <c r="BT21" s="129"/>
      <c r="BU21" s="128">
        <f t="shared" si="8"/>
        <v>-586391.16</v>
      </c>
      <c r="BW21" s="115">
        <f t="shared" si="9"/>
        <v>-122765.65000000002</v>
      </c>
      <c r="BX21" s="117">
        <v>-122765.65</v>
      </c>
      <c r="BY21" s="117"/>
    </row>
    <row r="22" spans="2:83">
      <c r="B22" s="103" t="s">
        <v>203</v>
      </c>
      <c r="C22" s="101" t="s">
        <v>856</v>
      </c>
      <c r="D22" s="118">
        <v>63489.14</v>
      </c>
      <c r="E22" s="118">
        <v>-145012.81</v>
      </c>
      <c r="F22" s="118">
        <v>-53312.52</v>
      </c>
      <c r="G22" s="127">
        <v>-181563.74</v>
      </c>
      <c r="H22" s="102">
        <f t="shared" si="0"/>
        <v>-316399.93</v>
      </c>
      <c r="K22" s="112" t="s">
        <v>203</v>
      </c>
      <c r="L22" s="111" t="s">
        <v>856</v>
      </c>
      <c r="M22" s="117">
        <v>0</v>
      </c>
      <c r="N22" s="117">
        <v>3194.95</v>
      </c>
      <c r="O22" s="117">
        <v>60294.19</v>
      </c>
      <c r="P22" s="117">
        <v>-145012.81</v>
      </c>
      <c r="Q22" s="117">
        <v>-53312.52</v>
      </c>
      <c r="R22" s="117"/>
      <c r="S22" s="117">
        <f t="shared" si="4"/>
        <v>-134836.19</v>
      </c>
      <c r="T22" s="117">
        <v>-134836.19</v>
      </c>
      <c r="U22" s="115">
        <f t="shared" si="5"/>
        <v>0</v>
      </c>
      <c r="W22" s="115">
        <f>+N22+M22</f>
        <v>3194.95</v>
      </c>
      <c r="Y22" s="115">
        <f t="shared" si="6"/>
        <v>-85376.44</v>
      </c>
      <c r="Z22" s="117">
        <v>-85376.44</v>
      </c>
      <c r="AA22" s="115">
        <f t="shared" si="7"/>
        <v>-85376.44</v>
      </c>
      <c r="AH22" s="79"/>
      <c r="AI22" s="79"/>
      <c r="AJ22" s="79">
        <v>13154.5</v>
      </c>
      <c r="AK22" s="79">
        <v>-98530.939999999478</v>
      </c>
      <c r="AL22" s="79">
        <f t="shared" si="1"/>
        <v>-85376.439999999478</v>
      </c>
      <c r="AN22" s="79">
        <v>13154.5</v>
      </c>
      <c r="AO22" s="79">
        <v>-98530.939999999478</v>
      </c>
      <c r="AP22" s="79">
        <v>88571.39</v>
      </c>
      <c r="AQ22" s="79">
        <v>60294.19</v>
      </c>
      <c r="AR22" s="79">
        <v>-145012.81</v>
      </c>
      <c r="AS22" s="79">
        <f t="shared" si="2"/>
        <v>-81523.669999999474</v>
      </c>
      <c r="BB22" s="103" t="s">
        <v>203</v>
      </c>
      <c r="BC22" s="101" t="s">
        <v>856</v>
      </c>
      <c r="BD22" s="117">
        <v>3194.95</v>
      </c>
      <c r="BE22" s="117">
        <v>60294.19</v>
      </c>
      <c r="BF22" s="117">
        <v>-145012.81</v>
      </c>
      <c r="BG22" s="117">
        <v>-53312.52</v>
      </c>
      <c r="BH22" s="129">
        <v>-181563.74</v>
      </c>
      <c r="BI22" s="128">
        <f t="shared" si="3"/>
        <v>-316399.93</v>
      </c>
      <c r="BM22" s="103" t="s">
        <v>203</v>
      </c>
      <c r="BN22" s="101" t="s">
        <v>856</v>
      </c>
      <c r="BO22" s="117">
        <v>0</v>
      </c>
      <c r="BP22" s="131">
        <v>63489.14</v>
      </c>
      <c r="BQ22" s="117">
        <v>-145012.81</v>
      </c>
      <c r="BR22" s="117">
        <v>-53312.52</v>
      </c>
      <c r="BS22" s="129">
        <v>-181563.74</v>
      </c>
      <c r="BT22" s="129"/>
      <c r="BU22" s="128">
        <f t="shared" si="8"/>
        <v>-316399.93</v>
      </c>
      <c r="BW22" s="130">
        <f t="shared" si="9"/>
        <v>0</v>
      </c>
      <c r="BX22" s="131">
        <v>3194.95</v>
      </c>
      <c r="BY22" s="131">
        <v>60294.19</v>
      </c>
      <c r="BZ22" s="120"/>
      <c r="CA22" s="120"/>
      <c r="CB22" s="120"/>
      <c r="CC22" s="130">
        <f>+BO22+BP22</f>
        <v>63489.14</v>
      </c>
      <c r="CD22" s="115">
        <f>+BX22+BY22</f>
        <v>63489.14</v>
      </c>
      <c r="CE22" s="115">
        <f>+CC22-CD22</f>
        <v>0</v>
      </c>
    </row>
    <row r="23" spans="2:83">
      <c r="B23" s="103" t="s">
        <v>205</v>
      </c>
      <c r="C23" s="101" t="s">
        <v>857</v>
      </c>
      <c r="D23" s="118">
        <v>-103680.08</v>
      </c>
      <c r="E23" s="118">
        <v>-163792.43</v>
      </c>
      <c r="F23" s="118">
        <v>-73164.62</v>
      </c>
      <c r="G23" s="127">
        <v>-163599.13</v>
      </c>
      <c r="H23" s="102">
        <f t="shared" si="0"/>
        <v>-504236.26</v>
      </c>
      <c r="K23" s="112" t="s">
        <v>205</v>
      </c>
      <c r="L23" s="111" t="s">
        <v>857</v>
      </c>
      <c r="M23" s="117">
        <v>0</v>
      </c>
      <c r="N23" s="117">
        <v>-99753.41</v>
      </c>
      <c r="O23" s="117">
        <v>-103680.08</v>
      </c>
      <c r="P23" s="117">
        <v>-163792.43</v>
      </c>
      <c r="Q23" s="117">
        <v>-73164.62</v>
      </c>
      <c r="R23" s="117"/>
      <c r="S23" s="117">
        <f t="shared" si="4"/>
        <v>-440390.54</v>
      </c>
      <c r="T23" s="117">
        <v>-467466.38999999984</v>
      </c>
      <c r="U23" s="115">
        <f t="shared" si="5"/>
        <v>27075.84999999986</v>
      </c>
      <c r="Y23" s="115">
        <f t="shared" si="6"/>
        <v>0</v>
      </c>
      <c r="Z23" s="117">
        <v>-27075.84999999986</v>
      </c>
      <c r="AA23" s="115">
        <f t="shared" si="7"/>
        <v>0</v>
      </c>
      <c r="AH23" s="79"/>
      <c r="AI23" s="79"/>
      <c r="AJ23" s="79">
        <v>-35557.47</v>
      </c>
      <c r="AK23" s="79">
        <v>-27075.84999999986</v>
      </c>
      <c r="AL23" s="79">
        <f t="shared" si="1"/>
        <v>-27075.84999999986</v>
      </c>
      <c r="AN23" s="79">
        <v>-35557.47</v>
      </c>
      <c r="AO23" s="79">
        <v>-27075.84999999986</v>
      </c>
      <c r="AP23" s="79">
        <v>-99753.41</v>
      </c>
      <c r="AQ23" s="79">
        <v>-103680.08</v>
      </c>
      <c r="AR23" s="79">
        <v>-163792.43</v>
      </c>
      <c r="AS23" s="79">
        <f t="shared" si="2"/>
        <v>-429859.23999999987</v>
      </c>
      <c r="BB23" s="103" t="s">
        <v>205</v>
      </c>
      <c r="BC23" s="101" t="s">
        <v>857</v>
      </c>
      <c r="BD23" s="117">
        <v>-99753.41</v>
      </c>
      <c r="BE23" s="117">
        <v>-103680.08</v>
      </c>
      <c r="BF23" s="117">
        <v>-163792.43</v>
      </c>
      <c r="BG23" s="117">
        <v>-73164.62</v>
      </c>
      <c r="BH23" s="129">
        <v>-163599.13</v>
      </c>
      <c r="BI23" s="128">
        <f t="shared" si="3"/>
        <v>-603989.66999999993</v>
      </c>
      <c r="BM23" s="103" t="s">
        <v>205</v>
      </c>
      <c r="BN23" s="101" t="s">
        <v>857</v>
      </c>
      <c r="BO23" s="117">
        <v>0</v>
      </c>
      <c r="BP23" s="117">
        <v>-103680.08</v>
      </c>
      <c r="BQ23" s="117">
        <v>-163792.43</v>
      </c>
      <c r="BR23" s="117">
        <v>-73164.62</v>
      </c>
      <c r="BS23" s="129">
        <v>-163599.13</v>
      </c>
      <c r="BT23" s="129"/>
      <c r="BU23" s="128">
        <f t="shared" si="8"/>
        <v>-504236.26</v>
      </c>
      <c r="BW23" s="115">
        <f t="shared" si="9"/>
        <v>-99753.409999999916</v>
      </c>
      <c r="BX23" s="117">
        <v>-99753.41</v>
      </c>
      <c r="BY23" s="117"/>
      <c r="BZ23" s="120"/>
      <c r="CA23" s="120"/>
      <c r="CB23" s="120"/>
    </row>
    <row r="24" spans="2:83">
      <c r="B24" s="103" t="s">
        <v>207</v>
      </c>
      <c r="C24" s="101" t="s">
        <v>858</v>
      </c>
      <c r="D24" s="118">
        <v>-42992.39</v>
      </c>
      <c r="E24" s="118">
        <v>-47005.53</v>
      </c>
      <c r="F24" s="118">
        <v>-58246.06</v>
      </c>
      <c r="G24" s="127">
        <v>-56738.36</v>
      </c>
      <c r="H24" s="102">
        <f t="shared" si="0"/>
        <v>-204982.33999999997</v>
      </c>
      <c r="K24" s="112" t="s">
        <v>207</v>
      </c>
      <c r="L24" s="111" t="s">
        <v>858</v>
      </c>
      <c r="M24" s="117">
        <v>0</v>
      </c>
      <c r="N24" s="117">
        <v>-15673.03</v>
      </c>
      <c r="O24" s="117">
        <v>-42992.39</v>
      </c>
      <c r="P24" s="117">
        <v>-47005.53</v>
      </c>
      <c r="Q24" s="117">
        <v>-58246.06</v>
      </c>
      <c r="R24" s="117"/>
      <c r="S24" s="117">
        <f t="shared" si="4"/>
        <v>-163917.01</v>
      </c>
      <c r="T24" s="117">
        <v>-175872.03000000009</v>
      </c>
      <c r="U24" s="115">
        <f t="shared" si="5"/>
        <v>11955.020000000077</v>
      </c>
      <c r="Y24" s="115">
        <f t="shared" si="6"/>
        <v>-2.9103830456733704E-11</v>
      </c>
      <c r="Z24" s="117">
        <v>-11955.020000000106</v>
      </c>
      <c r="AA24" s="115">
        <f t="shared" si="7"/>
        <v>-2.9103830456733704E-11</v>
      </c>
      <c r="AH24" s="79"/>
      <c r="AI24" s="79"/>
      <c r="AJ24" s="79">
        <v>-25734.14</v>
      </c>
      <c r="AK24" s="79">
        <v>-11955.020000000106</v>
      </c>
      <c r="AL24" s="79">
        <f t="shared" si="1"/>
        <v>-11955.020000000106</v>
      </c>
      <c r="AN24" s="79">
        <v>-25734.14</v>
      </c>
      <c r="AO24" s="79">
        <v>-11955.020000000106</v>
      </c>
      <c r="AP24" s="79">
        <v>-15673.03</v>
      </c>
      <c r="AQ24" s="79">
        <v>-42992.39</v>
      </c>
      <c r="AR24" s="79">
        <v>-47005.53</v>
      </c>
      <c r="AS24" s="79">
        <f t="shared" si="2"/>
        <v>-143360.1100000001</v>
      </c>
      <c r="BB24" s="103" t="s">
        <v>207</v>
      </c>
      <c r="BC24" s="101" t="s">
        <v>858</v>
      </c>
      <c r="BD24" s="117">
        <v>-15673.03</v>
      </c>
      <c r="BE24" s="117">
        <v>-42992.39</v>
      </c>
      <c r="BF24" s="117">
        <v>-47005.53</v>
      </c>
      <c r="BG24" s="117">
        <v>-58246.06</v>
      </c>
      <c r="BH24" s="129">
        <v>-56738.36</v>
      </c>
      <c r="BI24" s="128">
        <f t="shared" si="3"/>
        <v>-220655.37</v>
      </c>
      <c r="BM24" s="103" t="s">
        <v>207</v>
      </c>
      <c r="BN24" s="101" t="s">
        <v>858</v>
      </c>
      <c r="BO24" s="117">
        <v>0</v>
      </c>
      <c r="BP24" s="117">
        <v>-42992.39</v>
      </c>
      <c r="BQ24" s="117">
        <v>-47005.53</v>
      </c>
      <c r="BR24" s="117">
        <v>-58246.06</v>
      </c>
      <c r="BS24" s="129">
        <v>-56738.36</v>
      </c>
      <c r="BT24" s="129"/>
      <c r="BU24" s="128">
        <f t="shared" si="8"/>
        <v>-204982.33999999997</v>
      </c>
      <c r="BW24" s="115">
        <f t="shared" si="9"/>
        <v>-15673.030000000028</v>
      </c>
      <c r="BX24" s="117">
        <v>-15673.03</v>
      </c>
      <c r="BY24" s="117"/>
      <c r="BZ24" s="120"/>
      <c r="CA24" s="120"/>
      <c r="CB24" s="120"/>
    </row>
    <row r="25" spans="2:83">
      <c r="B25" s="103" t="s">
        <v>209</v>
      </c>
      <c r="C25" s="101" t="s">
        <v>859</v>
      </c>
      <c r="D25" s="118">
        <v>-213732.18</v>
      </c>
      <c r="E25" s="118">
        <v>-92883.23</v>
      </c>
      <c r="F25" s="118">
        <v>-163559.16</v>
      </c>
      <c r="G25" s="127">
        <v>-303170.17</v>
      </c>
      <c r="H25" s="102">
        <f t="shared" si="0"/>
        <v>-773344.74</v>
      </c>
      <c r="K25" s="112" t="s">
        <v>209</v>
      </c>
      <c r="L25" s="111" t="s">
        <v>859</v>
      </c>
      <c r="M25" s="117">
        <v>0</v>
      </c>
      <c r="N25" s="117">
        <v>-69692.38</v>
      </c>
      <c r="O25" s="117">
        <v>-213732.18</v>
      </c>
      <c r="P25" s="117">
        <v>-92883.23</v>
      </c>
      <c r="Q25" s="117">
        <v>-163559.16</v>
      </c>
      <c r="R25" s="117"/>
      <c r="S25" s="117">
        <f t="shared" si="4"/>
        <v>-539866.94999999995</v>
      </c>
      <c r="T25" s="117">
        <v>-539866.94999999995</v>
      </c>
      <c r="U25" s="115">
        <f t="shared" si="5"/>
        <v>0</v>
      </c>
      <c r="W25" s="115">
        <f>+N25+M25</f>
        <v>-69692.38</v>
      </c>
      <c r="Y25" s="115">
        <f t="shared" si="6"/>
        <v>36892.769999999997</v>
      </c>
      <c r="Z25" s="117">
        <v>36892.769999999997</v>
      </c>
      <c r="AA25" s="115">
        <f t="shared" si="7"/>
        <v>36892.769999999997</v>
      </c>
      <c r="AH25" s="79"/>
      <c r="AI25" s="79"/>
      <c r="AJ25" s="79">
        <v>69807.789999999994</v>
      </c>
      <c r="AK25" s="79">
        <v>-32915.020000000717</v>
      </c>
      <c r="AL25" s="79">
        <f t="shared" si="1"/>
        <v>36892.769999999276</v>
      </c>
      <c r="AN25" s="79">
        <v>69807.789999999994</v>
      </c>
      <c r="AO25" s="79">
        <v>-32915.020000000717</v>
      </c>
      <c r="AP25" s="79">
        <v>-106585.15</v>
      </c>
      <c r="AQ25" s="79">
        <v>-213732.18</v>
      </c>
      <c r="AR25" s="79">
        <v>-92883.23</v>
      </c>
      <c r="AS25" s="79">
        <f t="shared" si="2"/>
        <v>-376307.79000000068</v>
      </c>
      <c r="AU25" s="79">
        <f>+AN25+AO25</f>
        <v>36892.769999999276</v>
      </c>
      <c r="BB25" s="103" t="s">
        <v>209</v>
      </c>
      <c r="BC25" s="101" t="s">
        <v>859</v>
      </c>
      <c r="BD25" s="117">
        <v>-69692.38</v>
      </c>
      <c r="BE25" s="117">
        <v>-213732.18</v>
      </c>
      <c r="BF25" s="117">
        <v>-92883.23</v>
      </c>
      <c r="BG25" s="117">
        <v>-163559.16</v>
      </c>
      <c r="BH25" s="129">
        <v>-303170.17</v>
      </c>
      <c r="BI25" s="128">
        <f t="shared" si="3"/>
        <v>-843037.11999999988</v>
      </c>
      <c r="BM25" s="103" t="s">
        <v>209</v>
      </c>
      <c r="BN25" s="101" t="s">
        <v>859</v>
      </c>
      <c r="BO25" s="117">
        <v>0</v>
      </c>
      <c r="BP25" s="117">
        <v>-213732.18</v>
      </c>
      <c r="BQ25" s="117">
        <v>-92883.23</v>
      </c>
      <c r="BR25" s="117">
        <v>-163559.16</v>
      </c>
      <c r="BS25" s="129">
        <v>-303170.17</v>
      </c>
      <c r="BT25" s="129"/>
      <c r="BU25" s="128">
        <f t="shared" si="8"/>
        <v>-773344.74</v>
      </c>
      <c r="BW25" s="115">
        <f t="shared" si="9"/>
        <v>-69692.379999999888</v>
      </c>
      <c r="BX25" s="117">
        <v>-69692.38</v>
      </c>
      <c r="BY25" s="117"/>
      <c r="BZ25" s="120"/>
      <c r="CA25" s="120"/>
      <c r="CB25" s="120"/>
    </row>
    <row r="26" spans="2:83">
      <c r="B26" s="103" t="s">
        <v>211</v>
      </c>
      <c r="C26" s="101" t="s">
        <v>860</v>
      </c>
      <c r="D26" s="118">
        <v>-252891.84</v>
      </c>
      <c r="E26" s="118">
        <v>-232498</v>
      </c>
      <c r="F26" s="118">
        <v>-221871.41</v>
      </c>
      <c r="G26" s="127">
        <v>-243592.28</v>
      </c>
      <c r="H26" s="102">
        <f t="shared" si="0"/>
        <v>-950853.53</v>
      </c>
      <c r="K26" s="112" t="s">
        <v>211</v>
      </c>
      <c r="L26" s="111" t="s">
        <v>860</v>
      </c>
      <c r="M26" s="117">
        <v>0</v>
      </c>
      <c r="N26" s="117">
        <v>-216681.2</v>
      </c>
      <c r="O26" s="117">
        <v>-252891.84</v>
      </c>
      <c r="P26" s="117">
        <v>-232498</v>
      </c>
      <c r="Q26" s="117">
        <v>-221871.41</v>
      </c>
      <c r="R26" s="117"/>
      <c r="S26" s="117">
        <f t="shared" si="4"/>
        <v>-923942.45000000007</v>
      </c>
      <c r="T26" s="117">
        <v>-1166003.47</v>
      </c>
      <c r="U26" s="115">
        <f t="shared" si="5"/>
        <v>242061.0199999999</v>
      </c>
      <c r="W26" s="115"/>
      <c r="Y26" s="115">
        <f t="shared" si="6"/>
        <v>0</v>
      </c>
      <c r="Z26" s="117">
        <v>-242061.0199999999</v>
      </c>
      <c r="AA26" s="115">
        <f t="shared" si="7"/>
        <v>0</v>
      </c>
      <c r="AH26" s="79"/>
      <c r="AI26" s="79"/>
      <c r="AJ26" s="79">
        <v>-194069.29</v>
      </c>
      <c r="AK26" s="79">
        <v>-242061.0199999999</v>
      </c>
      <c r="AL26" s="79">
        <f t="shared" si="1"/>
        <v>-242061.0199999999</v>
      </c>
      <c r="AN26" s="79">
        <v>-194069.29</v>
      </c>
      <c r="AO26" s="79">
        <v>-242061.0199999999</v>
      </c>
      <c r="AP26" s="79">
        <v>-216681.2</v>
      </c>
      <c r="AQ26" s="79">
        <v>-252891.84</v>
      </c>
      <c r="AR26" s="79">
        <v>-232498</v>
      </c>
      <c r="AS26" s="79">
        <f t="shared" si="2"/>
        <v>-1138201.3500000001</v>
      </c>
      <c r="BB26" s="103" t="s">
        <v>211</v>
      </c>
      <c r="BC26" s="101" t="s">
        <v>860</v>
      </c>
      <c r="BD26" s="117">
        <v>-216681.2</v>
      </c>
      <c r="BE26" s="117">
        <v>-252891.84</v>
      </c>
      <c r="BF26" s="117">
        <v>-232498</v>
      </c>
      <c r="BG26" s="117">
        <v>-221871.41</v>
      </c>
      <c r="BH26" s="129">
        <v>-243592.28</v>
      </c>
      <c r="BI26" s="128">
        <f t="shared" si="3"/>
        <v>-1167534.73</v>
      </c>
      <c r="BM26" s="103" t="s">
        <v>211</v>
      </c>
      <c r="BN26" s="101" t="s">
        <v>860</v>
      </c>
      <c r="BO26" s="117">
        <v>0</v>
      </c>
      <c r="BP26" s="117">
        <v>-252891.84</v>
      </c>
      <c r="BQ26" s="117">
        <v>-232498</v>
      </c>
      <c r="BR26" s="117">
        <v>-221871.41</v>
      </c>
      <c r="BS26" s="129">
        <v>-243592.28</v>
      </c>
      <c r="BT26" s="129"/>
      <c r="BU26" s="128">
        <f t="shared" si="8"/>
        <v>-950853.53</v>
      </c>
      <c r="BW26" s="115">
        <f t="shared" si="9"/>
        <v>-216681.19999999995</v>
      </c>
      <c r="BX26" s="117">
        <v>-216681.2</v>
      </c>
      <c r="BY26" s="117"/>
      <c r="BZ26" s="120"/>
      <c r="CA26" s="120"/>
      <c r="CB26" s="120"/>
    </row>
    <row r="27" spans="2:83">
      <c r="B27" s="103" t="s">
        <v>213</v>
      </c>
      <c r="C27" s="101" t="s">
        <v>861</v>
      </c>
      <c r="D27" s="118">
        <v>-125627.63</v>
      </c>
      <c r="E27" s="118">
        <v>-164235.70000000001</v>
      </c>
      <c r="F27" s="118">
        <v>-217196.92</v>
      </c>
      <c r="G27" s="127">
        <v>-124509.57</v>
      </c>
      <c r="H27" s="102">
        <f t="shared" si="0"/>
        <v>-631569.82000000007</v>
      </c>
      <c r="K27" s="112" t="s">
        <v>213</v>
      </c>
      <c r="L27" s="111" t="s">
        <v>861</v>
      </c>
      <c r="M27" s="117">
        <v>0</v>
      </c>
      <c r="N27" s="117">
        <v>-71784.5</v>
      </c>
      <c r="O27" s="117">
        <v>-125627.63</v>
      </c>
      <c r="P27" s="117">
        <v>-164235.70000000001</v>
      </c>
      <c r="Q27" s="117">
        <v>-217196.92</v>
      </c>
      <c r="R27" s="117"/>
      <c r="S27" s="117">
        <f t="shared" si="4"/>
        <v>-578844.75</v>
      </c>
      <c r="T27" s="117">
        <v>-578844.75</v>
      </c>
      <c r="U27" s="115">
        <f t="shared" si="5"/>
        <v>0</v>
      </c>
      <c r="W27" s="115">
        <f>+N27+M27</f>
        <v>-71784.5</v>
      </c>
      <c r="Y27" s="115">
        <f t="shared" si="6"/>
        <v>84319.64</v>
      </c>
      <c r="Z27" s="117">
        <v>84319.64</v>
      </c>
      <c r="AA27" s="115">
        <f t="shared" si="7"/>
        <v>84319.64</v>
      </c>
      <c r="AH27" s="82"/>
      <c r="AI27" s="79"/>
      <c r="AJ27" s="79">
        <v>-36736.68</v>
      </c>
      <c r="AK27" s="79">
        <v>121056.32000000041</v>
      </c>
      <c r="AL27" s="79">
        <f t="shared" si="1"/>
        <v>121056.32000000041</v>
      </c>
      <c r="AN27" s="79">
        <v>-36736.68</v>
      </c>
      <c r="AO27" s="79">
        <v>121056.32000000041</v>
      </c>
      <c r="AP27" s="79">
        <v>-156104.14000000001</v>
      </c>
      <c r="AQ27" s="79">
        <v>-125627.63</v>
      </c>
      <c r="AR27" s="79">
        <v>-164235.70000000001</v>
      </c>
      <c r="AS27" s="79">
        <f t="shared" si="2"/>
        <v>-361647.82999999961</v>
      </c>
      <c r="BB27" s="103" t="s">
        <v>213</v>
      </c>
      <c r="BC27" s="101" t="s">
        <v>861</v>
      </c>
      <c r="BD27" s="117">
        <v>-71784.5</v>
      </c>
      <c r="BE27" s="117">
        <v>-125627.63</v>
      </c>
      <c r="BF27" s="117">
        <v>-164235.70000000001</v>
      </c>
      <c r="BG27" s="117">
        <v>-217196.92</v>
      </c>
      <c r="BH27" s="129">
        <v>-124509.57</v>
      </c>
      <c r="BI27" s="128">
        <f t="shared" si="3"/>
        <v>-703354.32000000007</v>
      </c>
      <c r="BM27" s="103" t="s">
        <v>213</v>
      </c>
      <c r="BN27" s="101" t="s">
        <v>861</v>
      </c>
      <c r="BO27" s="117">
        <v>0</v>
      </c>
      <c r="BP27" s="117">
        <v>-125627.63</v>
      </c>
      <c r="BQ27" s="117">
        <v>-164235.70000000001</v>
      </c>
      <c r="BR27" s="117">
        <v>-217196.92</v>
      </c>
      <c r="BS27" s="129">
        <v>-124509.57</v>
      </c>
      <c r="BT27" s="129"/>
      <c r="BU27" s="128">
        <f t="shared" si="8"/>
        <v>-631569.82000000007</v>
      </c>
      <c r="BW27" s="115">
        <f t="shared" si="9"/>
        <v>-71784.5</v>
      </c>
      <c r="BX27" s="117">
        <v>-71784.5</v>
      </c>
      <c r="BY27" s="117"/>
      <c r="BZ27" s="120"/>
      <c r="CA27" s="120"/>
      <c r="CB27" s="120"/>
    </row>
    <row r="28" spans="2:83">
      <c r="B28" s="103" t="s">
        <v>215</v>
      </c>
      <c r="C28" s="101" t="s">
        <v>862</v>
      </c>
      <c r="D28" s="118">
        <v>62225.53</v>
      </c>
      <c r="E28" s="118">
        <v>-226369.18</v>
      </c>
      <c r="F28" s="118">
        <v>-154616.64000000001</v>
      </c>
      <c r="G28" s="127">
        <v>-267329.94</v>
      </c>
      <c r="H28" s="102">
        <f t="shared" si="0"/>
        <v>-586090.23</v>
      </c>
      <c r="K28" s="112" t="s">
        <v>215</v>
      </c>
      <c r="L28" s="111" t="s">
        <v>862</v>
      </c>
      <c r="M28" s="117">
        <v>0</v>
      </c>
      <c r="N28" s="117">
        <v>8185.29</v>
      </c>
      <c r="O28" s="117">
        <v>54040.24</v>
      </c>
      <c r="P28" s="117">
        <v>-226369.18</v>
      </c>
      <c r="Q28" s="117">
        <v>-154616.64000000001</v>
      </c>
      <c r="R28" s="117"/>
      <c r="S28" s="117">
        <f t="shared" si="4"/>
        <v>-318760.29000000004</v>
      </c>
      <c r="T28" s="117">
        <v>-318760.29000000004</v>
      </c>
      <c r="U28" s="115">
        <f t="shared" si="5"/>
        <v>0</v>
      </c>
      <c r="W28" s="115">
        <f>+N28+M28</f>
        <v>8185.29</v>
      </c>
      <c r="Y28" s="115">
        <f t="shared" si="6"/>
        <v>-173881.09</v>
      </c>
      <c r="Z28" s="117">
        <v>-173881.09</v>
      </c>
      <c r="AA28" s="115">
        <f t="shared" si="7"/>
        <v>-173881.09</v>
      </c>
      <c r="AH28" s="82"/>
      <c r="AI28" s="79"/>
      <c r="AJ28" s="79">
        <v>-54590.3</v>
      </c>
      <c r="AK28" s="79">
        <v>-173881.09000000544</v>
      </c>
      <c r="AL28" s="79">
        <f t="shared" si="1"/>
        <v>-173881.09000000544</v>
      </c>
      <c r="AN28" s="79">
        <v>-54590.3</v>
      </c>
      <c r="AO28" s="79">
        <v>-173881.09000000544</v>
      </c>
      <c r="AP28" s="79">
        <v>236656.68</v>
      </c>
      <c r="AQ28" s="79">
        <v>54040.24</v>
      </c>
      <c r="AR28" s="79">
        <v>-226369.18</v>
      </c>
      <c r="AS28" s="79">
        <f t="shared" si="2"/>
        <v>-164143.65000000544</v>
      </c>
      <c r="AT28" s="87"/>
      <c r="AU28" s="79">
        <f>+AN28+AO28</f>
        <v>-228471.39000000543</v>
      </c>
      <c r="AV28" s="82">
        <f>+AN28+AO28+AP28</f>
        <v>8185.2899999945657</v>
      </c>
      <c r="AW28" s="79">
        <f>+AN28+AO28+AP28+AQ28</f>
        <v>62225.529999994564</v>
      </c>
      <c r="BB28" s="103" t="s">
        <v>215</v>
      </c>
      <c r="BC28" s="101" t="s">
        <v>862</v>
      </c>
      <c r="BD28" s="117">
        <v>8185.29</v>
      </c>
      <c r="BE28" s="117">
        <v>54040.24</v>
      </c>
      <c r="BF28" s="117">
        <v>-226369.18</v>
      </c>
      <c r="BG28" s="117">
        <v>-154616.64000000001</v>
      </c>
      <c r="BH28" s="129">
        <v>-267329.94</v>
      </c>
      <c r="BI28" s="128">
        <f t="shared" si="3"/>
        <v>-586090.23</v>
      </c>
      <c r="BM28" s="103" t="s">
        <v>215</v>
      </c>
      <c r="BN28" s="101" t="s">
        <v>862</v>
      </c>
      <c r="BO28" s="117">
        <v>0</v>
      </c>
      <c r="BP28" s="131">
        <v>62225.53</v>
      </c>
      <c r="BQ28" s="117">
        <v>-226369.18</v>
      </c>
      <c r="BR28" s="117">
        <v>-154616.64000000001</v>
      </c>
      <c r="BS28" s="129">
        <v>-267329.94</v>
      </c>
      <c r="BT28" s="129"/>
      <c r="BU28" s="128">
        <f t="shared" si="8"/>
        <v>-586090.23</v>
      </c>
      <c r="BW28" s="130">
        <f t="shared" si="9"/>
        <v>0</v>
      </c>
      <c r="BX28" s="131">
        <v>8185.29</v>
      </c>
      <c r="BY28" s="131">
        <v>54040.24</v>
      </c>
      <c r="BZ28" s="120"/>
      <c r="CA28" s="120"/>
      <c r="CB28" s="120"/>
      <c r="CC28" s="130">
        <f>+BO28+BP28</f>
        <v>62225.53</v>
      </c>
      <c r="CD28" s="115">
        <f>+BX28+BY28</f>
        <v>62225.53</v>
      </c>
      <c r="CE28" s="115">
        <f>+CC28-CD28</f>
        <v>0</v>
      </c>
    </row>
    <row r="29" spans="2:83">
      <c r="B29" s="103" t="s">
        <v>217</v>
      </c>
      <c r="C29" s="101" t="s">
        <v>863</v>
      </c>
      <c r="D29" s="118">
        <v>-39762.31</v>
      </c>
      <c r="E29" s="118">
        <v>-12546.15</v>
      </c>
      <c r="F29" s="118">
        <v>-18839.57</v>
      </c>
      <c r="G29" s="127">
        <v>-10248.14</v>
      </c>
      <c r="H29" s="102">
        <f t="shared" si="0"/>
        <v>-81396.17</v>
      </c>
      <c r="K29" s="112" t="s">
        <v>217</v>
      </c>
      <c r="L29" s="111" t="s">
        <v>863</v>
      </c>
      <c r="M29" s="117">
        <v>0</v>
      </c>
      <c r="N29" s="117">
        <v>-64771.96</v>
      </c>
      <c r="O29" s="117">
        <v>-39762.31</v>
      </c>
      <c r="P29" s="117">
        <v>-12546.15</v>
      </c>
      <c r="Q29" s="117">
        <v>-18839.57</v>
      </c>
      <c r="R29" s="117"/>
      <c r="S29" s="117">
        <f t="shared" si="4"/>
        <v>-135919.99</v>
      </c>
      <c r="T29" s="117">
        <v>-193977.60000000009</v>
      </c>
      <c r="U29" s="115">
        <f t="shared" si="5"/>
        <v>58057.610000000102</v>
      </c>
      <c r="Y29" s="115">
        <f t="shared" si="6"/>
        <v>0</v>
      </c>
      <c r="Z29" s="117">
        <v>-58057.610000000102</v>
      </c>
      <c r="AA29" s="115">
        <f t="shared" si="7"/>
        <v>0</v>
      </c>
      <c r="AH29" s="79"/>
      <c r="AI29" s="79"/>
      <c r="AJ29" s="79">
        <v>-40280.639999999999</v>
      </c>
      <c r="AK29" s="79">
        <v>-58057.610000000102</v>
      </c>
      <c r="AL29" s="79">
        <f t="shared" si="1"/>
        <v>-58057.610000000102</v>
      </c>
      <c r="AN29" s="79">
        <v>-40280.639999999999</v>
      </c>
      <c r="AO29" s="79">
        <v>-58057.610000000102</v>
      </c>
      <c r="AP29" s="79">
        <v>-64771.96</v>
      </c>
      <c r="AQ29" s="79">
        <v>-39762.31</v>
      </c>
      <c r="AR29" s="79">
        <v>-12546.15</v>
      </c>
      <c r="AS29" s="79">
        <f t="shared" si="2"/>
        <v>-215418.6700000001</v>
      </c>
      <c r="AT29" s="87"/>
      <c r="BB29" s="103" t="s">
        <v>217</v>
      </c>
      <c r="BC29" s="101" t="s">
        <v>863</v>
      </c>
      <c r="BD29" s="117">
        <v>-64771.96</v>
      </c>
      <c r="BE29" s="117">
        <v>-39762.31</v>
      </c>
      <c r="BF29" s="117">
        <v>-12546.15</v>
      </c>
      <c r="BG29" s="117">
        <v>-18839.57</v>
      </c>
      <c r="BH29" s="129">
        <v>-10248.14</v>
      </c>
      <c r="BI29" s="128">
        <f t="shared" si="3"/>
        <v>-146168.13</v>
      </c>
      <c r="BM29" s="103" t="s">
        <v>217</v>
      </c>
      <c r="BN29" s="101" t="s">
        <v>863</v>
      </c>
      <c r="BO29" s="117">
        <v>0</v>
      </c>
      <c r="BP29" s="117">
        <v>-39762.31</v>
      </c>
      <c r="BQ29" s="117">
        <v>-12546.15</v>
      </c>
      <c r="BR29" s="117">
        <v>-18839.57</v>
      </c>
      <c r="BS29" s="129">
        <v>-10248.14</v>
      </c>
      <c r="BT29" s="129"/>
      <c r="BU29" s="128">
        <f t="shared" si="8"/>
        <v>-81396.17</v>
      </c>
      <c r="BW29" s="115">
        <f t="shared" si="9"/>
        <v>-64771.960000000006</v>
      </c>
      <c r="BX29" s="117">
        <v>-64771.96</v>
      </c>
      <c r="BY29" s="117"/>
      <c r="BZ29" s="120"/>
      <c r="CA29" s="120"/>
      <c r="CB29" s="120"/>
    </row>
    <row r="30" spans="2:83">
      <c r="B30" s="103" t="s">
        <v>219</v>
      </c>
      <c r="C30" s="101" t="s">
        <v>864</v>
      </c>
      <c r="D30" s="118">
        <v>-51400.07</v>
      </c>
      <c r="E30" s="118">
        <v>-77788.210000000006</v>
      </c>
      <c r="F30" s="118">
        <v>-81787.11</v>
      </c>
      <c r="G30" s="127">
        <v>-20210.2</v>
      </c>
      <c r="H30" s="102">
        <f t="shared" si="0"/>
        <v>-231185.59000000003</v>
      </c>
      <c r="K30" s="112" t="s">
        <v>219</v>
      </c>
      <c r="L30" s="111" t="s">
        <v>864</v>
      </c>
      <c r="M30" s="117">
        <v>0</v>
      </c>
      <c r="N30" s="117">
        <v>-252270.95</v>
      </c>
      <c r="O30" s="117">
        <v>-51400.07</v>
      </c>
      <c r="P30" s="117">
        <v>-77788.210000000006</v>
      </c>
      <c r="Q30" s="117">
        <v>-81787.11</v>
      </c>
      <c r="R30" s="117"/>
      <c r="S30" s="117">
        <f t="shared" si="4"/>
        <v>-463246.34</v>
      </c>
      <c r="T30" s="117">
        <v>-505122.89</v>
      </c>
      <c r="U30" s="115">
        <f t="shared" si="5"/>
        <v>41876.549999999988</v>
      </c>
      <c r="Y30" s="115">
        <f t="shared" si="6"/>
        <v>0</v>
      </c>
      <c r="Z30" s="117">
        <v>-41876.550000000003</v>
      </c>
      <c r="AA30" s="115">
        <f t="shared" si="7"/>
        <v>0</v>
      </c>
      <c r="AH30" s="79"/>
      <c r="AI30" s="79"/>
      <c r="AJ30" s="79">
        <v>7732.57</v>
      </c>
      <c r="AK30" s="79">
        <v>-49609.119999999879</v>
      </c>
      <c r="AL30" s="79">
        <f t="shared" si="1"/>
        <v>-41876.549999999879</v>
      </c>
      <c r="AN30" s="79">
        <v>7732.57</v>
      </c>
      <c r="AO30" s="79">
        <v>-49609.119999999879</v>
      </c>
      <c r="AP30" s="79">
        <v>-252270.95</v>
      </c>
      <c r="AQ30" s="79">
        <v>-51400.07</v>
      </c>
      <c r="AR30" s="79">
        <v>-77788.210000000006</v>
      </c>
      <c r="AS30" s="79">
        <f t="shared" si="2"/>
        <v>-423335.77999999991</v>
      </c>
      <c r="BB30" s="103" t="s">
        <v>219</v>
      </c>
      <c r="BC30" s="101" t="s">
        <v>864</v>
      </c>
      <c r="BD30" s="117">
        <v>-252270.95</v>
      </c>
      <c r="BE30" s="117">
        <v>-51400.07</v>
      </c>
      <c r="BF30" s="117">
        <v>-77788.210000000006</v>
      </c>
      <c r="BG30" s="117">
        <v>-81787.11</v>
      </c>
      <c r="BH30" s="129">
        <v>-20210.2</v>
      </c>
      <c r="BI30" s="128">
        <f t="shared" si="3"/>
        <v>-483456.54000000004</v>
      </c>
      <c r="BM30" s="103" t="s">
        <v>219</v>
      </c>
      <c r="BN30" s="101" t="s">
        <v>864</v>
      </c>
      <c r="BO30" s="117">
        <v>0</v>
      </c>
      <c r="BP30" s="117">
        <v>-51400.07</v>
      </c>
      <c r="BQ30" s="117">
        <v>-77788.210000000006</v>
      </c>
      <c r="BR30" s="117">
        <v>-81787.11</v>
      </c>
      <c r="BS30" s="129">
        <v>-20210.2</v>
      </c>
      <c r="BT30" s="129"/>
      <c r="BU30" s="128">
        <f t="shared" si="8"/>
        <v>-231185.59000000003</v>
      </c>
      <c r="BW30" s="115">
        <f t="shared" si="9"/>
        <v>-252270.95</v>
      </c>
      <c r="BX30" s="117">
        <v>-252270.95</v>
      </c>
      <c r="BY30" s="117"/>
      <c r="BZ30" s="120"/>
      <c r="CA30" s="120"/>
      <c r="CB30" s="120"/>
    </row>
    <row r="31" spans="2:83">
      <c r="B31" s="103" t="s">
        <v>220</v>
      </c>
      <c r="C31" s="101" t="s">
        <v>865</v>
      </c>
      <c r="D31" s="118">
        <v>-40881.72</v>
      </c>
      <c r="E31" s="118">
        <v>-61708.07</v>
      </c>
      <c r="F31" s="118">
        <v>-32342.82</v>
      </c>
      <c r="G31" s="127">
        <v>-37334.660000000003</v>
      </c>
      <c r="H31" s="102">
        <f t="shared" si="0"/>
        <v>-172267.27000000002</v>
      </c>
      <c r="K31" s="112" t="s">
        <v>220</v>
      </c>
      <c r="L31" s="111" t="s">
        <v>865</v>
      </c>
      <c r="M31" s="117">
        <v>0</v>
      </c>
      <c r="N31" s="117">
        <v>-46237.23</v>
      </c>
      <c r="O31" s="117">
        <v>-40881.72</v>
      </c>
      <c r="P31" s="117">
        <v>-61708.07</v>
      </c>
      <c r="Q31" s="117">
        <v>-32342.82</v>
      </c>
      <c r="R31" s="117"/>
      <c r="S31" s="117">
        <f t="shared" si="4"/>
        <v>-181169.84000000003</v>
      </c>
      <c r="T31" s="117">
        <v>-235987.06000000006</v>
      </c>
      <c r="U31" s="115">
        <f t="shared" si="5"/>
        <v>54817.22000000003</v>
      </c>
      <c r="Y31" s="115">
        <f t="shared" si="6"/>
        <v>0</v>
      </c>
      <c r="Z31" s="117">
        <v>-54817.22000000003</v>
      </c>
      <c r="AA31" s="115">
        <f t="shared" si="7"/>
        <v>0</v>
      </c>
      <c r="AH31" s="79"/>
      <c r="AI31" s="79"/>
      <c r="AJ31" s="79">
        <v>-40763.800000000003</v>
      </c>
      <c r="AK31" s="79">
        <v>-54817.22000000003</v>
      </c>
      <c r="AL31" s="79">
        <f t="shared" si="1"/>
        <v>-54817.22000000003</v>
      </c>
      <c r="AN31" s="79">
        <v>-40763.800000000003</v>
      </c>
      <c r="AO31" s="79">
        <v>-54817.22000000003</v>
      </c>
      <c r="AP31" s="79">
        <v>-46237.23</v>
      </c>
      <c r="AQ31" s="79">
        <v>-40881.72</v>
      </c>
      <c r="AR31" s="79">
        <v>-61708.07</v>
      </c>
      <c r="AS31" s="79">
        <f t="shared" si="2"/>
        <v>-244408.04000000004</v>
      </c>
      <c r="BB31" s="103" t="s">
        <v>220</v>
      </c>
      <c r="BC31" s="101" t="s">
        <v>865</v>
      </c>
      <c r="BD31" s="117">
        <v>-46237.23</v>
      </c>
      <c r="BE31" s="117">
        <v>-40881.72</v>
      </c>
      <c r="BF31" s="117">
        <v>-61708.07</v>
      </c>
      <c r="BG31" s="117">
        <v>-32342.82</v>
      </c>
      <c r="BH31" s="129">
        <v>-37334.660000000003</v>
      </c>
      <c r="BI31" s="128">
        <f t="shared" si="3"/>
        <v>-218504.50000000003</v>
      </c>
      <c r="BM31" s="103" t="s">
        <v>220</v>
      </c>
      <c r="BN31" s="101" t="s">
        <v>865</v>
      </c>
      <c r="BO31" s="117">
        <v>0</v>
      </c>
      <c r="BP31" s="117">
        <v>-40881.72</v>
      </c>
      <c r="BQ31" s="117">
        <v>-61708.07</v>
      </c>
      <c r="BR31" s="117">
        <v>-32342.82</v>
      </c>
      <c r="BS31" s="129">
        <v>-37334.660000000003</v>
      </c>
      <c r="BT31" s="129"/>
      <c r="BU31" s="128">
        <f t="shared" si="8"/>
        <v>-172267.27000000002</v>
      </c>
      <c r="BW31" s="115">
        <f t="shared" si="9"/>
        <v>-46237.23000000001</v>
      </c>
      <c r="BX31" s="117">
        <v>-46237.23</v>
      </c>
      <c r="BY31" s="117"/>
      <c r="BZ31" s="120"/>
      <c r="CA31" s="120"/>
      <c r="CB31" s="120"/>
    </row>
    <row r="32" spans="2:83">
      <c r="B32" s="103" t="s">
        <v>222</v>
      </c>
      <c r="C32" s="101" t="s">
        <v>866</v>
      </c>
      <c r="D32" s="118">
        <v>-209803.05</v>
      </c>
      <c r="E32" s="118">
        <v>-229544.16</v>
      </c>
      <c r="F32" s="118">
        <v>-156214.35999999999</v>
      </c>
      <c r="G32" s="127">
        <v>-112511.35</v>
      </c>
      <c r="H32" s="102">
        <f t="shared" si="0"/>
        <v>-708072.91999999993</v>
      </c>
      <c r="K32" s="112" t="s">
        <v>222</v>
      </c>
      <c r="L32" s="111" t="s">
        <v>866</v>
      </c>
      <c r="M32" s="117">
        <v>0</v>
      </c>
      <c r="N32" s="117">
        <v>-139915.69</v>
      </c>
      <c r="O32" s="117">
        <v>-209803.05</v>
      </c>
      <c r="P32" s="117">
        <v>-229544.16</v>
      </c>
      <c r="Q32" s="117">
        <v>-156214.35999999999</v>
      </c>
      <c r="R32" s="117"/>
      <c r="S32" s="117">
        <f t="shared" si="4"/>
        <v>-735477.26</v>
      </c>
      <c r="T32" s="117">
        <v>-903354.46000000066</v>
      </c>
      <c r="U32" s="115">
        <f t="shared" si="5"/>
        <v>167877.20000000065</v>
      </c>
      <c r="Y32" s="115">
        <f t="shared" si="6"/>
        <v>0</v>
      </c>
      <c r="Z32" s="117">
        <v>-167877.20000000065</v>
      </c>
      <c r="AA32" s="115">
        <f t="shared" si="7"/>
        <v>0</v>
      </c>
      <c r="AH32" s="79"/>
      <c r="AI32" s="79"/>
      <c r="AJ32" s="79">
        <v>-132159.95000000001</v>
      </c>
      <c r="AK32" s="79">
        <v>-167877.20000000065</v>
      </c>
      <c r="AL32" s="79">
        <f t="shared" si="1"/>
        <v>-167877.20000000065</v>
      </c>
      <c r="AN32" s="79">
        <v>-132159.95000000001</v>
      </c>
      <c r="AO32" s="79">
        <v>-167877.20000000065</v>
      </c>
      <c r="AP32" s="79">
        <v>-139915.69</v>
      </c>
      <c r="AQ32" s="79">
        <v>-209803.05</v>
      </c>
      <c r="AR32" s="79">
        <v>-229544.16</v>
      </c>
      <c r="AS32" s="79">
        <f t="shared" si="2"/>
        <v>-879300.05000000063</v>
      </c>
      <c r="BB32" s="103" t="s">
        <v>222</v>
      </c>
      <c r="BC32" s="101" t="s">
        <v>866</v>
      </c>
      <c r="BD32" s="117">
        <v>-139915.69</v>
      </c>
      <c r="BE32" s="117">
        <v>-209803.05</v>
      </c>
      <c r="BF32" s="117">
        <v>-229544.16</v>
      </c>
      <c r="BG32" s="117">
        <v>-156214.35999999999</v>
      </c>
      <c r="BH32" s="129">
        <v>-112511.35</v>
      </c>
      <c r="BI32" s="128">
        <f t="shared" si="3"/>
        <v>-847988.61</v>
      </c>
      <c r="BM32" s="103" t="s">
        <v>222</v>
      </c>
      <c r="BN32" s="101" t="s">
        <v>866</v>
      </c>
      <c r="BO32" s="117">
        <v>0</v>
      </c>
      <c r="BP32" s="117">
        <v>-209803.05</v>
      </c>
      <c r="BQ32" s="117">
        <v>-229544.16</v>
      </c>
      <c r="BR32" s="117">
        <v>-156214.35999999999</v>
      </c>
      <c r="BS32" s="129">
        <v>-112511.35</v>
      </c>
      <c r="BT32" s="129"/>
      <c r="BU32" s="128">
        <f t="shared" si="8"/>
        <v>-708072.91999999993</v>
      </c>
      <c r="BW32" s="115">
        <f t="shared" si="9"/>
        <v>-139915.69000000006</v>
      </c>
      <c r="BX32" s="117">
        <v>-139915.69</v>
      </c>
      <c r="BY32" s="117"/>
      <c r="BZ32" s="120"/>
      <c r="CA32" s="120"/>
      <c r="CB32" s="120"/>
    </row>
    <row r="33" spans="2:83">
      <c r="B33" s="103" t="s">
        <v>224</v>
      </c>
      <c r="C33" s="101" t="s">
        <v>867</v>
      </c>
      <c r="D33" s="118">
        <v>964542.6</v>
      </c>
      <c r="E33" s="118">
        <v>775258.83</v>
      </c>
      <c r="F33" s="118">
        <v>155336.70000000001</v>
      </c>
      <c r="G33" s="127">
        <v>-167107.25</v>
      </c>
      <c r="H33" s="102">
        <f t="shared" si="0"/>
        <v>1728030.88</v>
      </c>
      <c r="K33" s="112" t="s">
        <v>224</v>
      </c>
      <c r="L33" s="111" t="s">
        <v>867</v>
      </c>
      <c r="M33" s="117">
        <v>0</v>
      </c>
      <c r="N33" s="117">
        <v>1208694.31</v>
      </c>
      <c r="O33" s="117">
        <v>-244151.71</v>
      </c>
      <c r="P33" s="117">
        <v>775258.83</v>
      </c>
      <c r="Q33" s="117">
        <v>155336.70000000001</v>
      </c>
      <c r="R33" s="117"/>
      <c r="S33" s="117">
        <f t="shared" si="4"/>
        <v>1895138.1300000001</v>
      </c>
      <c r="T33" s="117">
        <v>1895138.1300000001</v>
      </c>
      <c r="U33" s="115">
        <f t="shared" si="5"/>
        <v>0</v>
      </c>
      <c r="W33" s="115">
        <f>+N33+M33</f>
        <v>1208694.31</v>
      </c>
      <c r="Y33" s="115">
        <f t="shared" si="6"/>
        <v>960396.68</v>
      </c>
      <c r="Z33" s="117">
        <v>960396.68</v>
      </c>
      <c r="AA33" s="115">
        <f t="shared" si="7"/>
        <v>960396.68</v>
      </c>
      <c r="AH33" s="79"/>
      <c r="AI33" s="79"/>
      <c r="AJ33" s="79">
        <v>540981.30000000005</v>
      </c>
      <c r="AK33" s="79">
        <v>419415.38000000734</v>
      </c>
      <c r="AL33" s="79">
        <f t="shared" si="1"/>
        <v>960396.68000000739</v>
      </c>
      <c r="AN33" s="79">
        <v>540981.30000000005</v>
      </c>
      <c r="AO33" s="79">
        <v>419415.38000000734</v>
      </c>
      <c r="AP33" s="79">
        <v>248297.63</v>
      </c>
      <c r="AQ33" s="79">
        <v>-244151.71</v>
      </c>
      <c r="AR33" s="79">
        <v>775258.83</v>
      </c>
      <c r="AS33" s="79">
        <f t="shared" si="2"/>
        <v>1739801.4300000076</v>
      </c>
      <c r="BB33" s="103" t="s">
        <v>224</v>
      </c>
      <c r="BC33" s="101" t="s">
        <v>867</v>
      </c>
      <c r="BD33" s="117">
        <v>1208694.31</v>
      </c>
      <c r="BE33" s="117">
        <v>-244151.71</v>
      </c>
      <c r="BF33" s="117">
        <v>775258.83</v>
      </c>
      <c r="BG33" s="117">
        <v>155336.70000000001</v>
      </c>
      <c r="BH33" s="129">
        <v>-167107.25</v>
      </c>
      <c r="BI33" s="128">
        <f t="shared" si="3"/>
        <v>1728030.8800000001</v>
      </c>
      <c r="BM33" s="103" t="s">
        <v>224</v>
      </c>
      <c r="BN33" s="101" t="s">
        <v>867</v>
      </c>
      <c r="BO33" s="117">
        <v>0</v>
      </c>
      <c r="BP33" s="131">
        <v>964542.6</v>
      </c>
      <c r="BQ33" s="117">
        <v>775258.83</v>
      </c>
      <c r="BR33" s="117">
        <v>155336.70000000001</v>
      </c>
      <c r="BS33" s="129">
        <v>-167107.25</v>
      </c>
      <c r="BT33" s="129"/>
      <c r="BU33" s="128">
        <f t="shared" si="8"/>
        <v>1728030.88</v>
      </c>
      <c r="BW33" s="130">
        <f t="shared" si="9"/>
        <v>0</v>
      </c>
      <c r="BX33" s="131">
        <v>1208694.31</v>
      </c>
      <c r="BY33" s="131">
        <v>-244151.71</v>
      </c>
      <c r="BZ33" s="120"/>
      <c r="CA33" s="120"/>
      <c r="CB33" s="120"/>
      <c r="CC33" s="130">
        <f>+BO33+BP33</f>
        <v>964542.6</v>
      </c>
      <c r="CD33" s="115">
        <f>+BX33+BY33</f>
        <v>964542.60000000009</v>
      </c>
      <c r="CE33" s="115">
        <f>+CC33-CD33</f>
        <v>0</v>
      </c>
    </row>
    <row r="34" spans="2:83">
      <c r="B34" s="103" t="s">
        <v>225</v>
      </c>
      <c r="C34" s="101" t="s">
        <v>868</v>
      </c>
      <c r="D34" s="118">
        <v>-253535.76</v>
      </c>
      <c r="E34" s="118">
        <v>-399145.24</v>
      </c>
      <c r="F34" s="118">
        <v>-306079.64</v>
      </c>
      <c r="G34" s="127">
        <v>-375406.34</v>
      </c>
      <c r="H34" s="102">
        <f t="shared" si="0"/>
        <v>-1334166.98</v>
      </c>
      <c r="K34" s="112" t="s">
        <v>225</v>
      </c>
      <c r="L34" s="111" t="s">
        <v>868</v>
      </c>
      <c r="M34" s="117">
        <v>0</v>
      </c>
      <c r="N34" s="117">
        <v>-218052.46</v>
      </c>
      <c r="O34" s="117">
        <v>-253535.76</v>
      </c>
      <c r="P34" s="117">
        <v>-399145.24</v>
      </c>
      <c r="Q34" s="117">
        <v>-306079.64</v>
      </c>
      <c r="R34" s="117"/>
      <c r="S34" s="117">
        <f t="shared" si="4"/>
        <v>-1176813.1000000001</v>
      </c>
      <c r="T34" s="117">
        <v>-1350987.6200000006</v>
      </c>
      <c r="U34" s="115">
        <f t="shared" si="5"/>
        <v>174174.52000000048</v>
      </c>
      <c r="Y34" s="115">
        <f t="shared" si="6"/>
        <v>-2.3283064365386963E-10</v>
      </c>
      <c r="Z34" s="117">
        <v>-174174.52000000072</v>
      </c>
      <c r="AA34" s="115">
        <f t="shared" si="7"/>
        <v>-2.3283064365386963E-10</v>
      </c>
      <c r="AH34" s="79"/>
      <c r="AI34" s="79"/>
      <c r="AJ34" s="79">
        <v>-157262.85</v>
      </c>
      <c r="AK34" s="79">
        <v>-174174.52000000072</v>
      </c>
      <c r="AL34" s="79">
        <f t="shared" si="1"/>
        <v>-174174.52000000072</v>
      </c>
      <c r="AN34" s="79">
        <v>-157262.85</v>
      </c>
      <c r="AO34" s="79">
        <v>-174174.52000000072</v>
      </c>
      <c r="AP34" s="79">
        <v>-218052.46</v>
      </c>
      <c r="AQ34" s="79">
        <v>-253535.76</v>
      </c>
      <c r="AR34" s="79">
        <v>-399145.24</v>
      </c>
      <c r="AS34" s="79">
        <f t="shared" si="2"/>
        <v>-1202170.8300000005</v>
      </c>
      <c r="BB34" s="103" t="s">
        <v>225</v>
      </c>
      <c r="BC34" s="101" t="s">
        <v>868</v>
      </c>
      <c r="BD34" s="117">
        <v>-218052.46</v>
      </c>
      <c r="BE34" s="117">
        <v>-253535.76</v>
      </c>
      <c r="BF34" s="117">
        <v>-399145.24</v>
      </c>
      <c r="BG34" s="117">
        <v>-306079.64</v>
      </c>
      <c r="BH34" s="129">
        <v>-375406.34</v>
      </c>
      <c r="BI34" s="128">
        <f t="shared" si="3"/>
        <v>-1552219.4400000002</v>
      </c>
      <c r="BM34" s="103" t="s">
        <v>225</v>
      </c>
      <c r="BN34" s="101" t="s">
        <v>868</v>
      </c>
      <c r="BO34" s="117">
        <v>0</v>
      </c>
      <c r="BP34" s="117">
        <v>-253535.76</v>
      </c>
      <c r="BQ34" s="117">
        <v>-399145.24</v>
      </c>
      <c r="BR34" s="117">
        <v>-306079.64</v>
      </c>
      <c r="BS34" s="129">
        <v>-375406.34</v>
      </c>
      <c r="BT34" s="129"/>
      <c r="BU34" s="128">
        <f t="shared" si="8"/>
        <v>-1334166.98</v>
      </c>
      <c r="BW34" s="115">
        <f t="shared" si="9"/>
        <v>-218052.4600000002</v>
      </c>
      <c r="BX34" s="117">
        <v>-218052.46</v>
      </c>
      <c r="BY34" s="117"/>
      <c r="BZ34" s="120"/>
      <c r="CA34" s="120"/>
      <c r="CB34" s="120"/>
    </row>
    <row r="35" spans="2:83">
      <c r="B35" s="103" t="s">
        <v>227</v>
      </c>
      <c r="C35" s="101" t="s">
        <v>869</v>
      </c>
      <c r="D35" s="118">
        <v>-262723.18</v>
      </c>
      <c r="E35" s="118">
        <v>-436584.9</v>
      </c>
      <c r="F35" s="118">
        <v>-263583.65999999997</v>
      </c>
      <c r="G35" s="127">
        <v>-307231.63</v>
      </c>
      <c r="H35" s="102">
        <f t="shared" si="0"/>
        <v>-1270123.3700000001</v>
      </c>
      <c r="K35" s="112" t="s">
        <v>227</v>
      </c>
      <c r="L35" s="111" t="s">
        <v>869</v>
      </c>
      <c r="M35" s="117">
        <v>0</v>
      </c>
      <c r="N35" s="117">
        <v>-183556.94</v>
      </c>
      <c r="O35" s="117">
        <v>-262723.18</v>
      </c>
      <c r="P35" s="117">
        <v>-436584.9</v>
      </c>
      <c r="Q35" s="117">
        <v>-263583.65999999997</v>
      </c>
      <c r="R35" s="117"/>
      <c r="S35" s="117">
        <f t="shared" si="4"/>
        <v>-1146448.68</v>
      </c>
      <c r="T35" s="117">
        <v>-1328341.0700000005</v>
      </c>
      <c r="U35" s="115">
        <f t="shared" si="5"/>
        <v>181892.3900000006</v>
      </c>
      <c r="Y35" s="115">
        <f t="shared" si="6"/>
        <v>0</v>
      </c>
      <c r="Z35" s="117">
        <v>-181892.3900000006</v>
      </c>
      <c r="AA35" s="115">
        <f t="shared" si="7"/>
        <v>0</v>
      </c>
      <c r="AH35" s="79"/>
      <c r="AI35" s="79"/>
      <c r="AJ35" s="79">
        <v>-122146.13</v>
      </c>
      <c r="AK35" s="79">
        <v>-181892.3900000006</v>
      </c>
      <c r="AL35" s="79">
        <f t="shared" si="1"/>
        <v>-181892.3900000006</v>
      </c>
      <c r="AN35" s="79">
        <v>-122146.13</v>
      </c>
      <c r="AO35" s="79">
        <v>-181892.3900000006</v>
      </c>
      <c r="AP35" s="79">
        <v>-183556.94</v>
      </c>
      <c r="AQ35" s="79">
        <v>-262723.18</v>
      </c>
      <c r="AR35" s="79">
        <v>-436584.9</v>
      </c>
      <c r="AS35" s="79">
        <f t="shared" si="2"/>
        <v>-1186903.5400000005</v>
      </c>
      <c r="BB35" s="103" t="s">
        <v>227</v>
      </c>
      <c r="BC35" s="101" t="s">
        <v>869</v>
      </c>
      <c r="BD35" s="117">
        <v>-183556.94</v>
      </c>
      <c r="BE35" s="117">
        <v>-262723.18</v>
      </c>
      <c r="BF35" s="117">
        <v>-436584.9</v>
      </c>
      <c r="BG35" s="117">
        <v>-263583.65999999997</v>
      </c>
      <c r="BH35" s="129">
        <v>-307231.63</v>
      </c>
      <c r="BI35" s="128">
        <f t="shared" si="3"/>
        <v>-1453680.31</v>
      </c>
      <c r="BM35" s="103" t="s">
        <v>227</v>
      </c>
      <c r="BN35" s="101" t="s">
        <v>869</v>
      </c>
      <c r="BO35" s="117">
        <v>0</v>
      </c>
      <c r="BP35" s="117">
        <v>-262723.18</v>
      </c>
      <c r="BQ35" s="117">
        <v>-436584.9</v>
      </c>
      <c r="BR35" s="117">
        <v>-263583.65999999997</v>
      </c>
      <c r="BS35" s="129">
        <v>-307231.63</v>
      </c>
      <c r="BT35" s="129"/>
      <c r="BU35" s="128">
        <f t="shared" si="8"/>
        <v>-1270123.3700000001</v>
      </c>
      <c r="BW35" s="115">
        <f t="shared" si="9"/>
        <v>-183556.93999999994</v>
      </c>
      <c r="BX35" s="117">
        <v>-183556.94</v>
      </c>
      <c r="BY35" s="117"/>
    </row>
    <row r="36" spans="2:83">
      <c r="B36" s="103" t="s">
        <v>229</v>
      </c>
      <c r="C36" s="101" t="s">
        <v>870</v>
      </c>
      <c r="D36" s="118">
        <v>0</v>
      </c>
      <c r="E36" s="118">
        <v>0</v>
      </c>
      <c r="F36" s="118">
        <v>-21853.33</v>
      </c>
      <c r="G36" s="127">
        <v>-31829.66</v>
      </c>
      <c r="H36" s="102">
        <f t="shared" si="0"/>
        <v>-53682.990000000005</v>
      </c>
      <c r="K36" s="112" t="s">
        <v>229</v>
      </c>
      <c r="L36" s="111" t="s">
        <v>870</v>
      </c>
      <c r="M36" s="117">
        <v>0</v>
      </c>
      <c r="N36" s="117">
        <v>0</v>
      </c>
      <c r="O36" s="117">
        <v>0</v>
      </c>
      <c r="P36" s="117">
        <v>0</v>
      </c>
      <c r="Q36" s="117">
        <v>-21853.33</v>
      </c>
      <c r="R36" s="117"/>
      <c r="S36" s="117">
        <f t="shared" si="4"/>
        <v>-21853.33</v>
      </c>
      <c r="T36" s="117">
        <v>-21853.33</v>
      </c>
      <c r="U36" s="115">
        <f t="shared" si="5"/>
        <v>0</v>
      </c>
      <c r="Y36" s="115">
        <f t="shared" si="6"/>
        <v>0</v>
      </c>
      <c r="Z36" s="117">
        <v>0</v>
      </c>
      <c r="AA36" s="115">
        <f t="shared" si="7"/>
        <v>0</v>
      </c>
      <c r="AH36" s="82"/>
      <c r="AI36" s="79"/>
      <c r="AJ36" s="79">
        <v>-67370.17</v>
      </c>
      <c r="AK36" s="79">
        <v>5138.3399999993853</v>
      </c>
      <c r="AL36" s="79">
        <f t="shared" si="1"/>
        <v>5138.3399999993853</v>
      </c>
      <c r="AN36" s="79">
        <v>-67370.17</v>
      </c>
      <c r="AO36" s="79">
        <v>5138.3399999993853</v>
      </c>
      <c r="AP36" s="79">
        <v>8373.58</v>
      </c>
      <c r="AQ36" s="79">
        <v>7787.54</v>
      </c>
      <c r="AR36" s="79">
        <v>15167.28</v>
      </c>
      <c r="AS36" s="79">
        <f t="shared" si="2"/>
        <v>-30903.430000000611</v>
      </c>
      <c r="AT36" s="87"/>
      <c r="AU36" s="79">
        <f>+AN36+AO36</f>
        <v>-62231.830000000613</v>
      </c>
      <c r="AV36" s="86">
        <f>+AN36+AO36+AP36</f>
        <v>-53858.250000000611</v>
      </c>
      <c r="AW36" s="79">
        <f>+AN36+AO36+AP36+AQ36</f>
        <v>-46070.71000000061</v>
      </c>
      <c r="BB36" s="103" t="s">
        <v>229</v>
      </c>
      <c r="BC36" s="101" t="s">
        <v>870</v>
      </c>
      <c r="BD36" s="117">
        <v>0</v>
      </c>
      <c r="BE36" s="117">
        <v>0</v>
      </c>
      <c r="BF36" s="117">
        <v>0</v>
      </c>
      <c r="BG36" s="117">
        <v>-21853.33</v>
      </c>
      <c r="BH36" s="129">
        <v>-31829.66</v>
      </c>
      <c r="BI36" s="128">
        <f t="shared" si="3"/>
        <v>-53682.990000000005</v>
      </c>
      <c r="BM36" s="103" t="s">
        <v>229</v>
      </c>
      <c r="BN36" s="101" t="s">
        <v>870</v>
      </c>
      <c r="BO36" s="117">
        <v>0</v>
      </c>
      <c r="BP36" s="117">
        <v>0</v>
      </c>
      <c r="BQ36" s="117">
        <v>0</v>
      </c>
      <c r="BR36" s="117">
        <v>-21853.33</v>
      </c>
      <c r="BS36" s="129">
        <v>-31829.66</v>
      </c>
      <c r="BT36" s="129"/>
      <c r="BU36" s="128">
        <f t="shared" si="8"/>
        <v>-53682.990000000005</v>
      </c>
      <c r="BW36" s="115">
        <f t="shared" si="9"/>
        <v>0</v>
      </c>
      <c r="BX36" s="117">
        <v>0</v>
      </c>
      <c r="BY36" s="117"/>
    </row>
    <row r="37" spans="2:83">
      <c r="B37" s="103" t="s">
        <v>231</v>
      </c>
      <c r="C37" s="101" t="s">
        <v>871</v>
      </c>
      <c r="D37" s="118">
        <v>-58794.5</v>
      </c>
      <c r="E37" s="118">
        <v>-84702.35</v>
      </c>
      <c r="F37" s="118">
        <v>-71162.36</v>
      </c>
      <c r="G37" s="127">
        <v>-67520.31</v>
      </c>
      <c r="H37" s="102">
        <f t="shared" si="0"/>
        <v>-282179.52</v>
      </c>
      <c r="K37" s="112" t="s">
        <v>231</v>
      </c>
      <c r="L37" s="111" t="s">
        <v>871</v>
      </c>
      <c r="M37" s="117">
        <v>0</v>
      </c>
      <c r="N37" s="117">
        <v>-77814.16</v>
      </c>
      <c r="O37" s="117">
        <v>-58794.5</v>
      </c>
      <c r="P37" s="117">
        <v>-84702.35</v>
      </c>
      <c r="Q37" s="117">
        <v>-71162.36</v>
      </c>
      <c r="R37" s="117"/>
      <c r="S37" s="117">
        <f t="shared" si="4"/>
        <v>-292473.37</v>
      </c>
      <c r="T37" s="117">
        <v>-344234.7300000001</v>
      </c>
      <c r="U37" s="115">
        <f t="shared" si="5"/>
        <v>51761.360000000102</v>
      </c>
      <c r="Y37" s="115">
        <f t="shared" si="6"/>
        <v>0</v>
      </c>
      <c r="Z37" s="117">
        <v>-51761.360000000073</v>
      </c>
      <c r="AA37" s="115">
        <f t="shared" si="7"/>
        <v>0</v>
      </c>
      <c r="AH37" s="79"/>
      <c r="AI37" s="79"/>
      <c r="AJ37" s="79">
        <v>-46206.31</v>
      </c>
      <c r="AK37" s="79">
        <v>-51761.360000000073</v>
      </c>
      <c r="AL37" s="79">
        <f t="shared" si="1"/>
        <v>-51761.360000000073</v>
      </c>
      <c r="AN37" s="79">
        <v>-46206.31</v>
      </c>
      <c r="AO37" s="79">
        <v>-51761.360000000073</v>
      </c>
      <c r="AP37" s="79">
        <v>-77814.16</v>
      </c>
      <c r="AQ37" s="79">
        <v>-58794.5</v>
      </c>
      <c r="AR37" s="79">
        <v>-84702.35</v>
      </c>
      <c r="AS37" s="79">
        <f t="shared" si="2"/>
        <v>-319278.68000000005</v>
      </c>
      <c r="BB37" s="103" t="s">
        <v>231</v>
      </c>
      <c r="BC37" s="101" t="s">
        <v>871</v>
      </c>
      <c r="BD37" s="117">
        <v>-77814.16</v>
      </c>
      <c r="BE37" s="117">
        <v>-58794.5</v>
      </c>
      <c r="BF37" s="117">
        <v>-84702.35</v>
      </c>
      <c r="BG37" s="117">
        <v>-71162.36</v>
      </c>
      <c r="BH37" s="129">
        <v>-67520.31</v>
      </c>
      <c r="BI37" s="128">
        <f t="shared" si="3"/>
        <v>-359993.68</v>
      </c>
      <c r="BM37" s="103" t="s">
        <v>231</v>
      </c>
      <c r="BN37" s="101" t="s">
        <v>871</v>
      </c>
      <c r="BO37" s="117">
        <v>0</v>
      </c>
      <c r="BP37" s="117">
        <v>-58794.5</v>
      </c>
      <c r="BQ37" s="117">
        <v>-84702.35</v>
      </c>
      <c r="BR37" s="117">
        <v>-71162.36</v>
      </c>
      <c r="BS37" s="129">
        <v>-67520.31</v>
      </c>
      <c r="BT37" s="129"/>
      <c r="BU37" s="128">
        <f t="shared" si="8"/>
        <v>-282179.52</v>
      </c>
      <c r="BW37" s="115">
        <f t="shared" si="9"/>
        <v>-77814.159999999974</v>
      </c>
      <c r="BX37" s="117">
        <v>-77814.16</v>
      </c>
      <c r="BY37" s="117"/>
    </row>
    <row r="38" spans="2:83">
      <c r="B38" s="103" t="s">
        <v>235</v>
      </c>
      <c r="C38" s="101" t="s">
        <v>872</v>
      </c>
      <c r="D38" s="118">
        <v>-72150.19</v>
      </c>
      <c r="E38" s="118">
        <v>-227047.4</v>
      </c>
      <c r="F38" s="118">
        <v>-62013.87</v>
      </c>
      <c r="G38" s="127">
        <v>-240248.66</v>
      </c>
      <c r="H38" s="102">
        <f t="shared" si="0"/>
        <v>-601460.12</v>
      </c>
      <c r="K38" s="112" t="s">
        <v>235</v>
      </c>
      <c r="L38" s="111" t="s">
        <v>872</v>
      </c>
      <c r="M38" s="117">
        <v>0</v>
      </c>
      <c r="N38" s="117">
        <v>-116153.39</v>
      </c>
      <c r="O38" s="117">
        <v>-72150.19</v>
      </c>
      <c r="P38" s="117">
        <v>-227047.4</v>
      </c>
      <c r="Q38" s="117">
        <v>-62013.87</v>
      </c>
      <c r="R38" s="117"/>
      <c r="S38" s="117">
        <f t="shared" si="4"/>
        <v>-477364.85</v>
      </c>
      <c r="T38" s="117">
        <v>-617998.25000000035</v>
      </c>
      <c r="U38" s="115">
        <f t="shared" si="5"/>
        <v>140633.40000000037</v>
      </c>
      <c r="Y38" s="115">
        <f t="shared" si="6"/>
        <v>0</v>
      </c>
      <c r="Z38" s="117">
        <v>-140633.40000000037</v>
      </c>
      <c r="AA38" s="115">
        <f t="shared" si="7"/>
        <v>0</v>
      </c>
      <c r="AH38" s="79"/>
      <c r="AI38" s="79"/>
      <c r="AJ38" s="79">
        <v>-86245.13</v>
      </c>
      <c r="AK38" s="79">
        <v>-140633.40000000037</v>
      </c>
      <c r="AL38" s="79">
        <f t="shared" si="1"/>
        <v>-140633.40000000037</v>
      </c>
      <c r="AN38" s="79">
        <v>-86245.13</v>
      </c>
      <c r="AO38" s="79">
        <v>-140633.40000000037</v>
      </c>
      <c r="AP38" s="79">
        <v>-116153.39</v>
      </c>
      <c r="AQ38" s="79">
        <v>-72150.19</v>
      </c>
      <c r="AR38" s="79">
        <v>-227047.4</v>
      </c>
      <c r="AS38" s="79">
        <f t="shared" si="2"/>
        <v>-642229.51000000036</v>
      </c>
      <c r="BB38" s="103" t="s">
        <v>235</v>
      </c>
      <c r="BC38" s="101" t="s">
        <v>872</v>
      </c>
      <c r="BD38" s="117">
        <v>-116153.39</v>
      </c>
      <c r="BE38" s="117">
        <v>-72150.19</v>
      </c>
      <c r="BF38" s="117">
        <v>-227047.4</v>
      </c>
      <c r="BG38" s="117">
        <v>-62013.87</v>
      </c>
      <c r="BH38" s="129">
        <v>-240248.66</v>
      </c>
      <c r="BI38" s="128">
        <f t="shared" si="3"/>
        <v>-717613.51</v>
      </c>
      <c r="BM38" s="103" t="s">
        <v>235</v>
      </c>
      <c r="BN38" s="101" t="s">
        <v>872</v>
      </c>
      <c r="BO38" s="117">
        <v>0</v>
      </c>
      <c r="BP38" s="117">
        <v>-72150.19</v>
      </c>
      <c r="BQ38" s="117">
        <v>-227047.4</v>
      </c>
      <c r="BR38" s="117">
        <v>-62013.87</v>
      </c>
      <c r="BS38" s="129">
        <v>-240248.66</v>
      </c>
      <c r="BT38" s="129"/>
      <c r="BU38" s="128">
        <f t="shared" si="8"/>
        <v>-601460.12</v>
      </c>
      <c r="BW38" s="115">
        <f t="shared" si="9"/>
        <v>-116153.39000000001</v>
      </c>
      <c r="BX38" s="117">
        <v>-116153.39</v>
      </c>
      <c r="BY38" s="117"/>
    </row>
    <row r="39" spans="2:83">
      <c r="B39" s="103" t="s">
        <v>237</v>
      </c>
      <c r="C39" s="101" t="s">
        <v>873</v>
      </c>
      <c r="D39" s="118">
        <v>-51881.279999999999</v>
      </c>
      <c r="E39" s="118">
        <v>-46645.57</v>
      </c>
      <c r="F39" s="118">
        <v>-61773.23</v>
      </c>
      <c r="G39" s="127">
        <v>-60877.57</v>
      </c>
      <c r="H39" s="102">
        <f t="shared" si="0"/>
        <v>-221177.65000000002</v>
      </c>
      <c r="K39" s="112" t="s">
        <v>237</v>
      </c>
      <c r="L39" s="111" t="s">
        <v>873</v>
      </c>
      <c r="M39" s="117">
        <v>0</v>
      </c>
      <c r="N39" s="117">
        <v>-39004.51</v>
      </c>
      <c r="O39" s="117">
        <v>-51881.279999999999</v>
      </c>
      <c r="P39" s="117">
        <v>-46645.57</v>
      </c>
      <c r="Q39" s="117">
        <v>-61773.23</v>
      </c>
      <c r="R39" s="117"/>
      <c r="S39" s="117">
        <f t="shared" si="4"/>
        <v>-199304.59000000003</v>
      </c>
      <c r="T39" s="117">
        <v>-209782.02000000019</v>
      </c>
      <c r="U39" s="115">
        <f t="shared" si="5"/>
        <v>10477.430000000168</v>
      </c>
      <c r="Y39" s="115">
        <f t="shared" si="6"/>
        <v>0</v>
      </c>
      <c r="Z39" s="117">
        <v>-10477.430000000168</v>
      </c>
      <c r="AA39" s="115">
        <f t="shared" si="7"/>
        <v>0</v>
      </c>
      <c r="AH39" s="79"/>
      <c r="AI39" s="79"/>
      <c r="AJ39" s="79">
        <v>-4385.9399999999996</v>
      </c>
      <c r="AK39" s="79">
        <v>-10477.430000000168</v>
      </c>
      <c r="AL39" s="79">
        <f t="shared" si="1"/>
        <v>-10477.430000000168</v>
      </c>
      <c r="AN39" s="79">
        <v>-4385.9399999999996</v>
      </c>
      <c r="AO39" s="79">
        <v>-10477.430000000168</v>
      </c>
      <c r="AP39" s="79">
        <v>-39004.51</v>
      </c>
      <c r="AQ39" s="79">
        <v>-51881.279999999999</v>
      </c>
      <c r="AR39" s="79">
        <v>-46645.57</v>
      </c>
      <c r="AS39" s="79">
        <f t="shared" si="2"/>
        <v>-152394.73000000016</v>
      </c>
      <c r="BB39" s="103" t="s">
        <v>237</v>
      </c>
      <c r="BC39" s="101" t="s">
        <v>873</v>
      </c>
      <c r="BD39" s="117">
        <v>-39004.51</v>
      </c>
      <c r="BE39" s="117">
        <v>-51881.279999999999</v>
      </c>
      <c r="BF39" s="117">
        <v>-46645.57</v>
      </c>
      <c r="BG39" s="117">
        <v>-61773.23</v>
      </c>
      <c r="BH39" s="129">
        <v>-60877.57</v>
      </c>
      <c r="BI39" s="128">
        <f t="shared" si="3"/>
        <v>-260182.16000000003</v>
      </c>
      <c r="BM39" s="103" t="s">
        <v>237</v>
      </c>
      <c r="BN39" s="101" t="s">
        <v>873</v>
      </c>
      <c r="BO39" s="117">
        <v>0</v>
      </c>
      <c r="BP39" s="117">
        <v>-51881.279999999999</v>
      </c>
      <c r="BQ39" s="117">
        <v>-46645.57</v>
      </c>
      <c r="BR39" s="117">
        <v>-61773.23</v>
      </c>
      <c r="BS39" s="129">
        <v>-60877.57</v>
      </c>
      <c r="BT39" s="129"/>
      <c r="BU39" s="128">
        <f t="shared" si="8"/>
        <v>-221177.65000000002</v>
      </c>
      <c r="BW39" s="115">
        <f t="shared" si="9"/>
        <v>-39004.510000000009</v>
      </c>
      <c r="BX39" s="117">
        <v>-39004.51</v>
      </c>
      <c r="BY39" s="117"/>
    </row>
    <row r="40" spans="2:83">
      <c r="B40" s="103" t="s">
        <v>239</v>
      </c>
      <c r="C40" s="101" t="s">
        <v>874</v>
      </c>
      <c r="D40" s="118">
        <v>-10691.48</v>
      </c>
      <c r="E40" s="118">
        <v>-67951.259999999995</v>
      </c>
      <c r="F40" s="118">
        <v>-49866.81</v>
      </c>
      <c r="G40" s="127">
        <v>-37494.730000000003</v>
      </c>
      <c r="H40" s="102">
        <f t="shared" si="0"/>
        <v>-166004.28</v>
      </c>
      <c r="K40" s="112" t="s">
        <v>239</v>
      </c>
      <c r="L40" s="111" t="s">
        <v>874</v>
      </c>
      <c r="M40" s="117">
        <v>0</v>
      </c>
      <c r="N40" s="117">
        <v>-8487.6</v>
      </c>
      <c r="O40" s="117">
        <v>-10691.48</v>
      </c>
      <c r="P40" s="117">
        <v>-67951.259999999995</v>
      </c>
      <c r="Q40" s="117">
        <v>-49866.81</v>
      </c>
      <c r="R40" s="117"/>
      <c r="S40" s="117">
        <f t="shared" si="4"/>
        <v>-136997.15</v>
      </c>
      <c r="T40" s="117">
        <v>-136997.15</v>
      </c>
      <c r="U40" s="115">
        <f t="shared" si="5"/>
        <v>0</v>
      </c>
      <c r="W40" s="115">
        <f>+N40+M40</f>
        <v>-8487.6</v>
      </c>
      <c r="Y40" s="115">
        <f t="shared" si="6"/>
        <v>9206.49</v>
      </c>
      <c r="Z40" s="117">
        <v>9206.49</v>
      </c>
      <c r="AA40" s="115">
        <f t="shared" si="7"/>
        <v>9206.49</v>
      </c>
      <c r="AH40" s="79"/>
      <c r="AI40" s="79"/>
      <c r="AJ40" s="79">
        <v>14946.47</v>
      </c>
      <c r="AK40" s="79">
        <v>-5739.9800000000978</v>
      </c>
      <c r="AL40" s="79">
        <f t="shared" si="1"/>
        <v>9206.4899999999016</v>
      </c>
      <c r="AN40" s="79">
        <v>14946.47</v>
      </c>
      <c r="AO40" s="79">
        <v>-5739.9800000000978</v>
      </c>
      <c r="AP40" s="79">
        <v>-17694.09</v>
      </c>
      <c r="AQ40" s="79">
        <v>-10691.48</v>
      </c>
      <c r="AR40" s="79">
        <v>-67951.259999999995</v>
      </c>
      <c r="AS40" s="79">
        <f t="shared" si="2"/>
        <v>-87130.340000000084</v>
      </c>
      <c r="BB40" s="103" t="s">
        <v>239</v>
      </c>
      <c r="BC40" s="101" t="s">
        <v>874</v>
      </c>
      <c r="BD40" s="117">
        <v>-8487.6</v>
      </c>
      <c r="BE40" s="117">
        <v>-10691.48</v>
      </c>
      <c r="BF40" s="117">
        <v>-67951.259999999995</v>
      </c>
      <c r="BG40" s="117">
        <v>-49866.81</v>
      </c>
      <c r="BH40" s="129">
        <v>-37494.730000000003</v>
      </c>
      <c r="BI40" s="128">
        <f t="shared" si="3"/>
        <v>-174491.88</v>
      </c>
      <c r="BM40" s="103" t="s">
        <v>239</v>
      </c>
      <c r="BN40" s="101" t="s">
        <v>874</v>
      </c>
      <c r="BO40" s="117">
        <v>0</v>
      </c>
      <c r="BP40" s="117">
        <v>-10691.48</v>
      </c>
      <c r="BQ40" s="117">
        <v>-67951.259999999995</v>
      </c>
      <c r="BR40" s="117">
        <v>-49866.81</v>
      </c>
      <c r="BS40" s="129">
        <v>-37494.730000000003</v>
      </c>
      <c r="BT40" s="129"/>
      <c r="BU40" s="128">
        <f t="shared" si="8"/>
        <v>-166004.28</v>
      </c>
      <c r="BW40" s="115">
        <f t="shared" si="9"/>
        <v>-8487.6000000000058</v>
      </c>
      <c r="BX40" s="117">
        <v>-8487.6</v>
      </c>
      <c r="BY40" s="117"/>
    </row>
    <row r="41" spans="2:83">
      <c r="B41" s="103" t="s">
        <v>241</v>
      </c>
      <c r="C41" s="101" t="s">
        <v>875</v>
      </c>
      <c r="D41" s="118">
        <v>-46953.56</v>
      </c>
      <c r="E41" s="118">
        <v>-68827.34</v>
      </c>
      <c r="F41" s="118">
        <v>-29821.78</v>
      </c>
      <c r="G41" s="127">
        <v>-27617.52</v>
      </c>
      <c r="H41" s="102">
        <f t="shared" si="0"/>
        <v>-173220.19999999998</v>
      </c>
      <c r="K41" s="112" t="s">
        <v>241</v>
      </c>
      <c r="L41" s="111" t="s">
        <v>875</v>
      </c>
      <c r="M41" s="117">
        <v>0</v>
      </c>
      <c r="N41" s="117">
        <v>-17706.169999999998</v>
      </c>
      <c r="O41" s="117">
        <v>-46953.56</v>
      </c>
      <c r="P41" s="117">
        <v>-68827.34</v>
      </c>
      <c r="Q41" s="117">
        <v>-29821.78</v>
      </c>
      <c r="R41" s="117"/>
      <c r="S41" s="117">
        <f t="shared" si="4"/>
        <v>-163308.85</v>
      </c>
      <c r="T41" s="117">
        <v>-189065.98000000042</v>
      </c>
      <c r="U41" s="115">
        <f t="shared" si="5"/>
        <v>25757.130000000412</v>
      </c>
      <c r="Y41" s="115">
        <f t="shared" si="6"/>
        <v>0</v>
      </c>
      <c r="Z41" s="117">
        <v>-25757.130000000412</v>
      </c>
      <c r="AA41" s="115">
        <f t="shared" si="7"/>
        <v>0</v>
      </c>
      <c r="AH41" s="79"/>
      <c r="AI41" s="79"/>
      <c r="AJ41" s="79">
        <v>-26789.14</v>
      </c>
      <c r="AK41" s="79">
        <v>-25757.130000000412</v>
      </c>
      <c r="AL41" s="79">
        <f t="shared" si="1"/>
        <v>-25757.130000000412</v>
      </c>
      <c r="AN41" s="79">
        <v>-26789.14</v>
      </c>
      <c r="AO41" s="79">
        <v>-25757.130000000412</v>
      </c>
      <c r="AP41" s="79">
        <v>-17706.169999999998</v>
      </c>
      <c r="AQ41" s="79">
        <v>-46953.56</v>
      </c>
      <c r="AR41" s="79">
        <v>-68827.34</v>
      </c>
      <c r="AS41" s="79">
        <f t="shared" si="2"/>
        <v>-186033.3400000004</v>
      </c>
      <c r="BB41" s="103" t="s">
        <v>241</v>
      </c>
      <c r="BC41" s="101" t="s">
        <v>875</v>
      </c>
      <c r="BD41" s="117">
        <v>-17706.169999999998</v>
      </c>
      <c r="BE41" s="117">
        <v>-46953.56</v>
      </c>
      <c r="BF41" s="117">
        <v>-68827.34</v>
      </c>
      <c r="BG41" s="117">
        <v>-29821.78</v>
      </c>
      <c r="BH41" s="129">
        <v>-27617.52</v>
      </c>
      <c r="BI41" s="128">
        <f t="shared" si="3"/>
        <v>-190926.37</v>
      </c>
      <c r="BM41" s="103" t="s">
        <v>241</v>
      </c>
      <c r="BN41" s="101" t="s">
        <v>875</v>
      </c>
      <c r="BO41" s="117">
        <v>0</v>
      </c>
      <c r="BP41" s="117">
        <v>-46953.56</v>
      </c>
      <c r="BQ41" s="117">
        <v>-68827.34</v>
      </c>
      <c r="BR41" s="117">
        <v>-29821.78</v>
      </c>
      <c r="BS41" s="129">
        <v>-27617.52</v>
      </c>
      <c r="BT41" s="129"/>
      <c r="BU41" s="128">
        <f t="shared" si="8"/>
        <v>-173220.19999999998</v>
      </c>
      <c r="BW41" s="115">
        <f t="shared" si="9"/>
        <v>-17706.170000000013</v>
      </c>
      <c r="BX41" s="117">
        <v>-17706.169999999998</v>
      </c>
      <c r="BY41" s="117"/>
    </row>
    <row r="42" spans="2:83">
      <c r="B42" s="103" t="s">
        <v>243</v>
      </c>
      <c r="C42" s="101" t="s">
        <v>876</v>
      </c>
      <c r="D42" s="118">
        <v>-55236.85</v>
      </c>
      <c r="E42" s="118">
        <v>-67666.289999999994</v>
      </c>
      <c r="F42" s="118">
        <v>-115391.77</v>
      </c>
      <c r="G42" s="127">
        <v>-185521.5</v>
      </c>
      <c r="H42" s="102">
        <f t="shared" si="0"/>
        <v>-423816.41</v>
      </c>
      <c r="K42" s="112" t="s">
        <v>243</v>
      </c>
      <c r="L42" s="111" t="s">
        <v>876</v>
      </c>
      <c r="M42" s="117">
        <v>0</v>
      </c>
      <c r="N42" s="117">
        <v>-60012.44</v>
      </c>
      <c r="O42" s="117">
        <v>-55236.85</v>
      </c>
      <c r="P42" s="117">
        <v>-67666.289999999994</v>
      </c>
      <c r="Q42" s="117">
        <v>-115391.77</v>
      </c>
      <c r="R42" s="117"/>
      <c r="S42" s="117">
        <f t="shared" si="4"/>
        <v>-298307.35000000003</v>
      </c>
      <c r="T42" s="117">
        <v>-347403.44</v>
      </c>
      <c r="U42" s="115">
        <f t="shared" si="5"/>
        <v>49096.089999999967</v>
      </c>
      <c r="Y42" s="115">
        <f t="shared" si="6"/>
        <v>0</v>
      </c>
      <c r="Z42" s="117">
        <v>-49096.09</v>
      </c>
      <c r="AA42" s="115">
        <f t="shared" si="7"/>
        <v>0</v>
      </c>
      <c r="AH42" s="79"/>
      <c r="AI42" s="79"/>
      <c r="AJ42" s="79">
        <v>11834.44</v>
      </c>
      <c r="AK42" s="79">
        <v>-60930.529999999795</v>
      </c>
      <c r="AL42" s="79">
        <f t="shared" si="1"/>
        <v>-49096.089999999793</v>
      </c>
      <c r="AN42" s="79">
        <v>11834.44</v>
      </c>
      <c r="AO42" s="79">
        <v>-60930.529999999795</v>
      </c>
      <c r="AP42" s="79">
        <v>-60012.44</v>
      </c>
      <c r="AQ42" s="79">
        <v>-55236.85</v>
      </c>
      <c r="AR42" s="79">
        <v>-67666.289999999994</v>
      </c>
      <c r="AS42" s="79">
        <f t="shared" si="2"/>
        <v>-232011.66999999981</v>
      </c>
      <c r="BB42" s="103" t="s">
        <v>243</v>
      </c>
      <c r="BC42" s="101" t="s">
        <v>876</v>
      </c>
      <c r="BD42" s="117">
        <v>-60012.44</v>
      </c>
      <c r="BE42" s="117">
        <v>-55236.85</v>
      </c>
      <c r="BF42" s="117">
        <v>-67666.289999999994</v>
      </c>
      <c r="BG42" s="117">
        <v>-115391.77</v>
      </c>
      <c r="BH42" s="129">
        <v>-185521.5</v>
      </c>
      <c r="BI42" s="128">
        <f t="shared" si="3"/>
        <v>-483828.85000000003</v>
      </c>
      <c r="BM42" s="103" t="s">
        <v>243</v>
      </c>
      <c r="BN42" s="101" t="s">
        <v>876</v>
      </c>
      <c r="BO42" s="117">
        <v>0</v>
      </c>
      <c r="BP42" s="117">
        <v>-55236.85</v>
      </c>
      <c r="BQ42" s="117">
        <v>-67666.289999999994</v>
      </c>
      <c r="BR42" s="117">
        <v>-115391.77</v>
      </c>
      <c r="BS42" s="129">
        <v>-185521.5</v>
      </c>
      <c r="BT42" s="129"/>
      <c r="BU42" s="128">
        <f t="shared" si="8"/>
        <v>-423816.41</v>
      </c>
      <c r="BW42" s="115">
        <f t="shared" si="9"/>
        <v>-60012.440000000061</v>
      </c>
      <c r="BX42" s="117">
        <v>-60012.44</v>
      </c>
      <c r="BY42" s="117"/>
    </row>
    <row r="43" spans="2:83">
      <c r="B43" s="103" t="s">
        <v>245</v>
      </c>
      <c r="C43" s="101" t="s">
        <v>877</v>
      </c>
      <c r="D43" s="118">
        <v>-186828.62</v>
      </c>
      <c r="E43" s="118">
        <v>-323409.99</v>
      </c>
      <c r="F43" s="118">
        <v>-419708.37</v>
      </c>
      <c r="G43" s="127">
        <v>-468727.82</v>
      </c>
      <c r="H43" s="102">
        <f t="shared" si="0"/>
        <v>-1398674.8</v>
      </c>
      <c r="K43" s="112" t="s">
        <v>245</v>
      </c>
      <c r="L43" s="111" t="s">
        <v>877</v>
      </c>
      <c r="M43" s="117">
        <v>0</v>
      </c>
      <c r="N43" s="117">
        <v>-164644.01999999999</v>
      </c>
      <c r="O43" s="117">
        <v>-186828.62</v>
      </c>
      <c r="P43" s="117">
        <v>-323409.99</v>
      </c>
      <c r="Q43" s="117">
        <v>-419708.37</v>
      </c>
      <c r="R43" s="117"/>
      <c r="S43" s="117">
        <f t="shared" si="4"/>
        <v>-1094591</v>
      </c>
      <c r="T43" s="117">
        <v>-1259177.0699999987</v>
      </c>
      <c r="U43" s="115">
        <f t="shared" si="5"/>
        <v>164586.06999999867</v>
      </c>
      <c r="Y43" s="115">
        <f t="shared" si="6"/>
        <v>0</v>
      </c>
      <c r="Z43" s="117">
        <v>-164586.06999999867</v>
      </c>
      <c r="AA43" s="115">
        <f t="shared" si="7"/>
        <v>0</v>
      </c>
      <c r="AH43" s="79"/>
      <c r="AI43" s="79"/>
      <c r="AJ43" s="79">
        <v>-105116.27</v>
      </c>
      <c r="AK43" s="79">
        <v>-164586.06999999867</v>
      </c>
      <c r="AL43" s="79">
        <f t="shared" si="1"/>
        <v>-164586.06999999867</v>
      </c>
      <c r="AN43" s="79">
        <v>-105116.27</v>
      </c>
      <c r="AO43" s="79">
        <v>-164586.06999999867</v>
      </c>
      <c r="AP43" s="79">
        <v>-164644.01999999999</v>
      </c>
      <c r="AQ43" s="79">
        <v>-186828.62</v>
      </c>
      <c r="AR43" s="79">
        <v>-323409.99</v>
      </c>
      <c r="AS43" s="79">
        <f t="shared" si="2"/>
        <v>-944584.96999999869</v>
      </c>
      <c r="BB43" s="103" t="s">
        <v>245</v>
      </c>
      <c r="BC43" s="101" t="s">
        <v>877</v>
      </c>
      <c r="BD43" s="117">
        <v>-164644.01999999999</v>
      </c>
      <c r="BE43" s="117">
        <v>-186828.62</v>
      </c>
      <c r="BF43" s="117">
        <v>-323409.99</v>
      </c>
      <c r="BG43" s="117">
        <v>-419708.37</v>
      </c>
      <c r="BH43" s="129">
        <v>-468727.82</v>
      </c>
      <c r="BI43" s="128">
        <f t="shared" si="3"/>
        <v>-1563318.82</v>
      </c>
      <c r="BM43" s="103" t="s">
        <v>245</v>
      </c>
      <c r="BN43" s="101" t="s">
        <v>877</v>
      </c>
      <c r="BO43" s="117">
        <v>0</v>
      </c>
      <c r="BP43" s="117">
        <v>-186828.62</v>
      </c>
      <c r="BQ43" s="117">
        <v>-323409.99</v>
      </c>
      <c r="BR43" s="117">
        <v>-419708.37</v>
      </c>
      <c r="BS43" s="129">
        <v>-468727.82</v>
      </c>
      <c r="BT43" s="129"/>
      <c r="BU43" s="128">
        <f t="shared" si="8"/>
        <v>-1398674.8</v>
      </c>
      <c r="BW43" s="115">
        <f t="shared" si="9"/>
        <v>-164644.02000000002</v>
      </c>
      <c r="BX43" s="117">
        <v>-164644.01999999999</v>
      </c>
      <c r="BY43" s="117"/>
    </row>
    <row r="44" spans="2:83">
      <c r="B44" s="103" t="s">
        <v>247</v>
      </c>
      <c r="C44" s="101" t="s">
        <v>878</v>
      </c>
      <c r="D44" s="118">
        <v>-14865.74</v>
      </c>
      <c r="E44" s="118">
        <v>-30145.75</v>
      </c>
      <c r="F44" s="118">
        <v>-25943.42</v>
      </c>
      <c r="G44" s="127">
        <v>-15760.33</v>
      </c>
      <c r="H44" s="102">
        <f t="shared" si="0"/>
        <v>-86715.24</v>
      </c>
      <c r="K44" s="112" t="s">
        <v>247</v>
      </c>
      <c r="L44" s="111" t="s">
        <v>878</v>
      </c>
      <c r="M44" s="117">
        <v>0</v>
      </c>
      <c r="N44" s="117">
        <v>-29096.86</v>
      </c>
      <c r="O44" s="117">
        <v>-14865.74</v>
      </c>
      <c r="P44" s="117">
        <v>-30145.75</v>
      </c>
      <c r="Q44" s="117">
        <v>-25943.42</v>
      </c>
      <c r="R44" s="117"/>
      <c r="S44" s="117">
        <f t="shared" si="4"/>
        <v>-100051.77</v>
      </c>
      <c r="T44" s="117">
        <v>-147440.21999999991</v>
      </c>
      <c r="U44" s="115">
        <f t="shared" si="5"/>
        <v>47388.44999999991</v>
      </c>
      <c r="Y44" s="115">
        <f t="shared" si="6"/>
        <v>0</v>
      </c>
      <c r="Z44" s="117">
        <v>-47388.449999999924</v>
      </c>
      <c r="AA44" s="115">
        <f t="shared" si="7"/>
        <v>0</v>
      </c>
      <c r="AH44" s="79"/>
      <c r="AI44" s="79"/>
      <c r="AJ44" s="79">
        <v>-42632.84</v>
      </c>
      <c r="AK44" s="79">
        <v>-47388.449999999924</v>
      </c>
      <c r="AL44" s="79">
        <f t="shared" si="1"/>
        <v>-47388.449999999924</v>
      </c>
      <c r="AN44" s="79">
        <v>-42632.84</v>
      </c>
      <c r="AO44" s="79">
        <v>-47388.449999999924</v>
      </c>
      <c r="AP44" s="79">
        <v>-29096.86</v>
      </c>
      <c r="AQ44" s="79">
        <v>-14865.74</v>
      </c>
      <c r="AR44" s="79">
        <v>-30145.75</v>
      </c>
      <c r="AS44" s="79">
        <f t="shared" si="2"/>
        <v>-164129.63999999993</v>
      </c>
      <c r="BB44" s="103" t="s">
        <v>247</v>
      </c>
      <c r="BC44" s="101" t="s">
        <v>878</v>
      </c>
      <c r="BD44" s="117">
        <v>-29096.86</v>
      </c>
      <c r="BE44" s="117">
        <v>-14865.74</v>
      </c>
      <c r="BF44" s="117">
        <v>-30145.75</v>
      </c>
      <c r="BG44" s="117">
        <v>-25943.42</v>
      </c>
      <c r="BH44" s="129">
        <v>-15760.33</v>
      </c>
      <c r="BI44" s="128">
        <f t="shared" si="3"/>
        <v>-115812.1</v>
      </c>
      <c r="BM44" s="103" t="s">
        <v>247</v>
      </c>
      <c r="BN44" s="101" t="s">
        <v>878</v>
      </c>
      <c r="BO44" s="117">
        <v>0</v>
      </c>
      <c r="BP44" s="117">
        <v>-14865.74</v>
      </c>
      <c r="BQ44" s="117">
        <v>-30145.75</v>
      </c>
      <c r="BR44" s="117">
        <v>-25943.42</v>
      </c>
      <c r="BS44" s="129">
        <v>-15760.33</v>
      </c>
      <c r="BT44" s="129"/>
      <c r="BU44" s="128">
        <f t="shared" si="8"/>
        <v>-86715.24</v>
      </c>
      <c r="BW44" s="115">
        <f t="shared" si="9"/>
        <v>-29096.86</v>
      </c>
      <c r="BX44" s="117">
        <v>-29096.86</v>
      </c>
      <c r="BY44" s="117"/>
    </row>
    <row r="45" spans="2:83">
      <c r="B45" s="103" t="s">
        <v>249</v>
      </c>
      <c r="C45" s="101" t="s">
        <v>879</v>
      </c>
      <c r="D45" s="118">
        <v>-73029.11</v>
      </c>
      <c r="E45" s="118">
        <v>-90346.52</v>
      </c>
      <c r="F45" s="118">
        <v>-63763.28</v>
      </c>
      <c r="G45" s="127">
        <v>-159396.29</v>
      </c>
      <c r="H45" s="102">
        <f t="shared" si="0"/>
        <v>-386535.2</v>
      </c>
      <c r="K45" s="112" t="s">
        <v>249</v>
      </c>
      <c r="L45" s="111" t="s">
        <v>879</v>
      </c>
      <c r="M45" s="117">
        <v>0</v>
      </c>
      <c r="N45" s="117">
        <v>-74293.3</v>
      </c>
      <c r="O45" s="117">
        <v>-73029.11</v>
      </c>
      <c r="P45" s="117">
        <v>-90346.52</v>
      </c>
      <c r="Q45" s="117">
        <v>-63763.28</v>
      </c>
      <c r="R45" s="117"/>
      <c r="S45" s="117">
        <f t="shared" si="4"/>
        <v>-301432.20999999996</v>
      </c>
      <c r="T45" s="117">
        <v>-376516.0299999998</v>
      </c>
      <c r="U45" s="115">
        <f t="shared" si="5"/>
        <v>75083.819999999832</v>
      </c>
      <c r="Y45" s="115">
        <f t="shared" si="6"/>
        <v>0</v>
      </c>
      <c r="Z45" s="117">
        <v>-75083.819999999774</v>
      </c>
      <c r="AA45" s="115">
        <f t="shared" si="7"/>
        <v>0</v>
      </c>
      <c r="AH45" s="79"/>
      <c r="AI45" s="79"/>
      <c r="AJ45" s="79">
        <v>-49513.47</v>
      </c>
      <c r="AK45" s="79">
        <v>-75083.819999999774</v>
      </c>
      <c r="AL45" s="79">
        <f t="shared" si="1"/>
        <v>-75083.819999999774</v>
      </c>
      <c r="AN45" s="79">
        <v>-49513.47</v>
      </c>
      <c r="AO45" s="79">
        <v>-75083.819999999774</v>
      </c>
      <c r="AP45" s="79">
        <v>-74293.3</v>
      </c>
      <c r="AQ45" s="79">
        <v>-73029.11</v>
      </c>
      <c r="AR45" s="79">
        <v>-90346.52</v>
      </c>
      <c r="AS45" s="79">
        <f t="shared" si="2"/>
        <v>-362266.2199999998</v>
      </c>
      <c r="BB45" s="103" t="s">
        <v>249</v>
      </c>
      <c r="BC45" s="101" t="s">
        <v>879</v>
      </c>
      <c r="BD45" s="117">
        <v>-74293.3</v>
      </c>
      <c r="BE45" s="117">
        <v>-73029.11</v>
      </c>
      <c r="BF45" s="117">
        <v>-90346.52</v>
      </c>
      <c r="BG45" s="117">
        <v>-63763.28</v>
      </c>
      <c r="BH45" s="129">
        <v>-159396.29</v>
      </c>
      <c r="BI45" s="128">
        <f t="shared" si="3"/>
        <v>-460828.5</v>
      </c>
      <c r="BM45" s="103" t="s">
        <v>249</v>
      </c>
      <c r="BN45" s="101" t="s">
        <v>879</v>
      </c>
      <c r="BO45" s="117">
        <v>0</v>
      </c>
      <c r="BP45" s="117">
        <v>-73029.11</v>
      </c>
      <c r="BQ45" s="117">
        <v>-90346.52</v>
      </c>
      <c r="BR45" s="117">
        <v>-63763.28</v>
      </c>
      <c r="BS45" s="129">
        <v>-159396.29</v>
      </c>
      <c r="BT45" s="129"/>
      <c r="BU45" s="128">
        <f t="shared" si="8"/>
        <v>-386535.2</v>
      </c>
      <c r="BW45" s="115">
        <f t="shared" si="9"/>
        <v>-74293.299999999988</v>
      </c>
      <c r="BX45" s="117">
        <v>-74293.3</v>
      </c>
      <c r="BY45" s="117"/>
    </row>
    <row r="46" spans="2:83">
      <c r="B46" s="103" t="s">
        <v>251</v>
      </c>
      <c r="C46" s="101" t="s">
        <v>880</v>
      </c>
      <c r="D46" s="118">
        <v>-20843.36</v>
      </c>
      <c r="E46" s="118">
        <v>-23790.98</v>
      </c>
      <c r="F46" s="118">
        <v>-24829.48</v>
      </c>
      <c r="G46" s="127">
        <v>-24910.09</v>
      </c>
      <c r="H46" s="102">
        <f t="shared" si="0"/>
        <v>-94373.909999999989</v>
      </c>
      <c r="K46" s="112" t="s">
        <v>251</v>
      </c>
      <c r="L46" s="111" t="s">
        <v>880</v>
      </c>
      <c r="M46" s="117">
        <v>0</v>
      </c>
      <c r="N46" s="117">
        <v>-15165.03</v>
      </c>
      <c r="O46" s="117">
        <v>-20843.36</v>
      </c>
      <c r="P46" s="117">
        <v>-23790.98</v>
      </c>
      <c r="Q46" s="117">
        <v>-24829.48</v>
      </c>
      <c r="R46" s="117"/>
      <c r="S46" s="117">
        <f t="shared" si="4"/>
        <v>-84628.849999999991</v>
      </c>
      <c r="T46" s="117">
        <v>-95320.950000000012</v>
      </c>
      <c r="U46" s="115">
        <f t="shared" si="5"/>
        <v>10692.10000000002</v>
      </c>
      <c r="Y46" s="115">
        <f t="shared" si="6"/>
        <v>0</v>
      </c>
      <c r="Z46" s="117">
        <v>-10692.100000000013</v>
      </c>
      <c r="AA46" s="115">
        <f t="shared" si="7"/>
        <v>0</v>
      </c>
      <c r="AH46" s="79"/>
      <c r="AI46" s="79"/>
      <c r="AJ46" s="79">
        <v>-19309.849999999999</v>
      </c>
      <c r="AK46" s="79">
        <v>-10692.100000000013</v>
      </c>
      <c r="AL46" s="79">
        <f t="shared" si="1"/>
        <v>-10692.100000000013</v>
      </c>
      <c r="AN46" s="79">
        <v>-19309.849999999999</v>
      </c>
      <c r="AO46" s="79">
        <v>-10692.100000000013</v>
      </c>
      <c r="AP46" s="79">
        <v>-15165.03</v>
      </c>
      <c r="AQ46" s="79">
        <v>-20843.36</v>
      </c>
      <c r="AR46" s="79">
        <v>-23790.98</v>
      </c>
      <c r="AS46" s="79">
        <f t="shared" si="2"/>
        <v>-89801.32</v>
      </c>
      <c r="BB46" s="103" t="s">
        <v>251</v>
      </c>
      <c r="BC46" s="101" t="s">
        <v>880</v>
      </c>
      <c r="BD46" s="117">
        <v>-15165.03</v>
      </c>
      <c r="BE46" s="117">
        <v>-20843.36</v>
      </c>
      <c r="BF46" s="117">
        <v>-23790.98</v>
      </c>
      <c r="BG46" s="117">
        <v>-24829.48</v>
      </c>
      <c r="BH46" s="129">
        <v>-24910.09</v>
      </c>
      <c r="BI46" s="128">
        <f t="shared" si="3"/>
        <v>-109538.93999999999</v>
      </c>
      <c r="BM46" s="103" t="s">
        <v>251</v>
      </c>
      <c r="BN46" s="101" t="s">
        <v>880</v>
      </c>
      <c r="BO46" s="117">
        <v>0</v>
      </c>
      <c r="BP46" s="117">
        <v>-20843.36</v>
      </c>
      <c r="BQ46" s="117">
        <v>-23790.98</v>
      </c>
      <c r="BR46" s="117">
        <v>-24829.48</v>
      </c>
      <c r="BS46" s="129">
        <v>-24910.09</v>
      </c>
      <c r="BT46" s="129"/>
      <c r="BU46" s="128">
        <f t="shared" si="8"/>
        <v>-94373.909999999989</v>
      </c>
      <c r="BW46" s="115">
        <f t="shared" si="9"/>
        <v>-15165.029999999999</v>
      </c>
      <c r="BX46" s="117">
        <v>-15165.03</v>
      </c>
      <c r="BY46" s="117"/>
    </row>
    <row r="47" spans="2:83">
      <c r="B47" s="103" t="s">
        <v>253</v>
      </c>
      <c r="C47" s="101" t="s">
        <v>881</v>
      </c>
      <c r="D47" s="118">
        <v>-94769</v>
      </c>
      <c r="E47" s="118">
        <v>-108108.18</v>
      </c>
      <c r="F47" s="118">
        <v>-98741.79</v>
      </c>
      <c r="G47" s="127">
        <v>-92396.3</v>
      </c>
      <c r="H47" s="102">
        <f t="shared" si="0"/>
        <v>-394015.26999999996</v>
      </c>
      <c r="K47" s="112" t="s">
        <v>253</v>
      </c>
      <c r="L47" s="111" t="s">
        <v>881</v>
      </c>
      <c r="M47" s="117">
        <v>0</v>
      </c>
      <c r="N47" s="117">
        <v>-60358.41</v>
      </c>
      <c r="O47" s="117">
        <v>-94769</v>
      </c>
      <c r="P47" s="117">
        <v>-108108.18</v>
      </c>
      <c r="Q47" s="117">
        <v>-98741.79</v>
      </c>
      <c r="R47" s="117"/>
      <c r="S47" s="117">
        <f t="shared" si="4"/>
        <v>-361977.37999999995</v>
      </c>
      <c r="T47" s="117">
        <v>-390318.69</v>
      </c>
      <c r="U47" s="115">
        <f t="shared" si="5"/>
        <v>28341.310000000056</v>
      </c>
      <c r="Y47" s="115">
        <f t="shared" si="6"/>
        <v>5.4569682106375694E-11</v>
      </c>
      <c r="Z47" s="117">
        <v>-28341.31</v>
      </c>
      <c r="AA47" s="115">
        <f t="shared" si="7"/>
        <v>5.4569682106375694E-11</v>
      </c>
      <c r="AH47" s="79"/>
      <c r="AI47" s="79"/>
      <c r="AJ47" s="79">
        <v>2541.0100000000002</v>
      </c>
      <c r="AK47" s="79">
        <v>-30882.320000000298</v>
      </c>
      <c r="AL47" s="79">
        <f t="shared" si="1"/>
        <v>-28341.310000000296</v>
      </c>
      <c r="AN47" s="79">
        <v>2541.0100000000002</v>
      </c>
      <c r="AO47" s="79">
        <v>-30882.320000000298</v>
      </c>
      <c r="AP47" s="79">
        <v>-60358.41</v>
      </c>
      <c r="AQ47" s="79">
        <v>-94769</v>
      </c>
      <c r="AR47" s="79">
        <v>-108108.18</v>
      </c>
      <c r="AS47" s="79">
        <f t="shared" si="2"/>
        <v>-291576.90000000026</v>
      </c>
      <c r="BB47" s="103" t="s">
        <v>253</v>
      </c>
      <c r="BC47" s="101" t="s">
        <v>881</v>
      </c>
      <c r="BD47" s="117">
        <v>-60358.41</v>
      </c>
      <c r="BE47" s="117">
        <v>-94769</v>
      </c>
      <c r="BF47" s="117">
        <v>-108108.18</v>
      </c>
      <c r="BG47" s="117">
        <v>-98741.79</v>
      </c>
      <c r="BH47" s="129">
        <v>-92396.3</v>
      </c>
      <c r="BI47" s="128">
        <f t="shared" si="3"/>
        <v>-454373.67999999993</v>
      </c>
      <c r="BM47" s="103" t="s">
        <v>253</v>
      </c>
      <c r="BN47" s="101" t="s">
        <v>881</v>
      </c>
      <c r="BO47" s="117">
        <v>0</v>
      </c>
      <c r="BP47" s="117">
        <v>-94769</v>
      </c>
      <c r="BQ47" s="117">
        <v>-108108.18</v>
      </c>
      <c r="BR47" s="117">
        <v>-98741.79</v>
      </c>
      <c r="BS47" s="129">
        <v>-92396.3</v>
      </c>
      <c r="BT47" s="129"/>
      <c r="BU47" s="128">
        <f t="shared" si="8"/>
        <v>-394015.26999999996</v>
      </c>
      <c r="BW47" s="115">
        <f t="shared" si="9"/>
        <v>-60358.409999999974</v>
      </c>
      <c r="BX47" s="117">
        <v>-60358.41</v>
      </c>
      <c r="BY47" s="117"/>
    </row>
    <row r="48" spans="2:83">
      <c r="B48" s="103" t="s">
        <v>255</v>
      </c>
      <c r="C48" s="101" t="s">
        <v>882</v>
      </c>
      <c r="D48" s="118">
        <v>-65058.13</v>
      </c>
      <c r="E48" s="118">
        <v>-80743.320000000007</v>
      </c>
      <c r="F48" s="118">
        <v>-72982.66</v>
      </c>
      <c r="G48" s="127">
        <v>-70438.289999999994</v>
      </c>
      <c r="H48" s="102">
        <f t="shared" si="0"/>
        <v>-289222.40000000002</v>
      </c>
      <c r="K48" s="112" t="s">
        <v>255</v>
      </c>
      <c r="L48" s="111" t="s">
        <v>882</v>
      </c>
      <c r="M48" s="117">
        <v>0</v>
      </c>
      <c r="N48" s="117">
        <v>-37587.58</v>
      </c>
      <c r="O48" s="117">
        <v>-65058.13</v>
      </c>
      <c r="P48" s="117">
        <v>-80743.320000000007</v>
      </c>
      <c r="Q48" s="117">
        <v>-72982.66</v>
      </c>
      <c r="R48" s="117"/>
      <c r="S48" s="117">
        <f t="shared" si="4"/>
        <v>-256371.69</v>
      </c>
      <c r="T48" s="117">
        <v>-310773.88</v>
      </c>
      <c r="U48" s="115">
        <f t="shared" si="5"/>
        <v>54402.19</v>
      </c>
      <c r="Y48" s="115">
        <f t="shared" si="6"/>
        <v>0</v>
      </c>
      <c r="Z48" s="117">
        <v>-54402.189999999988</v>
      </c>
      <c r="AA48" s="115">
        <f t="shared" si="7"/>
        <v>0</v>
      </c>
      <c r="AH48" s="79"/>
      <c r="AI48" s="79"/>
      <c r="AJ48" s="79">
        <v>-56949.06</v>
      </c>
      <c r="AK48" s="79">
        <v>-54402.189999999988</v>
      </c>
      <c r="AL48" s="79">
        <f t="shared" si="1"/>
        <v>-54402.189999999988</v>
      </c>
      <c r="AN48" s="79">
        <v>-56949.06</v>
      </c>
      <c r="AO48" s="79">
        <v>-54402.189999999988</v>
      </c>
      <c r="AP48" s="79">
        <v>-37587.58</v>
      </c>
      <c r="AQ48" s="79">
        <v>-65058.13</v>
      </c>
      <c r="AR48" s="79">
        <v>-80743.320000000007</v>
      </c>
      <c r="AS48" s="79">
        <f t="shared" si="2"/>
        <v>-294740.28000000003</v>
      </c>
      <c r="BB48" s="103" t="s">
        <v>255</v>
      </c>
      <c r="BC48" s="101" t="s">
        <v>882</v>
      </c>
      <c r="BD48" s="117">
        <v>-37587.58</v>
      </c>
      <c r="BE48" s="117">
        <v>-65058.13</v>
      </c>
      <c r="BF48" s="117">
        <v>-80743.320000000007</v>
      </c>
      <c r="BG48" s="117">
        <v>-72982.66</v>
      </c>
      <c r="BH48" s="129">
        <v>-70438.289999999994</v>
      </c>
      <c r="BI48" s="128">
        <f t="shared" si="3"/>
        <v>-326809.98</v>
      </c>
      <c r="BM48" s="103" t="s">
        <v>255</v>
      </c>
      <c r="BN48" s="101" t="s">
        <v>882</v>
      </c>
      <c r="BO48" s="117">
        <v>0</v>
      </c>
      <c r="BP48" s="117">
        <v>-65058.13</v>
      </c>
      <c r="BQ48" s="117">
        <v>-80743.320000000007</v>
      </c>
      <c r="BR48" s="117">
        <v>-72982.66</v>
      </c>
      <c r="BS48" s="129">
        <v>-70438.289999999994</v>
      </c>
      <c r="BT48" s="129"/>
      <c r="BU48" s="128">
        <f t="shared" si="8"/>
        <v>-289222.40000000002</v>
      </c>
      <c r="BW48" s="115">
        <f t="shared" si="9"/>
        <v>-37587.579999999958</v>
      </c>
      <c r="BX48" s="117">
        <v>-37587.58</v>
      </c>
      <c r="BY48" s="117"/>
    </row>
    <row r="49" spans="2:83">
      <c r="B49" s="103" t="s">
        <v>257</v>
      </c>
      <c r="C49" s="101" t="s">
        <v>883</v>
      </c>
      <c r="D49" s="118">
        <v>-37884.639999999999</v>
      </c>
      <c r="E49" s="118">
        <v>-43496.91</v>
      </c>
      <c r="F49" s="118">
        <v>-16879.21</v>
      </c>
      <c r="G49" s="127">
        <v>-39137.49</v>
      </c>
      <c r="H49" s="102">
        <f t="shared" si="0"/>
        <v>-137398.25</v>
      </c>
      <c r="K49" s="112" t="s">
        <v>257</v>
      </c>
      <c r="L49" s="111" t="s">
        <v>883</v>
      </c>
      <c r="M49" s="117">
        <v>0</v>
      </c>
      <c r="N49" s="117">
        <v>-41197.379999999997</v>
      </c>
      <c r="O49" s="117">
        <v>-37884.639999999999</v>
      </c>
      <c r="P49" s="117">
        <v>-43496.91</v>
      </c>
      <c r="Q49" s="117">
        <v>-16879.21</v>
      </c>
      <c r="R49" s="117"/>
      <c r="S49" s="117">
        <f t="shared" si="4"/>
        <v>-139458.13999999998</v>
      </c>
      <c r="T49" s="117">
        <v>-167312.3900000001</v>
      </c>
      <c r="U49" s="115">
        <f t="shared" si="5"/>
        <v>27854.250000000116</v>
      </c>
      <c r="Y49" s="115">
        <f t="shared" si="6"/>
        <v>2.9103830456733704E-11</v>
      </c>
      <c r="Z49" s="117">
        <v>-27854.250000000087</v>
      </c>
      <c r="AA49" s="115">
        <f t="shared" si="7"/>
        <v>2.9103830456733704E-11</v>
      </c>
      <c r="AH49" s="79"/>
      <c r="AI49" s="79"/>
      <c r="AJ49" s="79">
        <v>-31997.51</v>
      </c>
      <c r="AK49" s="79">
        <v>-27854.250000000087</v>
      </c>
      <c r="AL49" s="79">
        <f t="shared" si="1"/>
        <v>-27854.250000000087</v>
      </c>
      <c r="AN49" s="79">
        <v>-31997.51</v>
      </c>
      <c r="AO49" s="79">
        <v>-27854.250000000087</v>
      </c>
      <c r="AP49" s="79">
        <v>-41197.379999999997</v>
      </c>
      <c r="AQ49" s="79">
        <v>-37884.639999999999</v>
      </c>
      <c r="AR49" s="79">
        <v>-43496.91</v>
      </c>
      <c r="AS49" s="79">
        <f t="shared" si="2"/>
        <v>-182430.69000000009</v>
      </c>
      <c r="BB49" s="103" t="s">
        <v>257</v>
      </c>
      <c r="BC49" s="101" t="s">
        <v>883</v>
      </c>
      <c r="BD49" s="117">
        <v>-41197.379999999997</v>
      </c>
      <c r="BE49" s="117">
        <v>-37884.639999999999</v>
      </c>
      <c r="BF49" s="117">
        <v>-43496.91</v>
      </c>
      <c r="BG49" s="117">
        <v>-16879.21</v>
      </c>
      <c r="BH49" s="129">
        <v>-39137.49</v>
      </c>
      <c r="BI49" s="128">
        <f t="shared" si="3"/>
        <v>-178595.62999999998</v>
      </c>
      <c r="BM49" s="103" t="s">
        <v>257</v>
      </c>
      <c r="BN49" s="101" t="s">
        <v>883</v>
      </c>
      <c r="BO49" s="117">
        <v>0</v>
      </c>
      <c r="BP49" s="117">
        <v>-37884.639999999999</v>
      </c>
      <c r="BQ49" s="117">
        <v>-43496.91</v>
      </c>
      <c r="BR49" s="117">
        <v>-16879.21</v>
      </c>
      <c r="BS49" s="129">
        <v>-39137.49</v>
      </c>
      <c r="BT49" s="129"/>
      <c r="BU49" s="128">
        <f t="shared" si="8"/>
        <v>-137398.25</v>
      </c>
      <c r="BW49" s="115">
        <f t="shared" si="9"/>
        <v>-41197.379999999976</v>
      </c>
      <c r="BX49" s="117">
        <v>-41197.379999999997</v>
      </c>
      <c r="BY49" s="117"/>
    </row>
    <row r="50" spans="2:83">
      <c r="B50" s="103" t="s">
        <v>259</v>
      </c>
      <c r="C50" s="101" t="s">
        <v>884</v>
      </c>
      <c r="D50" s="118">
        <v>-62267.63</v>
      </c>
      <c r="E50" s="118">
        <v>-50944.66</v>
      </c>
      <c r="F50" s="118">
        <v>-37930.43</v>
      </c>
      <c r="G50" s="127">
        <v>-51310.73</v>
      </c>
      <c r="H50" s="102">
        <f t="shared" si="0"/>
        <v>-202453.45</v>
      </c>
      <c r="K50" s="112" t="s">
        <v>259</v>
      </c>
      <c r="L50" s="111" t="s">
        <v>884</v>
      </c>
      <c r="M50" s="117">
        <v>0</v>
      </c>
      <c r="N50" s="117">
        <v>-54121.84</v>
      </c>
      <c r="O50" s="117">
        <v>-62267.63</v>
      </c>
      <c r="P50" s="117">
        <v>-50944.66</v>
      </c>
      <c r="Q50" s="117">
        <v>-37930.43</v>
      </c>
      <c r="R50" s="117"/>
      <c r="S50" s="117">
        <f t="shared" si="4"/>
        <v>-205264.56</v>
      </c>
      <c r="T50" s="117">
        <v>-235367.34</v>
      </c>
      <c r="U50" s="115">
        <f t="shared" si="5"/>
        <v>30102.78</v>
      </c>
      <c r="Y50" s="115">
        <f t="shared" si="6"/>
        <v>0</v>
      </c>
      <c r="Z50" s="117">
        <v>-30102.780000000013</v>
      </c>
      <c r="AA50" s="115">
        <f t="shared" si="7"/>
        <v>0</v>
      </c>
      <c r="AH50" s="79"/>
      <c r="AI50" s="79"/>
      <c r="AJ50" s="79">
        <v>-53939.85</v>
      </c>
      <c r="AK50" s="79">
        <v>-30102.780000000013</v>
      </c>
      <c r="AL50" s="79">
        <f t="shared" si="1"/>
        <v>-30102.780000000013</v>
      </c>
      <c r="AN50" s="79">
        <v>-53939.85</v>
      </c>
      <c r="AO50" s="79">
        <v>-30102.780000000013</v>
      </c>
      <c r="AP50" s="79">
        <v>-54121.84</v>
      </c>
      <c r="AQ50" s="79">
        <v>-62267.63</v>
      </c>
      <c r="AR50" s="79">
        <v>-50944.66</v>
      </c>
      <c r="AS50" s="79">
        <f t="shared" si="2"/>
        <v>-251376.76</v>
      </c>
      <c r="BB50" s="103" t="s">
        <v>259</v>
      </c>
      <c r="BC50" s="101" t="s">
        <v>884</v>
      </c>
      <c r="BD50" s="117">
        <v>-54121.84</v>
      </c>
      <c r="BE50" s="117">
        <v>-62267.63</v>
      </c>
      <c r="BF50" s="117">
        <v>-50944.66</v>
      </c>
      <c r="BG50" s="117">
        <v>-37930.43</v>
      </c>
      <c r="BH50" s="129">
        <v>-51310.73</v>
      </c>
      <c r="BI50" s="128">
        <f t="shared" si="3"/>
        <v>-256575.29</v>
      </c>
      <c r="BM50" s="103" t="s">
        <v>259</v>
      </c>
      <c r="BN50" s="101" t="s">
        <v>884</v>
      </c>
      <c r="BO50" s="117">
        <v>0</v>
      </c>
      <c r="BP50" s="117">
        <v>-62267.63</v>
      </c>
      <c r="BQ50" s="117">
        <v>-50944.66</v>
      </c>
      <c r="BR50" s="117">
        <v>-37930.43</v>
      </c>
      <c r="BS50" s="129">
        <v>-51310.73</v>
      </c>
      <c r="BT50" s="129"/>
      <c r="BU50" s="128">
        <f t="shared" si="8"/>
        <v>-202453.45</v>
      </c>
      <c r="BW50" s="115">
        <f t="shared" si="9"/>
        <v>-54121.84</v>
      </c>
      <c r="BX50" s="117">
        <v>-54121.84</v>
      </c>
      <c r="BY50" s="117"/>
    </row>
    <row r="51" spans="2:83">
      <c r="B51" s="103" t="s">
        <v>261</v>
      </c>
      <c r="C51" s="101" t="s">
        <v>885</v>
      </c>
      <c r="D51" s="118">
        <v>-85611.95</v>
      </c>
      <c r="E51" s="118">
        <v>-81329.440000000002</v>
      </c>
      <c r="F51" s="118">
        <v>-63708.25</v>
      </c>
      <c r="G51" s="127">
        <v>-68005.929999999993</v>
      </c>
      <c r="H51" s="102">
        <f t="shared" si="0"/>
        <v>-298655.57</v>
      </c>
      <c r="K51" s="112" t="s">
        <v>261</v>
      </c>
      <c r="L51" s="111" t="s">
        <v>885</v>
      </c>
      <c r="M51" s="117">
        <v>0</v>
      </c>
      <c r="N51" s="117">
        <v>-67628.06</v>
      </c>
      <c r="O51" s="117">
        <v>-85611.95</v>
      </c>
      <c r="P51" s="117">
        <v>-81329.440000000002</v>
      </c>
      <c r="Q51" s="117">
        <v>-63708.25</v>
      </c>
      <c r="R51" s="117"/>
      <c r="S51" s="117">
        <f t="shared" si="4"/>
        <v>-298277.7</v>
      </c>
      <c r="T51" s="117">
        <v>-370650.04000000004</v>
      </c>
      <c r="U51" s="115">
        <f t="shared" si="5"/>
        <v>72372.340000000026</v>
      </c>
      <c r="Y51" s="115">
        <f t="shared" si="6"/>
        <v>0</v>
      </c>
      <c r="Z51" s="117">
        <v>-72372.340000000055</v>
      </c>
      <c r="AA51" s="115">
        <f t="shared" si="7"/>
        <v>0</v>
      </c>
      <c r="AH51" s="79"/>
      <c r="AI51" s="79"/>
      <c r="AJ51" s="79">
        <v>-58151.61</v>
      </c>
      <c r="AK51" s="79">
        <v>-72372.340000000055</v>
      </c>
      <c r="AL51" s="79">
        <f t="shared" si="1"/>
        <v>-72372.340000000055</v>
      </c>
      <c r="AN51" s="79">
        <v>-58151.61</v>
      </c>
      <c r="AO51" s="79">
        <v>-72372.340000000055</v>
      </c>
      <c r="AP51" s="79">
        <v>-67628.06</v>
      </c>
      <c r="AQ51" s="79">
        <v>-85611.95</v>
      </c>
      <c r="AR51" s="79">
        <v>-81329.440000000002</v>
      </c>
      <c r="AS51" s="79">
        <f t="shared" si="2"/>
        <v>-365093.40000000008</v>
      </c>
      <c r="BB51" s="103" t="s">
        <v>261</v>
      </c>
      <c r="BC51" s="101" t="s">
        <v>885</v>
      </c>
      <c r="BD51" s="117">
        <v>-67628.06</v>
      </c>
      <c r="BE51" s="117">
        <v>-85611.95</v>
      </c>
      <c r="BF51" s="117">
        <v>-81329.440000000002</v>
      </c>
      <c r="BG51" s="117">
        <v>-63708.25</v>
      </c>
      <c r="BH51" s="129">
        <v>-68005.929999999993</v>
      </c>
      <c r="BI51" s="128">
        <f t="shared" si="3"/>
        <v>-366283.63</v>
      </c>
      <c r="BM51" s="103" t="s">
        <v>261</v>
      </c>
      <c r="BN51" s="101" t="s">
        <v>885</v>
      </c>
      <c r="BO51" s="117">
        <v>0</v>
      </c>
      <c r="BP51" s="117">
        <v>-85611.95</v>
      </c>
      <c r="BQ51" s="117">
        <v>-81329.440000000002</v>
      </c>
      <c r="BR51" s="117">
        <v>-63708.25</v>
      </c>
      <c r="BS51" s="129">
        <v>-68005.929999999993</v>
      </c>
      <c r="BT51" s="129"/>
      <c r="BU51" s="128">
        <f t="shared" si="8"/>
        <v>-298655.57</v>
      </c>
      <c r="BW51" s="115">
        <f t="shared" si="9"/>
        <v>-67628.06</v>
      </c>
      <c r="BX51" s="117">
        <v>-67628.06</v>
      </c>
      <c r="BY51" s="117"/>
    </row>
    <row r="52" spans="2:83">
      <c r="B52" s="103" t="s">
        <v>263</v>
      </c>
      <c r="C52" s="101" t="s">
        <v>886</v>
      </c>
      <c r="D52" s="118">
        <v>-29154.48</v>
      </c>
      <c r="E52" s="118">
        <v>-32050.36</v>
      </c>
      <c r="F52" s="118">
        <v>-27607.71</v>
      </c>
      <c r="G52" s="127">
        <v>-15476.44</v>
      </c>
      <c r="H52" s="102">
        <f t="shared" si="0"/>
        <v>-104288.98999999999</v>
      </c>
      <c r="K52" s="112" t="s">
        <v>263</v>
      </c>
      <c r="L52" s="111" t="s">
        <v>886</v>
      </c>
      <c r="M52" s="117">
        <v>0</v>
      </c>
      <c r="N52" s="117">
        <v>-33391.620000000003</v>
      </c>
      <c r="O52" s="117">
        <v>-29154.48</v>
      </c>
      <c r="P52" s="117">
        <v>-32050.36</v>
      </c>
      <c r="Q52" s="117">
        <v>-27607.71</v>
      </c>
      <c r="R52" s="117"/>
      <c r="S52" s="117">
        <f t="shared" si="4"/>
        <v>-122204.17000000001</v>
      </c>
      <c r="T52" s="117">
        <v>-158380.66000000006</v>
      </c>
      <c r="U52" s="115">
        <f t="shared" si="5"/>
        <v>36176.490000000049</v>
      </c>
      <c r="Y52" s="115">
        <f t="shared" si="6"/>
        <v>0</v>
      </c>
      <c r="Z52" s="117">
        <v>-36176.490000000078</v>
      </c>
      <c r="AA52" s="115">
        <f t="shared" si="7"/>
        <v>0</v>
      </c>
      <c r="AH52" s="79"/>
      <c r="AI52" s="79"/>
      <c r="AJ52" s="79">
        <v>-36871.57</v>
      </c>
      <c r="AK52" s="79">
        <v>-36176.490000000078</v>
      </c>
      <c r="AL52" s="79">
        <f t="shared" si="1"/>
        <v>-36176.490000000078</v>
      </c>
      <c r="AN52" s="79">
        <v>-36871.57</v>
      </c>
      <c r="AO52" s="79">
        <v>-36176.490000000078</v>
      </c>
      <c r="AP52" s="79">
        <v>-33391.620000000003</v>
      </c>
      <c r="AQ52" s="79">
        <v>-29154.48</v>
      </c>
      <c r="AR52" s="79">
        <v>-32050.36</v>
      </c>
      <c r="AS52" s="79">
        <f t="shared" si="2"/>
        <v>-167644.52000000008</v>
      </c>
      <c r="BB52" s="103" t="s">
        <v>263</v>
      </c>
      <c r="BC52" s="101" t="s">
        <v>886</v>
      </c>
      <c r="BD52" s="117">
        <v>-33391.620000000003</v>
      </c>
      <c r="BE52" s="117">
        <v>-29154.48</v>
      </c>
      <c r="BF52" s="117">
        <v>-32050.36</v>
      </c>
      <c r="BG52" s="117">
        <v>-27607.71</v>
      </c>
      <c r="BH52" s="129">
        <v>-15476.44</v>
      </c>
      <c r="BI52" s="128">
        <f t="shared" si="3"/>
        <v>-137680.61000000002</v>
      </c>
      <c r="BM52" s="103" t="s">
        <v>263</v>
      </c>
      <c r="BN52" s="101" t="s">
        <v>886</v>
      </c>
      <c r="BO52" s="117">
        <v>0</v>
      </c>
      <c r="BP52" s="117">
        <v>-29154.48</v>
      </c>
      <c r="BQ52" s="117">
        <v>-32050.36</v>
      </c>
      <c r="BR52" s="117">
        <v>-27607.71</v>
      </c>
      <c r="BS52" s="129">
        <v>-15476.44</v>
      </c>
      <c r="BT52" s="129"/>
      <c r="BU52" s="128">
        <f t="shared" si="8"/>
        <v>-104288.98999999999</v>
      </c>
      <c r="BW52" s="115">
        <f t="shared" si="9"/>
        <v>-33391.620000000024</v>
      </c>
      <c r="BX52" s="117">
        <v>-33391.620000000003</v>
      </c>
      <c r="BY52" s="117"/>
    </row>
    <row r="53" spans="2:83">
      <c r="B53" s="103" t="s">
        <v>265</v>
      </c>
      <c r="C53" s="101" t="s">
        <v>887</v>
      </c>
      <c r="D53" s="118">
        <v>-105789.27</v>
      </c>
      <c r="E53" s="118">
        <v>-106080.17</v>
      </c>
      <c r="F53" s="118">
        <v>-83931.13</v>
      </c>
      <c r="G53" s="127">
        <v>-91746.34</v>
      </c>
      <c r="H53" s="102">
        <f t="shared" si="0"/>
        <v>-387546.91000000003</v>
      </c>
      <c r="K53" s="112" t="s">
        <v>265</v>
      </c>
      <c r="L53" s="111" t="s">
        <v>887</v>
      </c>
      <c r="M53" s="117">
        <v>0</v>
      </c>
      <c r="N53" s="117">
        <v>-80018.84</v>
      </c>
      <c r="O53" s="117">
        <v>-105789.27</v>
      </c>
      <c r="P53" s="117">
        <v>-106080.17</v>
      </c>
      <c r="Q53" s="117">
        <v>-83931.13</v>
      </c>
      <c r="R53" s="117"/>
      <c r="S53" s="117">
        <f t="shared" si="4"/>
        <v>-375819.41</v>
      </c>
      <c r="T53" s="117">
        <v>-447499.58999999991</v>
      </c>
      <c r="U53" s="115">
        <f t="shared" si="5"/>
        <v>71680.179999999935</v>
      </c>
      <c r="Y53" s="115">
        <f t="shared" si="6"/>
        <v>0</v>
      </c>
      <c r="Z53" s="117">
        <v>-71680.179999999935</v>
      </c>
      <c r="AA53" s="115">
        <f t="shared" si="7"/>
        <v>0</v>
      </c>
      <c r="AH53" s="79"/>
      <c r="AI53" s="79"/>
      <c r="AJ53" s="79">
        <v>-50830.3</v>
      </c>
      <c r="AK53" s="79">
        <v>-71680.179999999935</v>
      </c>
      <c r="AL53" s="79">
        <f t="shared" si="1"/>
        <v>-71680.179999999935</v>
      </c>
      <c r="AN53" s="79">
        <v>-50830.3</v>
      </c>
      <c r="AO53" s="79">
        <v>-71680.179999999935</v>
      </c>
      <c r="AP53" s="79">
        <v>-80018.84</v>
      </c>
      <c r="AQ53" s="79">
        <v>-105789.27</v>
      </c>
      <c r="AR53" s="79">
        <v>-106080.17</v>
      </c>
      <c r="AS53" s="79">
        <f t="shared" si="2"/>
        <v>-414398.75999999995</v>
      </c>
      <c r="BB53" s="103" t="s">
        <v>265</v>
      </c>
      <c r="BC53" s="101" t="s">
        <v>887</v>
      </c>
      <c r="BD53" s="117">
        <v>-80018.84</v>
      </c>
      <c r="BE53" s="117">
        <v>-105789.27</v>
      </c>
      <c r="BF53" s="117">
        <v>-106080.17</v>
      </c>
      <c r="BG53" s="117">
        <v>-83931.13</v>
      </c>
      <c r="BH53" s="129">
        <v>-91746.34</v>
      </c>
      <c r="BI53" s="128">
        <f t="shared" si="3"/>
        <v>-467565.75</v>
      </c>
      <c r="BM53" s="103" t="s">
        <v>265</v>
      </c>
      <c r="BN53" s="101" t="s">
        <v>887</v>
      </c>
      <c r="BO53" s="117">
        <v>0</v>
      </c>
      <c r="BP53" s="117">
        <v>-105789.27</v>
      </c>
      <c r="BQ53" s="117">
        <v>-106080.17</v>
      </c>
      <c r="BR53" s="117">
        <v>-83931.13</v>
      </c>
      <c r="BS53" s="129">
        <v>-91746.34</v>
      </c>
      <c r="BT53" s="129"/>
      <c r="BU53" s="128">
        <f t="shared" si="8"/>
        <v>-387546.91000000003</v>
      </c>
      <c r="BW53" s="115">
        <f t="shared" si="9"/>
        <v>-80018.839999999967</v>
      </c>
      <c r="BX53" s="117">
        <v>-80018.84</v>
      </c>
      <c r="BY53" s="117"/>
    </row>
    <row r="54" spans="2:83">
      <c r="B54" s="103" t="s">
        <v>267</v>
      </c>
      <c r="C54" s="101" t="s">
        <v>888</v>
      </c>
      <c r="D54" s="118">
        <v>-37495.69</v>
      </c>
      <c r="E54" s="118">
        <v>-48138.69</v>
      </c>
      <c r="F54" s="118">
        <v>-66612.45</v>
      </c>
      <c r="G54" s="127">
        <v>-29129.64</v>
      </c>
      <c r="H54" s="102">
        <f t="shared" si="0"/>
        <v>-181376.47000000003</v>
      </c>
      <c r="K54" s="112" t="s">
        <v>267</v>
      </c>
      <c r="L54" s="111" t="s">
        <v>888</v>
      </c>
      <c r="M54" s="117">
        <v>0</v>
      </c>
      <c r="N54" s="117">
        <v>-28980.19</v>
      </c>
      <c r="O54" s="117">
        <v>-37495.69</v>
      </c>
      <c r="P54" s="117">
        <v>-48138.69</v>
      </c>
      <c r="Q54" s="117">
        <v>-66612.45</v>
      </c>
      <c r="R54" s="117"/>
      <c r="S54" s="117">
        <f t="shared" si="4"/>
        <v>-181227.02000000002</v>
      </c>
      <c r="T54" s="117">
        <v>-202332.70999999979</v>
      </c>
      <c r="U54" s="115">
        <f t="shared" si="5"/>
        <v>21105.689999999769</v>
      </c>
      <c r="Y54" s="115">
        <f t="shared" si="6"/>
        <v>-2.9103830456733704E-11</v>
      </c>
      <c r="Z54" s="117">
        <v>-21105.689999999799</v>
      </c>
      <c r="AA54" s="115">
        <f t="shared" si="7"/>
        <v>-2.9103830456733704E-11</v>
      </c>
      <c r="AH54" s="79"/>
      <c r="AI54" s="79"/>
      <c r="AJ54" s="79">
        <v>-26130.77</v>
      </c>
      <c r="AK54" s="79">
        <v>-21105.689999999799</v>
      </c>
      <c r="AL54" s="79">
        <f t="shared" si="1"/>
        <v>-21105.689999999799</v>
      </c>
      <c r="AN54" s="79">
        <v>-26130.77</v>
      </c>
      <c r="AO54" s="79">
        <v>-21105.689999999799</v>
      </c>
      <c r="AP54" s="79">
        <v>-28980.19</v>
      </c>
      <c r="AQ54" s="79">
        <v>-37495.69</v>
      </c>
      <c r="AR54" s="79">
        <v>-48138.69</v>
      </c>
      <c r="AS54" s="79">
        <f t="shared" si="2"/>
        <v>-161851.0299999998</v>
      </c>
      <c r="BB54" s="103" t="s">
        <v>267</v>
      </c>
      <c r="BC54" s="101" t="s">
        <v>888</v>
      </c>
      <c r="BD54" s="117">
        <v>-28980.19</v>
      </c>
      <c r="BE54" s="117">
        <v>-37495.69</v>
      </c>
      <c r="BF54" s="117">
        <v>-48138.69</v>
      </c>
      <c r="BG54" s="117">
        <v>-66612.45</v>
      </c>
      <c r="BH54" s="129">
        <v>-29129.64</v>
      </c>
      <c r="BI54" s="128">
        <f t="shared" si="3"/>
        <v>-210356.66000000003</v>
      </c>
      <c r="BM54" s="103" t="s">
        <v>267</v>
      </c>
      <c r="BN54" s="101" t="s">
        <v>888</v>
      </c>
      <c r="BO54" s="117">
        <v>0</v>
      </c>
      <c r="BP54" s="117">
        <v>-37495.69</v>
      </c>
      <c r="BQ54" s="117">
        <v>-48138.69</v>
      </c>
      <c r="BR54" s="117">
        <v>-66612.45</v>
      </c>
      <c r="BS54" s="129">
        <v>-29129.64</v>
      </c>
      <c r="BT54" s="129"/>
      <c r="BU54" s="128">
        <f t="shared" si="8"/>
        <v>-181376.47000000003</v>
      </c>
      <c r="BW54" s="115">
        <f t="shared" si="9"/>
        <v>-28980.190000000002</v>
      </c>
      <c r="BX54" s="117">
        <v>-28980.19</v>
      </c>
      <c r="BY54" s="117"/>
    </row>
    <row r="55" spans="2:83">
      <c r="B55" s="103" t="s">
        <v>269</v>
      </c>
      <c r="C55" s="101" t="s">
        <v>889</v>
      </c>
      <c r="D55" s="118">
        <v>640938.17000000004</v>
      </c>
      <c r="E55" s="118">
        <v>222802.28</v>
      </c>
      <c r="F55" s="118">
        <v>-218987.11</v>
      </c>
      <c r="G55" s="127">
        <v>-770341.21</v>
      </c>
      <c r="H55" s="102">
        <f t="shared" si="0"/>
        <v>-125587.86999999988</v>
      </c>
      <c r="K55" s="112" t="s">
        <v>269</v>
      </c>
      <c r="L55" s="111" t="s">
        <v>889</v>
      </c>
      <c r="M55" s="117">
        <v>0</v>
      </c>
      <c r="N55" s="117">
        <v>220206.48</v>
      </c>
      <c r="O55" s="117">
        <v>420731.69</v>
      </c>
      <c r="P55" s="117">
        <v>222802.28</v>
      </c>
      <c r="Q55" s="117">
        <v>-218987.11</v>
      </c>
      <c r="R55" s="117"/>
      <c r="S55" s="117">
        <f t="shared" si="4"/>
        <v>644753.34000000008</v>
      </c>
      <c r="T55" s="117">
        <v>644753.34000000008</v>
      </c>
      <c r="U55" s="115">
        <f t="shared" si="5"/>
        <v>0</v>
      </c>
      <c r="W55" s="115">
        <f t="shared" ref="W55:W56" si="10">+N55+M55</f>
        <v>220206.48</v>
      </c>
      <c r="Y55" s="115">
        <f t="shared" si="6"/>
        <v>715861.04</v>
      </c>
      <c r="Z55" s="117">
        <v>715861.04</v>
      </c>
      <c r="AA55" s="115">
        <f t="shared" si="7"/>
        <v>715861.04</v>
      </c>
      <c r="AH55" s="79"/>
      <c r="AI55" s="79"/>
      <c r="AJ55" s="79">
        <v>503335.92</v>
      </c>
      <c r="AK55" s="79">
        <v>212525.12000000477</v>
      </c>
      <c r="AL55" s="79">
        <f t="shared" si="1"/>
        <v>715861.04000000469</v>
      </c>
      <c r="AN55" s="79">
        <v>503335.92</v>
      </c>
      <c r="AO55" s="79">
        <v>212525.12000000477</v>
      </c>
      <c r="AP55" s="79">
        <v>-495654.56</v>
      </c>
      <c r="AQ55" s="79">
        <v>420731.69</v>
      </c>
      <c r="AR55" s="79">
        <v>222802.28</v>
      </c>
      <c r="AS55" s="79">
        <f t="shared" si="2"/>
        <v>863740.45000000473</v>
      </c>
      <c r="BB55" s="103" t="s">
        <v>269</v>
      </c>
      <c r="BC55" s="101" t="s">
        <v>889</v>
      </c>
      <c r="BD55" s="117">
        <v>220206.48</v>
      </c>
      <c r="BE55" s="117">
        <v>420731.69</v>
      </c>
      <c r="BF55" s="117">
        <v>222802.28</v>
      </c>
      <c r="BG55" s="117">
        <v>-218987.11</v>
      </c>
      <c r="BH55" s="129">
        <v>-770341.21</v>
      </c>
      <c r="BI55" s="128">
        <f t="shared" si="3"/>
        <v>-125587.86999999988</v>
      </c>
      <c r="BM55" s="103" t="s">
        <v>269</v>
      </c>
      <c r="BN55" s="101" t="s">
        <v>889</v>
      </c>
      <c r="BO55" s="117">
        <v>0</v>
      </c>
      <c r="BP55" s="131">
        <v>640938.17000000004</v>
      </c>
      <c r="BQ55" s="117">
        <v>222802.28</v>
      </c>
      <c r="BR55" s="117">
        <v>-218987.11</v>
      </c>
      <c r="BS55" s="129">
        <v>-770341.21</v>
      </c>
      <c r="BT55" s="129"/>
      <c r="BU55" s="128">
        <f t="shared" si="8"/>
        <v>-125587.86999999988</v>
      </c>
      <c r="BW55" s="130">
        <f t="shared" si="9"/>
        <v>0</v>
      </c>
      <c r="BX55" s="131">
        <v>220206.48</v>
      </c>
      <c r="BY55" s="131">
        <v>420731.69</v>
      </c>
      <c r="CC55" s="130">
        <f>+BO55+BP55</f>
        <v>640938.17000000004</v>
      </c>
      <c r="CD55" s="130">
        <f>+BX55+BY55</f>
        <v>640938.17000000004</v>
      </c>
      <c r="CE55" s="130">
        <f t="shared" ref="CE55:CE56" si="11">+CC55-CD55</f>
        <v>0</v>
      </c>
    </row>
    <row r="56" spans="2:83">
      <c r="B56" s="103" t="s">
        <v>271</v>
      </c>
      <c r="C56" s="101" t="s">
        <v>890</v>
      </c>
      <c r="D56" s="118">
        <v>150011.41</v>
      </c>
      <c r="E56" s="118">
        <v>-34881.14</v>
      </c>
      <c r="F56" s="118">
        <v>-56233.49</v>
      </c>
      <c r="G56" s="127">
        <v>-32757.53</v>
      </c>
      <c r="H56" s="102">
        <f t="shared" si="0"/>
        <v>26139.250000000007</v>
      </c>
      <c r="K56" s="112" t="s">
        <v>271</v>
      </c>
      <c r="L56" s="111" t="s">
        <v>890</v>
      </c>
      <c r="M56" s="117">
        <v>0</v>
      </c>
      <c r="N56" s="117">
        <v>133836.94</v>
      </c>
      <c r="O56" s="117">
        <v>16174.47</v>
      </c>
      <c r="P56" s="117">
        <v>-34881.14</v>
      </c>
      <c r="Q56" s="117">
        <v>-56233.49</v>
      </c>
      <c r="R56" s="117"/>
      <c r="S56" s="117">
        <f t="shared" si="4"/>
        <v>58896.780000000006</v>
      </c>
      <c r="T56" s="117">
        <v>58896.780000000006</v>
      </c>
      <c r="U56" s="115">
        <f t="shared" si="5"/>
        <v>0</v>
      </c>
      <c r="W56" s="115">
        <f t="shared" si="10"/>
        <v>133836.94</v>
      </c>
      <c r="Y56" s="115">
        <f t="shared" si="6"/>
        <v>125700.16</v>
      </c>
      <c r="Z56" s="117">
        <v>125700.16</v>
      </c>
      <c r="AA56" s="115">
        <f t="shared" si="7"/>
        <v>125700.16</v>
      </c>
      <c r="AH56" s="79"/>
      <c r="AI56" s="79"/>
      <c r="AJ56" s="79">
        <v>69586.59</v>
      </c>
      <c r="AK56" s="79">
        <v>56113.570000000182</v>
      </c>
      <c r="AL56" s="79">
        <f t="shared" si="1"/>
        <v>125700.16000000018</v>
      </c>
      <c r="AN56" s="79">
        <v>69586.59</v>
      </c>
      <c r="AO56" s="79">
        <v>56113.570000000182</v>
      </c>
      <c r="AP56" s="79">
        <v>8136.78</v>
      </c>
      <c r="AQ56" s="79">
        <v>16174.47</v>
      </c>
      <c r="AR56" s="79">
        <v>-34881.14</v>
      </c>
      <c r="AS56" s="79">
        <f t="shared" si="2"/>
        <v>115130.27000000018</v>
      </c>
      <c r="BB56" s="103" t="s">
        <v>271</v>
      </c>
      <c r="BC56" s="101" t="s">
        <v>890</v>
      </c>
      <c r="BD56" s="117">
        <v>133836.94</v>
      </c>
      <c r="BE56" s="117">
        <v>16174.47</v>
      </c>
      <c r="BF56" s="117">
        <v>-34881.14</v>
      </c>
      <c r="BG56" s="117">
        <v>-56233.49</v>
      </c>
      <c r="BH56" s="129">
        <v>-32757.53</v>
      </c>
      <c r="BI56" s="128">
        <f t="shared" si="3"/>
        <v>26139.250000000007</v>
      </c>
      <c r="BM56" s="103" t="s">
        <v>271</v>
      </c>
      <c r="BN56" s="101" t="s">
        <v>890</v>
      </c>
      <c r="BO56" s="117">
        <v>0</v>
      </c>
      <c r="BP56" s="131">
        <v>150011.41</v>
      </c>
      <c r="BQ56" s="117">
        <v>-34881.14</v>
      </c>
      <c r="BR56" s="117">
        <v>-56233.49</v>
      </c>
      <c r="BS56" s="129">
        <v>-32757.53</v>
      </c>
      <c r="BT56" s="129"/>
      <c r="BU56" s="128">
        <f t="shared" si="8"/>
        <v>26139.250000000007</v>
      </c>
      <c r="BW56" s="130">
        <f t="shared" si="9"/>
        <v>0</v>
      </c>
      <c r="BX56" s="131">
        <v>133836.94</v>
      </c>
      <c r="BY56" s="131">
        <v>16174.47</v>
      </c>
      <c r="CC56" s="130">
        <f>+BO56+BP56</f>
        <v>150011.41</v>
      </c>
      <c r="CD56" s="130">
        <f>+BX56+BY56</f>
        <v>150011.41</v>
      </c>
      <c r="CE56" s="130">
        <f t="shared" si="11"/>
        <v>0</v>
      </c>
    </row>
    <row r="57" spans="2:83">
      <c r="B57" s="103" t="s">
        <v>275</v>
      </c>
      <c r="C57" s="101" t="s">
        <v>891</v>
      </c>
      <c r="D57" s="118">
        <v>-48711.9</v>
      </c>
      <c r="E57" s="118">
        <v>-52364.74</v>
      </c>
      <c r="F57" s="118">
        <v>-43727.24</v>
      </c>
      <c r="G57" s="127">
        <v>-54864.09</v>
      </c>
      <c r="H57" s="102">
        <f t="shared" si="0"/>
        <v>-199667.97</v>
      </c>
      <c r="K57" s="112" t="s">
        <v>275</v>
      </c>
      <c r="L57" s="111" t="s">
        <v>891</v>
      </c>
      <c r="M57" s="117">
        <v>0</v>
      </c>
      <c r="N57" s="117">
        <v>-43059.27</v>
      </c>
      <c r="O57" s="117">
        <v>-48711.9</v>
      </c>
      <c r="P57" s="117">
        <v>-52364.74</v>
      </c>
      <c r="Q57" s="117">
        <v>-43727.24</v>
      </c>
      <c r="R57" s="117"/>
      <c r="S57" s="117">
        <f t="shared" si="4"/>
        <v>-187863.15</v>
      </c>
      <c r="T57" s="117">
        <v>-231561.53999999986</v>
      </c>
      <c r="U57" s="115">
        <f t="shared" si="5"/>
        <v>43698.389999999868</v>
      </c>
      <c r="Y57" s="115">
        <f t="shared" si="6"/>
        <v>0</v>
      </c>
      <c r="Z57" s="117">
        <v>-43698.389999999898</v>
      </c>
      <c r="AA57" s="115">
        <f t="shared" si="7"/>
        <v>0</v>
      </c>
      <c r="AH57" s="79"/>
      <c r="AI57" s="79"/>
      <c r="AJ57" s="79">
        <v>-41744.71</v>
      </c>
      <c r="AK57" s="79">
        <v>-43698.389999999898</v>
      </c>
      <c r="AL57" s="79">
        <f t="shared" si="1"/>
        <v>-43698.389999999898</v>
      </c>
      <c r="AN57" s="79">
        <v>-41744.71</v>
      </c>
      <c r="AO57" s="79">
        <v>-43698.389999999898</v>
      </c>
      <c r="AP57" s="79">
        <v>-43059.27</v>
      </c>
      <c r="AQ57" s="79">
        <v>-48711.9</v>
      </c>
      <c r="AR57" s="79">
        <v>-52364.74</v>
      </c>
      <c r="AS57" s="79">
        <f t="shared" si="2"/>
        <v>-229579.00999999986</v>
      </c>
      <c r="BB57" s="103" t="s">
        <v>275</v>
      </c>
      <c r="BC57" s="101" t="s">
        <v>891</v>
      </c>
      <c r="BD57" s="117">
        <v>-43059.27</v>
      </c>
      <c r="BE57" s="117">
        <v>-48711.9</v>
      </c>
      <c r="BF57" s="117">
        <v>-52364.74</v>
      </c>
      <c r="BG57" s="117">
        <v>-43727.24</v>
      </c>
      <c r="BH57" s="129">
        <v>-54864.09</v>
      </c>
      <c r="BI57" s="128">
        <f t="shared" si="3"/>
        <v>-242727.24</v>
      </c>
      <c r="BM57" s="103" t="s">
        <v>275</v>
      </c>
      <c r="BN57" s="101" t="s">
        <v>891</v>
      </c>
      <c r="BO57" s="117">
        <v>0</v>
      </c>
      <c r="BP57" s="117">
        <v>-48711.9</v>
      </c>
      <c r="BQ57" s="117">
        <v>-52364.74</v>
      </c>
      <c r="BR57" s="117">
        <v>-43727.24</v>
      </c>
      <c r="BS57" s="129">
        <v>-54864.09</v>
      </c>
      <c r="BT57" s="129"/>
      <c r="BU57" s="128">
        <f t="shared" si="8"/>
        <v>-199667.97</v>
      </c>
      <c r="BW57" s="115">
        <f t="shared" si="9"/>
        <v>-43059.26999999999</v>
      </c>
      <c r="BX57" s="117">
        <v>-43059.27</v>
      </c>
      <c r="BY57" s="117"/>
    </row>
    <row r="58" spans="2:83">
      <c r="B58" s="103" t="s">
        <v>277</v>
      </c>
      <c r="C58" s="101" t="s">
        <v>892</v>
      </c>
      <c r="D58" s="118">
        <v>-32890.5</v>
      </c>
      <c r="E58" s="118">
        <v>-44645.82</v>
      </c>
      <c r="F58" s="118">
        <v>-45731.63</v>
      </c>
      <c r="G58" s="127">
        <v>-51746.28</v>
      </c>
      <c r="H58" s="102">
        <f t="shared" si="0"/>
        <v>-175014.23</v>
      </c>
      <c r="K58" s="112" t="s">
        <v>277</v>
      </c>
      <c r="L58" s="111" t="s">
        <v>892</v>
      </c>
      <c r="M58" s="117">
        <v>0</v>
      </c>
      <c r="N58" s="117">
        <v>-81192.73</v>
      </c>
      <c r="O58" s="117">
        <v>-32890.5</v>
      </c>
      <c r="P58" s="117">
        <v>-44645.82</v>
      </c>
      <c r="Q58" s="117">
        <v>-45731.63</v>
      </c>
      <c r="R58" s="117"/>
      <c r="S58" s="117">
        <f t="shared" si="4"/>
        <v>-204460.68</v>
      </c>
      <c r="T58" s="117">
        <v>-233282.0199999999</v>
      </c>
      <c r="U58" s="115">
        <f t="shared" si="5"/>
        <v>28821.339999999909</v>
      </c>
      <c r="Y58" s="115">
        <f t="shared" si="6"/>
        <v>0</v>
      </c>
      <c r="Z58" s="117">
        <v>-28821.339999999909</v>
      </c>
      <c r="AA58" s="115">
        <f t="shared" si="7"/>
        <v>0</v>
      </c>
      <c r="AH58" s="79"/>
      <c r="AI58" s="79"/>
      <c r="AJ58" s="79">
        <v>-20918.25</v>
      </c>
      <c r="AK58" s="79">
        <v>-28821.339999999909</v>
      </c>
      <c r="AL58" s="79">
        <f t="shared" si="1"/>
        <v>-28821.339999999909</v>
      </c>
      <c r="AN58" s="79">
        <v>-20918.25</v>
      </c>
      <c r="AO58" s="79">
        <v>-28821.339999999909</v>
      </c>
      <c r="AP58" s="79">
        <v>-81192.73</v>
      </c>
      <c r="AQ58" s="79">
        <v>-32890.5</v>
      </c>
      <c r="AR58" s="79">
        <v>-44645.82</v>
      </c>
      <c r="AS58" s="79">
        <f t="shared" si="2"/>
        <v>-208468.6399999999</v>
      </c>
      <c r="BB58" s="103" t="s">
        <v>277</v>
      </c>
      <c r="BC58" s="101" t="s">
        <v>892</v>
      </c>
      <c r="BD58" s="117">
        <v>-81192.73</v>
      </c>
      <c r="BE58" s="117">
        <v>-32890.5</v>
      </c>
      <c r="BF58" s="117">
        <v>-44645.82</v>
      </c>
      <c r="BG58" s="117">
        <v>-45731.63</v>
      </c>
      <c r="BH58" s="129">
        <v>-51746.28</v>
      </c>
      <c r="BI58" s="128">
        <f t="shared" si="3"/>
        <v>-256206.96</v>
      </c>
      <c r="BM58" s="103" t="s">
        <v>277</v>
      </c>
      <c r="BN58" s="101" t="s">
        <v>892</v>
      </c>
      <c r="BO58" s="117">
        <v>0</v>
      </c>
      <c r="BP58" s="117">
        <v>-32890.5</v>
      </c>
      <c r="BQ58" s="117">
        <v>-44645.82</v>
      </c>
      <c r="BR58" s="117">
        <v>-45731.63</v>
      </c>
      <c r="BS58" s="129">
        <v>-51746.28</v>
      </c>
      <c r="BT58" s="129"/>
      <c r="BU58" s="128">
        <f t="shared" si="8"/>
        <v>-175014.23</v>
      </c>
      <c r="BW58" s="115">
        <f t="shared" si="9"/>
        <v>-81192.729999999981</v>
      </c>
      <c r="BX58" s="117">
        <v>-81192.73</v>
      </c>
      <c r="BY58" s="117"/>
    </row>
    <row r="59" spans="2:83">
      <c r="B59" s="103" t="s">
        <v>279</v>
      </c>
      <c r="C59" s="101" t="s">
        <v>893</v>
      </c>
      <c r="D59" s="118">
        <v>84949.94</v>
      </c>
      <c r="E59" s="118">
        <v>52719.48</v>
      </c>
      <c r="F59" s="118">
        <v>30465.26</v>
      </c>
      <c r="G59" s="127">
        <v>51245.79</v>
      </c>
      <c r="H59" s="102">
        <f t="shared" si="0"/>
        <v>219380.47000000003</v>
      </c>
      <c r="K59" s="112" t="s">
        <v>279</v>
      </c>
      <c r="L59" s="111" t="s">
        <v>893</v>
      </c>
      <c r="M59" s="117">
        <v>0</v>
      </c>
      <c r="N59" s="117">
        <v>44073.05</v>
      </c>
      <c r="O59" s="117">
        <v>40876.89</v>
      </c>
      <c r="P59" s="117">
        <v>52719.48</v>
      </c>
      <c r="Q59" s="117">
        <v>30465.26</v>
      </c>
      <c r="R59" s="117"/>
      <c r="S59" s="117">
        <f t="shared" si="4"/>
        <v>168134.68000000002</v>
      </c>
      <c r="T59" s="117">
        <v>168134.68000000002</v>
      </c>
      <c r="U59" s="115">
        <f t="shared" si="5"/>
        <v>0</v>
      </c>
      <c r="W59" s="115">
        <f t="shared" ref="W59" si="12">+N59+M59</f>
        <v>44073.05</v>
      </c>
      <c r="Y59" s="115">
        <f t="shared" si="6"/>
        <v>116975.49</v>
      </c>
      <c r="Z59" s="117">
        <v>116975.49</v>
      </c>
      <c r="AA59" s="115">
        <f t="shared" si="7"/>
        <v>116975.49</v>
      </c>
      <c r="AH59" s="79"/>
      <c r="AI59" s="79"/>
      <c r="AJ59" s="79">
        <v>104517.2</v>
      </c>
      <c r="AK59" s="79">
        <v>12458.289999999572</v>
      </c>
      <c r="AL59" s="79">
        <f t="shared" si="1"/>
        <v>116975.48999999957</v>
      </c>
      <c r="AN59" s="79">
        <v>104517.2</v>
      </c>
      <c r="AO59" s="79">
        <v>12458.289999999572</v>
      </c>
      <c r="AP59" s="79">
        <v>-72902.44</v>
      </c>
      <c r="AQ59" s="79">
        <v>40876.89</v>
      </c>
      <c r="AR59" s="79">
        <v>52719.48</v>
      </c>
      <c r="AS59" s="79">
        <f t="shared" si="2"/>
        <v>137669.41999999958</v>
      </c>
      <c r="BB59" s="103" t="s">
        <v>279</v>
      </c>
      <c r="BC59" s="101" t="s">
        <v>893</v>
      </c>
      <c r="BD59" s="117">
        <v>44073.05</v>
      </c>
      <c r="BE59" s="117">
        <v>40876.89</v>
      </c>
      <c r="BF59" s="117">
        <v>52719.48</v>
      </c>
      <c r="BG59" s="117">
        <v>30465.26</v>
      </c>
      <c r="BH59" s="129">
        <v>51245.79</v>
      </c>
      <c r="BI59" s="128">
        <f t="shared" si="3"/>
        <v>219380.47000000003</v>
      </c>
      <c r="BM59" s="103" t="s">
        <v>279</v>
      </c>
      <c r="BN59" s="101" t="s">
        <v>893</v>
      </c>
      <c r="BO59" s="117">
        <v>0</v>
      </c>
      <c r="BP59" s="131">
        <v>84949.94</v>
      </c>
      <c r="BQ59" s="117">
        <v>52719.48</v>
      </c>
      <c r="BR59" s="117">
        <v>30465.26</v>
      </c>
      <c r="BS59" s="129">
        <v>51245.79</v>
      </c>
      <c r="BT59" s="129"/>
      <c r="BU59" s="128">
        <f t="shared" si="8"/>
        <v>219380.47000000003</v>
      </c>
      <c r="BW59" s="130">
        <f t="shared" si="9"/>
        <v>0</v>
      </c>
      <c r="BX59" s="131">
        <v>44073.05</v>
      </c>
      <c r="BY59" s="131">
        <v>40876.89</v>
      </c>
      <c r="CC59" s="130">
        <f>+BO59+BP59</f>
        <v>84949.94</v>
      </c>
      <c r="CD59" s="130">
        <f>+BX59+BY59</f>
        <v>84949.94</v>
      </c>
      <c r="CE59" s="130">
        <f>+CC59-CD59</f>
        <v>0</v>
      </c>
    </row>
    <row r="60" spans="2:83">
      <c r="B60" s="103" t="s">
        <v>281</v>
      </c>
      <c r="C60" s="101" t="s">
        <v>894</v>
      </c>
      <c r="D60" s="118">
        <v>-146124.98000000001</v>
      </c>
      <c r="E60" s="118">
        <v>-120585.68</v>
      </c>
      <c r="F60" s="118">
        <v>-223306.19</v>
      </c>
      <c r="G60" s="127">
        <v>-180958.89</v>
      </c>
      <c r="H60" s="102">
        <f t="shared" si="0"/>
        <v>-670975.74</v>
      </c>
      <c r="K60" s="112" t="s">
        <v>281</v>
      </c>
      <c r="L60" s="111" t="s">
        <v>894</v>
      </c>
      <c r="M60" s="117">
        <v>0</v>
      </c>
      <c r="N60" s="117">
        <v>-61440.05</v>
      </c>
      <c r="O60" s="117">
        <v>-146124.98000000001</v>
      </c>
      <c r="P60" s="117">
        <v>-120585.68</v>
      </c>
      <c r="Q60" s="117">
        <v>-223306.19</v>
      </c>
      <c r="R60" s="117"/>
      <c r="S60" s="117">
        <f t="shared" si="4"/>
        <v>-551456.9</v>
      </c>
      <c r="T60" s="117">
        <v>-578801.85000000009</v>
      </c>
      <c r="U60" s="115">
        <f t="shared" si="5"/>
        <v>27344.95000000007</v>
      </c>
      <c r="Y60" s="115">
        <f t="shared" si="6"/>
        <v>6.9121597334742546E-11</v>
      </c>
      <c r="Z60" s="117">
        <v>-27344.95</v>
      </c>
      <c r="AA60" s="115">
        <f t="shared" si="7"/>
        <v>6.9121597334742546E-11</v>
      </c>
      <c r="AH60" s="79"/>
      <c r="AI60" s="79"/>
      <c r="AJ60" s="79">
        <v>14465.77</v>
      </c>
      <c r="AK60" s="79">
        <v>-41810.720000000205</v>
      </c>
      <c r="AL60" s="79">
        <f t="shared" si="1"/>
        <v>-27344.950000000204</v>
      </c>
      <c r="AN60" s="79">
        <v>14465.77</v>
      </c>
      <c r="AO60" s="79">
        <v>-41810.720000000205</v>
      </c>
      <c r="AP60" s="79">
        <v>-61440.05</v>
      </c>
      <c r="AQ60" s="79">
        <v>-146124.98000000001</v>
      </c>
      <c r="AR60" s="79">
        <v>-120585.68</v>
      </c>
      <c r="AS60" s="79">
        <f t="shared" si="2"/>
        <v>-355495.66000000021</v>
      </c>
      <c r="BB60" s="103" t="s">
        <v>281</v>
      </c>
      <c r="BC60" s="101" t="s">
        <v>894</v>
      </c>
      <c r="BD60" s="117">
        <v>-61440.05</v>
      </c>
      <c r="BE60" s="117">
        <v>-146124.98000000001</v>
      </c>
      <c r="BF60" s="117">
        <v>-120585.68</v>
      </c>
      <c r="BG60" s="117">
        <v>-223306.19</v>
      </c>
      <c r="BH60" s="129">
        <v>-180958.89</v>
      </c>
      <c r="BI60" s="128">
        <f t="shared" si="3"/>
        <v>-732415.79</v>
      </c>
      <c r="BM60" s="103" t="s">
        <v>281</v>
      </c>
      <c r="BN60" s="101" t="s">
        <v>894</v>
      </c>
      <c r="BO60" s="117">
        <v>0</v>
      </c>
      <c r="BP60" s="117">
        <v>-146124.98000000001</v>
      </c>
      <c r="BQ60" s="117">
        <v>-120585.68</v>
      </c>
      <c r="BR60" s="117">
        <v>-223306.19</v>
      </c>
      <c r="BS60" s="129">
        <v>-180958.89</v>
      </c>
      <c r="BT60" s="129"/>
      <c r="BU60" s="128">
        <f t="shared" si="8"/>
        <v>-670975.74</v>
      </c>
      <c r="BW60" s="115">
        <f t="shared" si="9"/>
        <v>-61440.050000000047</v>
      </c>
      <c r="BX60" s="117">
        <v>-61440.05</v>
      </c>
      <c r="BY60" s="117"/>
    </row>
    <row r="61" spans="2:83">
      <c r="B61" s="103" t="s">
        <v>283</v>
      </c>
      <c r="C61" s="101" t="s">
        <v>895</v>
      </c>
      <c r="D61" s="118">
        <v>-2369.65</v>
      </c>
      <c r="E61" s="118">
        <v>-45892.02</v>
      </c>
      <c r="F61" s="118">
        <v>24175.35</v>
      </c>
      <c r="G61" s="127">
        <v>74974.009999999995</v>
      </c>
      <c r="H61" s="102">
        <f t="shared" si="0"/>
        <v>50887.689999999995</v>
      </c>
      <c r="K61" s="112" t="s">
        <v>283</v>
      </c>
      <c r="L61" s="111" t="s">
        <v>895</v>
      </c>
      <c r="M61" s="117">
        <v>0</v>
      </c>
      <c r="N61" s="117">
        <v>-8901.3700000000008</v>
      </c>
      <c r="O61" s="117">
        <v>-2369.65</v>
      </c>
      <c r="P61" s="117">
        <v>-45892.02</v>
      </c>
      <c r="Q61" s="117">
        <v>33076.720000000001</v>
      </c>
      <c r="R61" s="117"/>
      <c r="S61" s="117">
        <f t="shared" si="4"/>
        <v>-24086.319999999992</v>
      </c>
      <c r="T61" s="117">
        <v>-24086.319999999992</v>
      </c>
      <c r="U61" s="115">
        <f t="shared" si="5"/>
        <v>0</v>
      </c>
      <c r="W61" s="115">
        <f t="shared" ref="W61" si="13">+N61+M61</f>
        <v>-8901.3700000000008</v>
      </c>
      <c r="Y61" s="115">
        <f t="shared" si="6"/>
        <v>11437.59</v>
      </c>
      <c r="Z61" s="117">
        <v>11437.59</v>
      </c>
      <c r="AA61" s="115">
        <f t="shared" si="7"/>
        <v>11437.59</v>
      </c>
      <c r="AH61" s="79"/>
      <c r="AI61" s="79"/>
      <c r="AJ61" s="79">
        <v>6850.31</v>
      </c>
      <c r="AK61" s="79">
        <v>4587.2800000000279</v>
      </c>
      <c r="AL61" s="79">
        <f t="shared" si="1"/>
        <v>11437.590000000029</v>
      </c>
      <c r="AN61" s="79">
        <v>6850.31</v>
      </c>
      <c r="AO61" s="79">
        <v>4587.2800000000279</v>
      </c>
      <c r="AP61" s="79">
        <v>-20338.96</v>
      </c>
      <c r="AQ61" s="79">
        <v>-2369.65</v>
      </c>
      <c r="AR61" s="79">
        <v>-45892.02</v>
      </c>
      <c r="AS61" s="79">
        <f t="shared" si="2"/>
        <v>-57163.039999999964</v>
      </c>
      <c r="BB61" s="103" t="s">
        <v>283</v>
      </c>
      <c r="BC61" s="101" t="s">
        <v>895</v>
      </c>
      <c r="BD61" s="117">
        <v>-8901.3700000000008</v>
      </c>
      <c r="BE61" s="117">
        <v>-2369.65</v>
      </c>
      <c r="BF61" s="117">
        <v>-45892.02</v>
      </c>
      <c r="BG61" s="117">
        <v>33076.720000000001</v>
      </c>
      <c r="BH61" s="129">
        <v>74974.009999999995</v>
      </c>
      <c r="BI61" s="128">
        <f t="shared" si="3"/>
        <v>50887.69</v>
      </c>
      <c r="BM61" s="103" t="s">
        <v>283</v>
      </c>
      <c r="BN61" s="101" t="s">
        <v>895</v>
      </c>
      <c r="BO61" s="117">
        <v>0</v>
      </c>
      <c r="BP61" s="117">
        <v>-2369.65</v>
      </c>
      <c r="BQ61" s="117">
        <v>-45892.02</v>
      </c>
      <c r="BR61" s="131">
        <v>24175.35</v>
      </c>
      <c r="BS61" s="129">
        <v>74974.009999999995</v>
      </c>
      <c r="BT61" s="129"/>
      <c r="BU61" s="128">
        <f t="shared" si="8"/>
        <v>50887.689999999995</v>
      </c>
      <c r="BW61" s="115">
        <f t="shared" si="9"/>
        <v>0</v>
      </c>
      <c r="BX61" s="131">
        <v>-8901.3700000000008</v>
      </c>
      <c r="BY61" s="117"/>
      <c r="BZ61" s="117"/>
      <c r="CA61" s="131">
        <v>33076.720000000001</v>
      </c>
      <c r="CB61" s="129"/>
      <c r="CC61" s="130">
        <f>+BO61+BR61</f>
        <v>24175.35</v>
      </c>
      <c r="CD61" s="130">
        <f>+BX61+CA61</f>
        <v>24175.35</v>
      </c>
      <c r="CE61" s="130">
        <f>+CC61-CD61</f>
        <v>0</v>
      </c>
    </row>
    <row r="62" spans="2:83">
      <c r="B62" s="103" t="s">
        <v>285</v>
      </c>
      <c r="C62" s="101" t="s">
        <v>896</v>
      </c>
      <c r="D62" s="118">
        <v>-63033.23</v>
      </c>
      <c r="E62" s="118">
        <v>-49974.12</v>
      </c>
      <c r="F62" s="118">
        <v>-63551.91</v>
      </c>
      <c r="G62" s="127">
        <v>-68980.990000000005</v>
      </c>
      <c r="H62" s="102">
        <f t="shared" si="0"/>
        <v>-245540.25</v>
      </c>
      <c r="K62" s="112" t="s">
        <v>285</v>
      </c>
      <c r="L62" s="111" t="s">
        <v>896</v>
      </c>
      <c r="M62" s="117">
        <v>0</v>
      </c>
      <c r="N62" s="117">
        <v>-53186.02</v>
      </c>
      <c r="O62" s="117">
        <v>-63033.23</v>
      </c>
      <c r="P62" s="117">
        <v>-49974.12</v>
      </c>
      <c r="Q62" s="117">
        <v>-63551.91</v>
      </c>
      <c r="R62" s="117"/>
      <c r="S62" s="117">
        <f t="shared" si="4"/>
        <v>-229745.28</v>
      </c>
      <c r="T62" s="117">
        <v>-284072.33</v>
      </c>
      <c r="U62" s="115">
        <f t="shared" si="5"/>
        <v>54327.050000000017</v>
      </c>
      <c r="Y62" s="115">
        <f t="shared" si="6"/>
        <v>0</v>
      </c>
      <c r="Z62" s="117">
        <v>-54327.050000000017</v>
      </c>
      <c r="AA62" s="115">
        <f t="shared" si="7"/>
        <v>0</v>
      </c>
      <c r="AH62" s="79"/>
      <c r="AI62" s="79"/>
      <c r="AJ62" s="79">
        <v>-58870.400000000001</v>
      </c>
      <c r="AK62" s="79">
        <v>-54327.050000000017</v>
      </c>
      <c r="AL62" s="79">
        <f t="shared" si="1"/>
        <v>-54327.050000000017</v>
      </c>
      <c r="AN62" s="79">
        <v>-58870.400000000001</v>
      </c>
      <c r="AO62" s="79">
        <v>-54327.050000000017</v>
      </c>
      <c r="AP62" s="79">
        <v>-53186.02</v>
      </c>
      <c r="AQ62" s="79">
        <v>-63033.23</v>
      </c>
      <c r="AR62" s="79">
        <v>-49974.12</v>
      </c>
      <c r="AS62" s="79">
        <f t="shared" si="2"/>
        <v>-279390.82</v>
      </c>
      <c r="BB62" s="103" t="s">
        <v>285</v>
      </c>
      <c r="BC62" s="101" t="s">
        <v>896</v>
      </c>
      <c r="BD62" s="117">
        <v>-53186.02</v>
      </c>
      <c r="BE62" s="117">
        <v>-63033.23</v>
      </c>
      <c r="BF62" s="117">
        <v>-49974.12</v>
      </c>
      <c r="BG62" s="117">
        <v>-63551.91</v>
      </c>
      <c r="BH62" s="129">
        <v>-68980.990000000005</v>
      </c>
      <c r="BI62" s="128">
        <f t="shared" si="3"/>
        <v>-298726.27</v>
      </c>
      <c r="BM62" s="103" t="s">
        <v>285</v>
      </c>
      <c r="BN62" s="101" t="s">
        <v>896</v>
      </c>
      <c r="BO62" s="117">
        <v>0</v>
      </c>
      <c r="BP62" s="117">
        <v>-63033.23</v>
      </c>
      <c r="BQ62" s="117">
        <v>-49974.12</v>
      </c>
      <c r="BR62" s="117">
        <v>-63551.91</v>
      </c>
      <c r="BS62" s="129">
        <v>-68980.990000000005</v>
      </c>
      <c r="BT62" s="129"/>
      <c r="BU62" s="128">
        <f t="shared" si="8"/>
        <v>-245540.25</v>
      </c>
      <c r="BW62" s="115">
        <f t="shared" si="9"/>
        <v>-53186.020000000019</v>
      </c>
      <c r="BX62" s="117">
        <v>-53186.02</v>
      </c>
      <c r="BY62" s="117"/>
    </row>
    <row r="63" spans="2:83">
      <c r="B63" s="103" t="s">
        <v>287</v>
      </c>
      <c r="C63" s="101" t="s">
        <v>897</v>
      </c>
      <c r="D63" s="118">
        <v>-109636.45</v>
      </c>
      <c r="E63" s="118">
        <v>-132872.03</v>
      </c>
      <c r="F63" s="118">
        <v>-151785.44</v>
      </c>
      <c r="G63" s="127">
        <v>-117927.15</v>
      </c>
      <c r="H63" s="102">
        <f t="shared" si="0"/>
        <v>-512221.06999999995</v>
      </c>
      <c r="K63" s="112" t="s">
        <v>287</v>
      </c>
      <c r="L63" s="111" t="s">
        <v>897</v>
      </c>
      <c r="M63" s="117">
        <v>0</v>
      </c>
      <c r="N63" s="117">
        <v>-121514.21</v>
      </c>
      <c r="O63" s="117">
        <v>-109636.45</v>
      </c>
      <c r="P63" s="117">
        <v>-132872.03</v>
      </c>
      <c r="Q63" s="117">
        <v>-151785.44</v>
      </c>
      <c r="R63" s="117"/>
      <c r="S63" s="117">
        <f t="shared" si="4"/>
        <v>-515808.13</v>
      </c>
      <c r="T63" s="117">
        <v>-630652.0299999998</v>
      </c>
      <c r="U63" s="115">
        <f t="shared" si="5"/>
        <v>114843.89999999979</v>
      </c>
      <c r="Y63" s="115">
        <f t="shared" si="6"/>
        <v>0</v>
      </c>
      <c r="Z63" s="117">
        <v>-114843.89999999985</v>
      </c>
      <c r="AA63" s="115">
        <f t="shared" si="7"/>
        <v>0</v>
      </c>
      <c r="AH63" s="79"/>
      <c r="AI63" s="79"/>
      <c r="AJ63" s="79">
        <v>-107110.02</v>
      </c>
      <c r="AK63" s="79">
        <v>-114843.89999999985</v>
      </c>
      <c r="AL63" s="79">
        <f t="shared" si="1"/>
        <v>-114843.89999999985</v>
      </c>
      <c r="AN63" s="79">
        <v>-107110.02</v>
      </c>
      <c r="AO63" s="79">
        <v>-114843.89999999985</v>
      </c>
      <c r="AP63" s="79">
        <v>-121514.21</v>
      </c>
      <c r="AQ63" s="79">
        <v>-109636.45</v>
      </c>
      <c r="AR63" s="79">
        <v>-132872.03</v>
      </c>
      <c r="AS63" s="79">
        <f t="shared" si="2"/>
        <v>-585976.60999999987</v>
      </c>
      <c r="BB63" s="103" t="s">
        <v>287</v>
      </c>
      <c r="BC63" s="101" t="s">
        <v>897</v>
      </c>
      <c r="BD63" s="117">
        <v>-121514.21</v>
      </c>
      <c r="BE63" s="117">
        <v>-109636.45</v>
      </c>
      <c r="BF63" s="117">
        <v>-132872.03</v>
      </c>
      <c r="BG63" s="117">
        <v>-151785.44</v>
      </c>
      <c r="BH63" s="129">
        <v>-117927.15</v>
      </c>
      <c r="BI63" s="128">
        <f t="shared" si="3"/>
        <v>-633735.28</v>
      </c>
      <c r="BM63" s="103" t="s">
        <v>287</v>
      </c>
      <c r="BN63" s="101" t="s">
        <v>897</v>
      </c>
      <c r="BO63" s="117">
        <v>0</v>
      </c>
      <c r="BP63" s="117">
        <v>-109636.45</v>
      </c>
      <c r="BQ63" s="117">
        <v>-132872.03</v>
      </c>
      <c r="BR63" s="117">
        <v>-151785.44</v>
      </c>
      <c r="BS63" s="129">
        <v>-117927.15</v>
      </c>
      <c r="BT63" s="129"/>
      <c r="BU63" s="128">
        <f t="shared" si="8"/>
        <v>-512221.06999999995</v>
      </c>
      <c r="BW63" s="115">
        <f t="shared" si="9"/>
        <v>-121514.21000000008</v>
      </c>
      <c r="BX63" s="117">
        <v>-121514.21</v>
      </c>
      <c r="BY63" s="117"/>
    </row>
    <row r="64" spans="2:83">
      <c r="B64" s="103" t="s">
        <v>289</v>
      </c>
      <c r="C64" s="101" t="s">
        <v>898</v>
      </c>
      <c r="D64" s="118">
        <v>-20150.22</v>
      </c>
      <c r="E64" s="118">
        <v>45832.31</v>
      </c>
      <c r="F64" s="118">
        <v>55522.1</v>
      </c>
      <c r="G64" s="127">
        <v>-50752.01</v>
      </c>
      <c r="H64" s="102">
        <f t="shared" si="0"/>
        <v>30452.18</v>
      </c>
      <c r="K64" s="112" t="s">
        <v>289</v>
      </c>
      <c r="L64" s="111" t="s">
        <v>898</v>
      </c>
      <c r="M64" s="117">
        <v>0</v>
      </c>
      <c r="N64" s="117">
        <v>0</v>
      </c>
      <c r="O64" s="117">
        <v>-20150.22</v>
      </c>
      <c r="P64" s="117">
        <v>45832.31</v>
      </c>
      <c r="Q64" s="117">
        <v>55522.1</v>
      </c>
      <c r="R64" s="117"/>
      <c r="S64" s="117">
        <f t="shared" si="4"/>
        <v>81204.19</v>
      </c>
      <c r="T64" s="117">
        <v>81204.19</v>
      </c>
      <c r="U64" s="115">
        <f t="shared" si="5"/>
        <v>0</v>
      </c>
      <c r="Y64" s="115">
        <f t="shared" si="6"/>
        <v>0</v>
      </c>
      <c r="Z64" s="117">
        <v>0</v>
      </c>
      <c r="AA64" s="115">
        <f t="shared" si="7"/>
        <v>0</v>
      </c>
      <c r="AH64" s="82"/>
      <c r="AI64" s="79"/>
      <c r="AJ64" s="79">
        <v>-50982.55</v>
      </c>
      <c r="AK64" s="79">
        <v>1940.7999999995809</v>
      </c>
      <c r="AL64" s="79">
        <f t="shared" si="1"/>
        <v>1940.7999999995809</v>
      </c>
      <c r="AN64" s="79">
        <v>-50982.55</v>
      </c>
      <c r="AO64" s="79">
        <v>1940.7999999995809</v>
      </c>
      <c r="AP64" s="79">
        <v>41051.22</v>
      </c>
      <c r="AQ64" s="79">
        <v>-20150.22</v>
      </c>
      <c r="AR64" s="79">
        <v>53822.84</v>
      </c>
      <c r="AS64" s="79">
        <f t="shared" si="2"/>
        <v>25682.089999999575</v>
      </c>
      <c r="AT64" s="87"/>
      <c r="AU64" s="79">
        <f>+AN64+AO64</f>
        <v>-49041.750000000422</v>
      </c>
      <c r="BB64" s="103" t="s">
        <v>289</v>
      </c>
      <c r="BC64" s="101" t="s">
        <v>898</v>
      </c>
      <c r="BD64" s="117">
        <v>0</v>
      </c>
      <c r="BE64" s="117">
        <v>-20150.22</v>
      </c>
      <c r="BF64" s="117">
        <v>45832.31</v>
      </c>
      <c r="BG64" s="117">
        <v>55522.1</v>
      </c>
      <c r="BH64" s="129">
        <v>-50752.01</v>
      </c>
      <c r="BI64" s="128">
        <f t="shared" si="3"/>
        <v>30452.18</v>
      </c>
      <c r="BM64" s="103" t="s">
        <v>289</v>
      </c>
      <c r="BN64" s="101" t="s">
        <v>898</v>
      </c>
      <c r="BO64" s="117">
        <v>0</v>
      </c>
      <c r="BP64" s="117">
        <v>-20150.22</v>
      </c>
      <c r="BQ64" s="117">
        <v>45832.31</v>
      </c>
      <c r="BR64" s="117">
        <v>55522.1</v>
      </c>
      <c r="BS64" s="129">
        <v>-50752.01</v>
      </c>
      <c r="BT64" s="129"/>
      <c r="BU64" s="128">
        <f t="shared" si="8"/>
        <v>30452.18</v>
      </c>
      <c r="BW64" s="115">
        <f t="shared" si="9"/>
        <v>0</v>
      </c>
      <c r="BX64" s="117">
        <v>0</v>
      </c>
      <c r="BY64" s="117"/>
    </row>
    <row r="65" spans="2:83">
      <c r="B65" s="103" t="s">
        <v>291</v>
      </c>
      <c r="C65" s="101" t="s">
        <v>899</v>
      </c>
      <c r="D65" s="118">
        <v>-157840.47</v>
      </c>
      <c r="E65" s="118">
        <v>-260830.62</v>
      </c>
      <c r="F65" s="118">
        <v>-435217.16</v>
      </c>
      <c r="G65" s="127">
        <v>-365180.77</v>
      </c>
      <c r="H65" s="102">
        <f t="shared" si="0"/>
        <v>-1219069.02</v>
      </c>
      <c r="K65" s="112" t="s">
        <v>291</v>
      </c>
      <c r="L65" s="111" t="s">
        <v>899</v>
      </c>
      <c r="M65" s="117">
        <v>0</v>
      </c>
      <c r="N65" s="117">
        <v>-32914.050000000003</v>
      </c>
      <c r="O65" s="117">
        <v>-157840.47</v>
      </c>
      <c r="P65" s="117">
        <v>-260830.62</v>
      </c>
      <c r="Q65" s="117">
        <v>-435217.16</v>
      </c>
      <c r="R65" s="117"/>
      <c r="S65" s="117">
        <f t="shared" si="4"/>
        <v>-886802.3</v>
      </c>
      <c r="T65" s="117">
        <v>-992857.2500000021</v>
      </c>
      <c r="U65" s="115">
        <f t="shared" si="5"/>
        <v>106054.95000000205</v>
      </c>
      <c r="Y65" s="115">
        <f t="shared" si="6"/>
        <v>0</v>
      </c>
      <c r="Z65" s="117">
        <v>-106054.95000000205</v>
      </c>
      <c r="AA65" s="115">
        <f t="shared" si="7"/>
        <v>0</v>
      </c>
      <c r="AH65" s="79"/>
      <c r="AI65" s="79"/>
      <c r="AJ65" s="79">
        <v>-76969.100000000006</v>
      </c>
      <c r="AK65" s="79">
        <v>-106054.95000000205</v>
      </c>
      <c r="AL65" s="79">
        <f t="shared" si="1"/>
        <v>-106054.95000000205</v>
      </c>
      <c r="AN65" s="79">
        <v>-76969.100000000006</v>
      </c>
      <c r="AO65" s="79">
        <v>-106054.95000000205</v>
      </c>
      <c r="AP65" s="79">
        <v>-32914.050000000003</v>
      </c>
      <c r="AQ65" s="79">
        <v>-157840.47</v>
      </c>
      <c r="AR65" s="79">
        <v>-260830.62</v>
      </c>
      <c r="AS65" s="79">
        <f t="shared" si="2"/>
        <v>-634609.19000000204</v>
      </c>
      <c r="BB65" s="103" t="s">
        <v>291</v>
      </c>
      <c r="BC65" s="101" t="s">
        <v>899</v>
      </c>
      <c r="BD65" s="117">
        <v>-32914.050000000003</v>
      </c>
      <c r="BE65" s="117">
        <v>-157840.47</v>
      </c>
      <c r="BF65" s="117">
        <v>-260830.62</v>
      </c>
      <c r="BG65" s="117">
        <v>-435217.16</v>
      </c>
      <c r="BH65" s="129">
        <v>-365180.77</v>
      </c>
      <c r="BI65" s="128">
        <f t="shared" si="3"/>
        <v>-1251983.07</v>
      </c>
      <c r="BM65" s="103" t="s">
        <v>291</v>
      </c>
      <c r="BN65" s="101" t="s">
        <v>899</v>
      </c>
      <c r="BO65" s="117">
        <v>0</v>
      </c>
      <c r="BP65" s="117">
        <v>-157840.47</v>
      </c>
      <c r="BQ65" s="117">
        <v>-260830.62</v>
      </c>
      <c r="BR65" s="117">
        <v>-435217.16</v>
      </c>
      <c r="BS65" s="129">
        <v>-365180.77</v>
      </c>
      <c r="BT65" s="129"/>
      <c r="BU65" s="128">
        <f t="shared" si="8"/>
        <v>-1219069.02</v>
      </c>
      <c r="BW65" s="115">
        <f t="shared" si="9"/>
        <v>-32914.050000000047</v>
      </c>
      <c r="BX65" s="117">
        <v>-32914.050000000003</v>
      </c>
      <c r="BY65" s="117"/>
    </row>
    <row r="66" spans="2:83">
      <c r="B66" s="103" t="s">
        <v>293</v>
      </c>
      <c r="C66" s="101" t="s">
        <v>900</v>
      </c>
      <c r="D66" s="118">
        <v>-105078.03</v>
      </c>
      <c r="E66" s="118">
        <v>-84417.57</v>
      </c>
      <c r="F66" s="118">
        <v>-134479.93</v>
      </c>
      <c r="G66" s="127">
        <v>-151214.32</v>
      </c>
      <c r="H66" s="102">
        <f t="shared" si="0"/>
        <v>-475189.85000000003</v>
      </c>
      <c r="K66" s="112" t="s">
        <v>293</v>
      </c>
      <c r="L66" s="111" t="s">
        <v>900</v>
      </c>
      <c r="M66" s="117">
        <v>0</v>
      </c>
      <c r="N66" s="117">
        <v>-4884.5</v>
      </c>
      <c r="O66" s="117">
        <v>-105078.03</v>
      </c>
      <c r="P66" s="117">
        <v>-84417.57</v>
      </c>
      <c r="Q66" s="117">
        <v>-134479.93</v>
      </c>
      <c r="R66" s="117"/>
      <c r="S66" s="117">
        <f t="shared" si="4"/>
        <v>-328860.03000000003</v>
      </c>
      <c r="T66" s="117">
        <v>-369763.37000000058</v>
      </c>
      <c r="U66" s="115">
        <f t="shared" si="5"/>
        <v>40903.340000000549</v>
      </c>
      <c r="Y66" s="115">
        <f t="shared" si="6"/>
        <v>0</v>
      </c>
      <c r="Z66" s="117">
        <v>-40903.340000000549</v>
      </c>
      <c r="AA66" s="115">
        <f t="shared" si="7"/>
        <v>0</v>
      </c>
      <c r="AH66" s="79"/>
      <c r="AI66" s="79"/>
      <c r="AJ66" s="79">
        <v>-27068.95</v>
      </c>
      <c r="AK66" s="79">
        <v>-40903.340000000549</v>
      </c>
      <c r="AL66" s="79">
        <f t="shared" si="1"/>
        <v>-40903.340000000549</v>
      </c>
      <c r="AN66" s="79">
        <v>-27068.95</v>
      </c>
      <c r="AO66" s="79">
        <v>-40903.340000000549</v>
      </c>
      <c r="AP66" s="79">
        <v>-4884.5</v>
      </c>
      <c r="AQ66" s="79">
        <v>-105078.03</v>
      </c>
      <c r="AR66" s="79">
        <v>-84417.57</v>
      </c>
      <c r="AS66" s="79">
        <f t="shared" si="2"/>
        <v>-262352.39000000054</v>
      </c>
      <c r="BB66" s="103" t="s">
        <v>293</v>
      </c>
      <c r="BC66" s="101" t="s">
        <v>900</v>
      </c>
      <c r="BD66" s="117">
        <v>-4884.5</v>
      </c>
      <c r="BE66" s="117">
        <v>-105078.03</v>
      </c>
      <c r="BF66" s="117">
        <v>-84417.57</v>
      </c>
      <c r="BG66" s="117">
        <v>-134479.93</v>
      </c>
      <c r="BH66" s="129">
        <v>-151214.32</v>
      </c>
      <c r="BI66" s="128">
        <f t="shared" si="3"/>
        <v>-480074.35000000003</v>
      </c>
      <c r="BM66" s="103" t="s">
        <v>293</v>
      </c>
      <c r="BN66" s="101" t="s">
        <v>900</v>
      </c>
      <c r="BO66" s="117">
        <v>0</v>
      </c>
      <c r="BP66" s="117">
        <v>-105078.03</v>
      </c>
      <c r="BQ66" s="117">
        <v>-84417.57</v>
      </c>
      <c r="BR66" s="117">
        <v>-134479.93</v>
      </c>
      <c r="BS66" s="129">
        <v>-151214.32</v>
      </c>
      <c r="BT66" s="129"/>
      <c r="BU66" s="128">
        <f t="shared" si="8"/>
        <v>-475189.85000000003</v>
      </c>
      <c r="BW66" s="115">
        <f t="shared" si="9"/>
        <v>-4884.5</v>
      </c>
      <c r="BX66" s="117">
        <v>-4884.5</v>
      </c>
      <c r="BY66" s="117"/>
    </row>
    <row r="67" spans="2:83">
      <c r="B67" s="103" t="s">
        <v>295</v>
      </c>
      <c r="C67" s="101" t="s">
        <v>901</v>
      </c>
      <c r="D67" s="118">
        <v>-63437.52</v>
      </c>
      <c r="E67" s="118">
        <v>-77005.789999999994</v>
      </c>
      <c r="F67" s="118">
        <v>-66282.05</v>
      </c>
      <c r="G67" s="127">
        <v>-78117.5</v>
      </c>
      <c r="H67" s="102">
        <f t="shared" si="0"/>
        <v>-284842.86</v>
      </c>
      <c r="K67" s="112" t="s">
        <v>295</v>
      </c>
      <c r="L67" s="111" t="s">
        <v>901</v>
      </c>
      <c r="M67" s="117">
        <v>0</v>
      </c>
      <c r="N67" s="117">
        <v>-72379.48</v>
      </c>
      <c r="O67" s="117">
        <v>-63437.52</v>
      </c>
      <c r="P67" s="117">
        <v>-77005.789999999994</v>
      </c>
      <c r="Q67" s="117">
        <v>-66282.05</v>
      </c>
      <c r="R67" s="117"/>
      <c r="S67" s="117">
        <f t="shared" si="4"/>
        <v>-279104.83999999997</v>
      </c>
      <c r="T67" s="117">
        <v>-344866.08999999997</v>
      </c>
      <c r="U67" s="115">
        <f t="shared" si="5"/>
        <v>65761.25</v>
      </c>
      <c r="Y67" s="115">
        <f t="shared" si="6"/>
        <v>0</v>
      </c>
      <c r="Z67" s="117">
        <v>-65761.249999999971</v>
      </c>
      <c r="AA67" s="115">
        <f t="shared" si="7"/>
        <v>0</v>
      </c>
      <c r="AH67" s="79"/>
      <c r="AI67" s="79"/>
      <c r="AJ67" s="79">
        <v>-48771.05</v>
      </c>
      <c r="AK67" s="79">
        <v>-65761.249999999971</v>
      </c>
      <c r="AL67" s="79">
        <f t="shared" si="1"/>
        <v>-65761.249999999971</v>
      </c>
      <c r="AN67" s="79">
        <v>-48771.05</v>
      </c>
      <c r="AO67" s="79">
        <v>-65761.249999999971</v>
      </c>
      <c r="AP67" s="79">
        <v>-72379.48</v>
      </c>
      <c r="AQ67" s="79">
        <v>-63437.52</v>
      </c>
      <c r="AR67" s="79">
        <v>-77005.789999999994</v>
      </c>
      <c r="AS67" s="79">
        <f t="shared" si="2"/>
        <v>-327355.08999999997</v>
      </c>
      <c r="BB67" s="103" t="s">
        <v>295</v>
      </c>
      <c r="BC67" s="101" t="s">
        <v>901</v>
      </c>
      <c r="BD67" s="117">
        <v>-72379.48</v>
      </c>
      <c r="BE67" s="117">
        <v>-63437.52</v>
      </c>
      <c r="BF67" s="117">
        <v>-77005.789999999994</v>
      </c>
      <c r="BG67" s="117">
        <v>-66282.05</v>
      </c>
      <c r="BH67" s="129">
        <v>-78117.5</v>
      </c>
      <c r="BI67" s="128">
        <f t="shared" si="3"/>
        <v>-357222.33999999997</v>
      </c>
      <c r="BM67" s="103" t="s">
        <v>295</v>
      </c>
      <c r="BN67" s="101" t="s">
        <v>901</v>
      </c>
      <c r="BO67" s="117">
        <v>0</v>
      </c>
      <c r="BP67" s="117">
        <v>-63437.52</v>
      </c>
      <c r="BQ67" s="117">
        <v>-77005.789999999994</v>
      </c>
      <c r="BR67" s="117">
        <v>-66282.05</v>
      </c>
      <c r="BS67" s="129">
        <v>-78117.5</v>
      </c>
      <c r="BT67" s="129"/>
      <c r="BU67" s="128">
        <f t="shared" si="8"/>
        <v>-284842.86</v>
      </c>
      <c r="BW67" s="115">
        <f t="shared" si="9"/>
        <v>-72379.479999999981</v>
      </c>
      <c r="BX67" s="117">
        <v>-72379.48</v>
      </c>
      <c r="BY67" s="117"/>
    </row>
    <row r="68" spans="2:83">
      <c r="B68" s="103" t="s">
        <v>297</v>
      </c>
      <c r="C68" s="101" t="s">
        <v>902</v>
      </c>
      <c r="D68" s="118">
        <v>-47929.67</v>
      </c>
      <c r="E68" s="118">
        <v>-74643.5</v>
      </c>
      <c r="F68" s="118">
        <v>-76198.38</v>
      </c>
      <c r="G68" s="127">
        <v>-58319.41</v>
      </c>
      <c r="H68" s="102">
        <f t="shared" si="0"/>
        <v>-257090.96</v>
      </c>
      <c r="K68" s="112" t="s">
        <v>297</v>
      </c>
      <c r="L68" s="111" t="s">
        <v>902</v>
      </c>
      <c r="M68" s="117">
        <v>0</v>
      </c>
      <c r="N68" s="117">
        <v>-78149.56</v>
      </c>
      <c r="O68" s="117">
        <v>-47929.67</v>
      </c>
      <c r="P68" s="117">
        <v>-74643.5</v>
      </c>
      <c r="Q68" s="117">
        <v>-76198.38</v>
      </c>
      <c r="R68" s="117"/>
      <c r="S68" s="117">
        <f t="shared" si="4"/>
        <v>-276921.11</v>
      </c>
      <c r="T68" s="117">
        <v>-371028.70999999985</v>
      </c>
      <c r="U68" s="115">
        <f t="shared" si="5"/>
        <v>94107.59999999986</v>
      </c>
      <c r="Y68" s="115">
        <f t="shared" si="6"/>
        <v>0</v>
      </c>
      <c r="Z68" s="117">
        <v>-94107.59999999986</v>
      </c>
      <c r="AA68" s="115">
        <f t="shared" si="7"/>
        <v>0</v>
      </c>
      <c r="AH68" s="79"/>
      <c r="AI68" s="79"/>
      <c r="AJ68" s="79">
        <v>-75293.11</v>
      </c>
      <c r="AK68" s="79">
        <v>-94107.59999999986</v>
      </c>
      <c r="AL68" s="79">
        <f t="shared" si="1"/>
        <v>-94107.59999999986</v>
      </c>
      <c r="AN68" s="79">
        <v>-75293.11</v>
      </c>
      <c r="AO68" s="79">
        <v>-94107.59999999986</v>
      </c>
      <c r="AP68" s="79">
        <v>-78149.56</v>
      </c>
      <c r="AQ68" s="79">
        <v>-47929.67</v>
      </c>
      <c r="AR68" s="79">
        <v>-74643.5</v>
      </c>
      <c r="AS68" s="79">
        <f t="shared" si="2"/>
        <v>-370123.43999999983</v>
      </c>
      <c r="BB68" s="103" t="s">
        <v>297</v>
      </c>
      <c r="BC68" s="101" t="s">
        <v>902</v>
      </c>
      <c r="BD68" s="117">
        <v>-78149.56</v>
      </c>
      <c r="BE68" s="117">
        <v>-47929.67</v>
      </c>
      <c r="BF68" s="117">
        <v>-74643.5</v>
      </c>
      <c r="BG68" s="117">
        <v>-76198.38</v>
      </c>
      <c r="BH68" s="129">
        <v>-58319.41</v>
      </c>
      <c r="BI68" s="128">
        <f t="shared" si="3"/>
        <v>-335240.52</v>
      </c>
      <c r="BM68" s="103" t="s">
        <v>297</v>
      </c>
      <c r="BN68" s="101" t="s">
        <v>902</v>
      </c>
      <c r="BO68" s="117">
        <v>0</v>
      </c>
      <c r="BP68" s="117">
        <v>-47929.67</v>
      </c>
      <c r="BQ68" s="117">
        <v>-74643.5</v>
      </c>
      <c r="BR68" s="117">
        <v>-76198.38</v>
      </c>
      <c r="BS68" s="129">
        <v>-58319.41</v>
      </c>
      <c r="BT68" s="129"/>
      <c r="BU68" s="128">
        <f t="shared" si="8"/>
        <v>-257090.96</v>
      </c>
      <c r="BW68" s="115">
        <f t="shared" si="9"/>
        <v>-78149.560000000027</v>
      </c>
      <c r="BX68" s="117">
        <v>-78149.56</v>
      </c>
      <c r="BY68" s="117"/>
    </row>
    <row r="69" spans="2:83">
      <c r="B69" s="103" t="s">
        <v>299</v>
      </c>
      <c r="C69" s="101" t="s">
        <v>903</v>
      </c>
      <c r="D69" s="118">
        <v>-206096.54</v>
      </c>
      <c r="E69" s="118">
        <v>-328346.93</v>
      </c>
      <c r="F69" s="118">
        <v>-227492.04</v>
      </c>
      <c r="G69" s="127">
        <v>-178143.28</v>
      </c>
      <c r="H69" s="102">
        <f t="shared" ref="H69:H132" si="14">SUM(D69:G69)</f>
        <v>-940078.79</v>
      </c>
      <c r="K69" s="112" t="s">
        <v>299</v>
      </c>
      <c r="L69" s="111" t="s">
        <v>903</v>
      </c>
      <c r="M69" s="117">
        <v>0</v>
      </c>
      <c r="N69" s="117">
        <v>-176356.73</v>
      </c>
      <c r="O69" s="117">
        <v>-206096.54</v>
      </c>
      <c r="P69" s="117">
        <v>-328346.93</v>
      </c>
      <c r="Q69" s="117">
        <v>-227492.04</v>
      </c>
      <c r="R69" s="117"/>
      <c r="S69" s="117">
        <f t="shared" si="4"/>
        <v>-938292.24</v>
      </c>
      <c r="T69" s="117">
        <v>-1281430.7399999998</v>
      </c>
      <c r="U69" s="115">
        <f t="shared" si="5"/>
        <v>343138.49999999977</v>
      </c>
      <c r="Y69" s="115">
        <f t="shared" si="6"/>
        <v>0</v>
      </c>
      <c r="Z69" s="117">
        <v>-343138.49999999977</v>
      </c>
      <c r="AA69" s="115">
        <f t="shared" si="7"/>
        <v>0</v>
      </c>
      <c r="AH69" s="79"/>
      <c r="AI69" s="79"/>
      <c r="AJ69" s="79">
        <v>-279153.06</v>
      </c>
      <c r="AK69" s="79">
        <v>-343138.49999999977</v>
      </c>
      <c r="AL69" s="79">
        <f t="shared" ref="AL69:AL132" si="15">IF(AJ69&gt;0,+AJ69+AK69,AK69)</f>
        <v>-343138.49999999977</v>
      </c>
      <c r="AN69" s="79">
        <v>-279153.06</v>
      </c>
      <c r="AO69" s="79">
        <v>-343138.49999999977</v>
      </c>
      <c r="AP69" s="79">
        <v>-176356.73</v>
      </c>
      <c r="AQ69" s="79">
        <v>-206096.54</v>
      </c>
      <c r="AR69" s="79">
        <v>-328346.93</v>
      </c>
      <c r="AS69" s="79">
        <f t="shared" ref="AS69:AS132" si="16">SUM(AN69:AR69)</f>
        <v>-1333091.7599999998</v>
      </c>
      <c r="BB69" s="103" t="s">
        <v>299</v>
      </c>
      <c r="BC69" s="101" t="s">
        <v>903</v>
      </c>
      <c r="BD69" s="117">
        <v>-176356.73</v>
      </c>
      <c r="BE69" s="117">
        <v>-206096.54</v>
      </c>
      <c r="BF69" s="117">
        <v>-328346.93</v>
      </c>
      <c r="BG69" s="117">
        <v>-227492.04</v>
      </c>
      <c r="BH69" s="129">
        <v>-178143.28</v>
      </c>
      <c r="BI69" s="128">
        <f t="shared" ref="BI69:BI132" si="17">SUM(BD69:BH69)</f>
        <v>-1116435.52</v>
      </c>
      <c r="BM69" s="103" t="s">
        <v>299</v>
      </c>
      <c r="BN69" s="101" t="s">
        <v>903</v>
      </c>
      <c r="BO69" s="117">
        <v>0</v>
      </c>
      <c r="BP69" s="117">
        <v>-206096.54</v>
      </c>
      <c r="BQ69" s="117">
        <v>-328346.93</v>
      </c>
      <c r="BR69" s="117">
        <v>-227492.04</v>
      </c>
      <c r="BS69" s="129">
        <v>-178143.28</v>
      </c>
      <c r="BT69" s="129"/>
      <c r="BU69" s="128">
        <f t="shared" si="8"/>
        <v>-940078.79</v>
      </c>
      <c r="BW69" s="115">
        <f t="shared" si="9"/>
        <v>-176356.72999999998</v>
      </c>
      <c r="BX69" s="117">
        <v>-176356.73</v>
      </c>
      <c r="BY69" s="117"/>
    </row>
    <row r="70" spans="2:83">
      <c r="B70" s="103" t="s">
        <v>301</v>
      </c>
      <c r="C70" s="101" t="s">
        <v>904</v>
      </c>
      <c r="D70" s="118">
        <v>-51869.53</v>
      </c>
      <c r="E70" s="118">
        <v>-118147.22</v>
      </c>
      <c r="F70" s="118">
        <v>-39771.300000000003</v>
      </c>
      <c r="G70" s="127">
        <v>0</v>
      </c>
      <c r="H70" s="102">
        <f t="shared" si="14"/>
        <v>-209788.05</v>
      </c>
      <c r="K70" s="112" t="s">
        <v>301</v>
      </c>
      <c r="L70" s="111" t="s">
        <v>904</v>
      </c>
      <c r="M70" s="117">
        <v>0</v>
      </c>
      <c r="N70" s="117">
        <v>-186992.93</v>
      </c>
      <c r="O70" s="117">
        <v>-51869.53</v>
      </c>
      <c r="P70" s="117">
        <v>-118147.22</v>
      </c>
      <c r="Q70" s="117">
        <v>-39771.300000000003</v>
      </c>
      <c r="R70" s="117"/>
      <c r="S70" s="117">
        <f t="shared" ref="S70:S133" si="18">SUM(M70:R70)</f>
        <v>-396780.98</v>
      </c>
      <c r="T70" s="117">
        <v>-478473.38999999996</v>
      </c>
      <c r="U70" s="115">
        <f t="shared" ref="U70:U133" si="19">+S70-T70</f>
        <v>81692.409999999974</v>
      </c>
      <c r="Y70" s="115">
        <f t="shared" ref="Y70:Y133" si="20">+U70+Z70</f>
        <v>0</v>
      </c>
      <c r="Z70" s="117">
        <v>-81692.410000000033</v>
      </c>
      <c r="AA70" s="115">
        <f t="shared" ref="AA70:AA133" si="21">+U70+Z70</f>
        <v>0</v>
      </c>
      <c r="AH70" s="79"/>
      <c r="AI70" s="79"/>
      <c r="AJ70" s="79">
        <v>-110792.55</v>
      </c>
      <c r="AK70" s="79">
        <v>-81692.410000000033</v>
      </c>
      <c r="AL70" s="79">
        <f t="shared" si="15"/>
        <v>-81692.410000000033</v>
      </c>
      <c r="AN70" s="79">
        <v>-110792.55</v>
      </c>
      <c r="AO70" s="79">
        <v>-81692.410000000033</v>
      </c>
      <c r="AP70" s="79">
        <v>-186992.93</v>
      </c>
      <c r="AQ70" s="79">
        <v>-51869.53</v>
      </c>
      <c r="AR70" s="79">
        <v>-118147.22</v>
      </c>
      <c r="AS70" s="79">
        <f t="shared" si="16"/>
        <v>-549494.64</v>
      </c>
      <c r="BB70" s="103" t="s">
        <v>301</v>
      </c>
      <c r="BC70" s="101" t="s">
        <v>904</v>
      </c>
      <c r="BD70" s="117">
        <v>-186992.93</v>
      </c>
      <c r="BE70" s="117">
        <v>-51869.53</v>
      </c>
      <c r="BF70" s="117">
        <v>-118147.22</v>
      </c>
      <c r="BG70" s="117">
        <v>-39771.300000000003</v>
      </c>
      <c r="BH70" s="129">
        <v>8769.31</v>
      </c>
      <c r="BI70" s="128">
        <f t="shared" si="17"/>
        <v>-388011.67</v>
      </c>
      <c r="BM70" s="103" t="s">
        <v>301</v>
      </c>
      <c r="BN70" s="101" t="s">
        <v>904</v>
      </c>
      <c r="BO70" s="117">
        <v>0</v>
      </c>
      <c r="BP70" s="117">
        <v>-51869.53</v>
      </c>
      <c r="BQ70" s="117">
        <v>-118147.22</v>
      </c>
      <c r="BR70" s="117">
        <v>-39771.300000000003</v>
      </c>
      <c r="BS70" s="134">
        <v>0</v>
      </c>
      <c r="BT70" s="129"/>
      <c r="BU70" s="128">
        <f t="shared" ref="BU70:BU133" si="22">SUM(BP70:BT70)</f>
        <v>-209788.05</v>
      </c>
      <c r="BW70" s="130">
        <f t="shared" ref="BW70:BW133" si="23">+BI70-BU70</f>
        <v>-178223.62</v>
      </c>
      <c r="BX70" s="135">
        <v>-186992.93</v>
      </c>
      <c r="BY70" s="117"/>
      <c r="BZ70" s="117"/>
      <c r="CA70" s="117"/>
      <c r="CB70" s="136">
        <v>8769.31</v>
      </c>
      <c r="CC70" s="132">
        <f>+BO70+BS70</f>
        <v>0</v>
      </c>
      <c r="CD70" s="130">
        <f>+BX70+CB70</f>
        <v>-178223.62</v>
      </c>
      <c r="CE70" s="132">
        <f>+BW70-CD70</f>
        <v>0</v>
      </c>
    </row>
    <row r="71" spans="2:83">
      <c r="B71" s="103" t="s">
        <v>303</v>
      </c>
      <c r="C71" s="101" t="s">
        <v>905</v>
      </c>
      <c r="D71" s="118">
        <v>-35763.040000000001</v>
      </c>
      <c r="E71" s="118">
        <v>-43845.47</v>
      </c>
      <c r="F71" s="118">
        <v>-42603.61</v>
      </c>
      <c r="G71" s="127">
        <v>-37707.300000000003</v>
      </c>
      <c r="H71" s="102">
        <f t="shared" si="14"/>
        <v>-159919.42000000001</v>
      </c>
      <c r="K71" s="112" t="s">
        <v>303</v>
      </c>
      <c r="L71" s="111" t="s">
        <v>905</v>
      </c>
      <c r="M71" s="117">
        <v>0</v>
      </c>
      <c r="N71" s="117">
        <v>-44629.89</v>
      </c>
      <c r="O71" s="117">
        <v>-35763.040000000001</v>
      </c>
      <c r="P71" s="117">
        <v>-43845.47</v>
      </c>
      <c r="Q71" s="117">
        <v>-42603.61</v>
      </c>
      <c r="R71" s="117"/>
      <c r="S71" s="117">
        <f t="shared" si="18"/>
        <v>-166842.01</v>
      </c>
      <c r="T71" s="117">
        <v>-299409.87999999983</v>
      </c>
      <c r="U71" s="115">
        <f t="shared" si="19"/>
        <v>132567.86999999982</v>
      </c>
      <c r="Y71" s="115">
        <f t="shared" si="20"/>
        <v>0</v>
      </c>
      <c r="Z71" s="117">
        <v>-132567.86999999982</v>
      </c>
      <c r="AA71" s="115">
        <f t="shared" si="21"/>
        <v>0</v>
      </c>
      <c r="AH71" s="79"/>
      <c r="AI71" s="79"/>
      <c r="AJ71" s="79">
        <v>-141298.51999999999</v>
      </c>
      <c r="AK71" s="79">
        <v>-132567.86999999982</v>
      </c>
      <c r="AL71" s="79">
        <f t="shared" si="15"/>
        <v>-132567.86999999982</v>
      </c>
      <c r="AN71" s="79">
        <v>-141298.51999999999</v>
      </c>
      <c r="AO71" s="79">
        <v>-132567.86999999982</v>
      </c>
      <c r="AP71" s="79">
        <v>-44629.89</v>
      </c>
      <c r="AQ71" s="79">
        <v>-35763.040000000001</v>
      </c>
      <c r="AR71" s="79">
        <v>-43845.47</v>
      </c>
      <c r="AS71" s="79">
        <f t="shared" si="16"/>
        <v>-398104.7899999998</v>
      </c>
      <c r="BB71" s="103" t="s">
        <v>303</v>
      </c>
      <c r="BC71" s="101" t="s">
        <v>905</v>
      </c>
      <c r="BD71" s="117">
        <v>-44629.89</v>
      </c>
      <c r="BE71" s="117">
        <v>-35763.040000000001</v>
      </c>
      <c r="BF71" s="117">
        <v>-43845.47</v>
      </c>
      <c r="BG71" s="117">
        <v>-42603.61</v>
      </c>
      <c r="BH71" s="129">
        <v>-37707.300000000003</v>
      </c>
      <c r="BI71" s="128">
        <f t="shared" si="17"/>
        <v>-204549.31</v>
      </c>
      <c r="BM71" s="103" t="s">
        <v>303</v>
      </c>
      <c r="BN71" s="101" t="s">
        <v>905</v>
      </c>
      <c r="BO71" s="117">
        <v>0</v>
      </c>
      <c r="BP71" s="117">
        <v>-35763.040000000001</v>
      </c>
      <c r="BQ71" s="117">
        <v>-43845.47</v>
      </c>
      <c r="BR71" s="117">
        <v>-42603.61</v>
      </c>
      <c r="BS71" s="129">
        <v>-37707.300000000003</v>
      </c>
      <c r="BT71" s="129"/>
      <c r="BU71" s="128">
        <f t="shared" si="22"/>
        <v>-159919.42000000001</v>
      </c>
      <c r="BW71" s="115">
        <f t="shared" si="23"/>
        <v>-44629.889999999985</v>
      </c>
      <c r="BX71" s="117">
        <v>-44629.89</v>
      </c>
      <c r="BY71" s="117"/>
    </row>
    <row r="72" spans="2:83">
      <c r="B72" s="103" t="s">
        <v>305</v>
      </c>
      <c r="C72" s="101" t="s">
        <v>906</v>
      </c>
      <c r="D72" s="118">
        <v>-30819.26</v>
      </c>
      <c r="E72" s="118">
        <v>-22883.38</v>
      </c>
      <c r="F72" s="118">
        <v>-36240.800000000003</v>
      </c>
      <c r="G72" s="127">
        <v>-35838.86</v>
      </c>
      <c r="H72" s="102">
        <f t="shared" si="14"/>
        <v>-125782.3</v>
      </c>
      <c r="K72" s="112" t="s">
        <v>305</v>
      </c>
      <c r="L72" s="111" t="s">
        <v>906</v>
      </c>
      <c r="M72" s="117">
        <v>0</v>
      </c>
      <c r="N72" s="117">
        <v>-29070.400000000001</v>
      </c>
      <c r="O72" s="117">
        <v>-30819.26</v>
      </c>
      <c r="P72" s="117">
        <v>-22883.38</v>
      </c>
      <c r="Q72" s="117">
        <v>-36240.800000000003</v>
      </c>
      <c r="R72" s="117"/>
      <c r="S72" s="117">
        <f t="shared" si="18"/>
        <v>-119013.84000000001</v>
      </c>
      <c r="T72" s="117">
        <v>-139349.43</v>
      </c>
      <c r="U72" s="115">
        <f t="shared" si="19"/>
        <v>20335.589999999982</v>
      </c>
      <c r="Y72" s="115">
        <f t="shared" si="20"/>
        <v>0</v>
      </c>
      <c r="Z72" s="117">
        <v>-20335.589999999967</v>
      </c>
      <c r="AA72" s="115">
        <f t="shared" si="21"/>
        <v>0</v>
      </c>
      <c r="AH72" s="79"/>
      <c r="AI72" s="79"/>
      <c r="AJ72" s="79">
        <v>-15077.27</v>
      </c>
      <c r="AK72" s="79">
        <v>-20335.589999999967</v>
      </c>
      <c r="AL72" s="79">
        <f t="shared" si="15"/>
        <v>-20335.589999999967</v>
      </c>
      <c r="AN72" s="79">
        <v>-15077.27</v>
      </c>
      <c r="AO72" s="79">
        <v>-20335.589999999967</v>
      </c>
      <c r="AP72" s="79">
        <v>-29070.400000000001</v>
      </c>
      <c r="AQ72" s="79">
        <v>-30819.26</v>
      </c>
      <c r="AR72" s="79">
        <v>-22883.38</v>
      </c>
      <c r="AS72" s="79">
        <f t="shared" si="16"/>
        <v>-118185.89999999998</v>
      </c>
      <c r="BB72" s="103" t="s">
        <v>305</v>
      </c>
      <c r="BC72" s="101" t="s">
        <v>906</v>
      </c>
      <c r="BD72" s="117">
        <v>-29070.400000000001</v>
      </c>
      <c r="BE72" s="117">
        <v>-30819.26</v>
      </c>
      <c r="BF72" s="117">
        <v>-22883.38</v>
      </c>
      <c r="BG72" s="117">
        <v>-36240.800000000003</v>
      </c>
      <c r="BH72" s="129">
        <v>-35838.86</v>
      </c>
      <c r="BI72" s="128">
        <f t="shared" si="17"/>
        <v>-154852.70000000001</v>
      </c>
      <c r="BM72" s="103" t="s">
        <v>305</v>
      </c>
      <c r="BN72" s="101" t="s">
        <v>906</v>
      </c>
      <c r="BO72" s="117">
        <v>0</v>
      </c>
      <c r="BP72" s="117">
        <v>-30819.26</v>
      </c>
      <c r="BQ72" s="117">
        <v>-22883.38</v>
      </c>
      <c r="BR72" s="117">
        <v>-36240.800000000003</v>
      </c>
      <c r="BS72" s="129">
        <v>-35838.86</v>
      </c>
      <c r="BT72" s="129"/>
      <c r="BU72" s="128">
        <f t="shared" si="22"/>
        <v>-125782.3</v>
      </c>
      <c r="BW72" s="115">
        <f t="shared" si="23"/>
        <v>-29070.400000000009</v>
      </c>
      <c r="BX72" s="117">
        <v>-29070.400000000001</v>
      </c>
      <c r="BY72" s="117"/>
    </row>
    <row r="73" spans="2:83">
      <c r="B73" s="103" t="s">
        <v>307</v>
      </c>
      <c r="C73" s="101" t="s">
        <v>907</v>
      </c>
      <c r="D73" s="118">
        <v>-71447.509999999995</v>
      </c>
      <c r="E73" s="118">
        <v>-91716.45</v>
      </c>
      <c r="F73" s="118">
        <v>-68930.05</v>
      </c>
      <c r="G73" s="127">
        <v>-63032.43</v>
      </c>
      <c r="H73" s="102">
        <f t="shared" si="14"/>
        <v>-295126.44</v>
      </c>
      <c r="K73" s="112" t="s">
        <v>307</v>
      </c>
      <c r="L73" s="111" t="s">
        <v>907</v>
      </c>
      <c r="M73" s="117">
        <v>0</v>
      </c>
      <c r="N73" s="117">
        <v>-72403.62</v>
      </c>
      <c r="O73" s="117">
        <v>-71447.509999999995</v>
      </c>
      <c r="P73" s="117">
        <v>-91716.45</v>
      </c>
      <c r="Q73" s="117">
        <v>-68930.05</v>
      </c>
      <c r="R73" s="117"/>
      <c r="S73" s="117">
        <f t="shared" si="18"/>
        <v>-304497.63</v>
      </c>
      <c r="T73" s="117">
        <v>-375224.6</v>
      </c>
      <c r="U73" s="115">
        <f t="shared" si="19"/>
        <v>70726.969999999972</v>
      </c>
      <c r="Y73" s="115">
        <f t="shared" si="20"/>
        <v>0</v>
      </c>
      <c r="Z73" s="117">
        <v>-70726.969999999972</v>
      </c>
      <c r="AA73" s="115">
        <f t="shared" si="21"/>
        <v>0</v>
      </c>
      <c r="AH73" s="79"/>
      <c r="AI73" s="79"/>
      <c r="AJ73" s="79">
        <v>-68729.11</v>
      </c>
      <c r="AK73" s="79">
        <v>-70726.969999999972</v>
      </c>
      <c r="AL73" s="79">
        <f t="shared" si="15"/>
        <v>-70726.969999999972</v>
      </c>
      <c r="AN73" s="79">
        <v>-68729.11</v>
      </c>
      <c r="AO73" s="79">
        <v>-70726.969999999972</v>
      </c>
      <c r="AP73" s="79">
        <v>-72403.62</v>
      </c>
      <c r="AQ73" s="79">
        <v>-71447.509999999995</v>
      </c>
      <c r="AR73" s="79">
        <v>-91716.45</v>
      </c>
      <c r="AS73" s="79">
        <f t="shared" si="16"/>
        <v>-375023.66</v>
      </c>
      <c r="BB73" s="103" t="s">
        <v>307</v>
      </c>
      <c r="BC73" s="101" t="s">
        <v>907</v>
      </c>
      <c r="BD73" s="117">
        <v>-72403.62</v>
      </c>
      <c r="BE73" s="117">
        <v>-71447.509999999995</v>
      </c>
      <c r="BF73" s="117">
        <v>-91716.45</v>
      </c>
      <c r="BG73" s="117">
        <v>-68930.05</v>
      </c>
      <c r="BH73" s="129">
        <v>-63032.43</v>
      </c>
      <c r="BI73" s="128">
        <f t="shared" si="17"/>
        <v>-367530.06</v>
      </c>
      <c r="BM73" s="103" t="s">
        <v>307</v>
      </c>
      <c r="BN73" s="101" t="s">
        <v>907</v>
      </c>
      <c r="BO73" s="117">
        <v>0</v>
      </c>
      <c r="BP73" s="117">
        <v>-71447.509999999995</v>
      </c>
      <c r="BQ73" s="117">
        <v>-91716.45</v>
      </c>
      <c r="BR73" s="117">
        <v>-68930.05</v>
      </c>
      <c r="BS73" s="129">
        <v>-63032.43</v>
      </c>
      <c r="BT73" s="129"/>
      <c r="BU73" s="128">
        <f t="shared" si="22"/>
        <v>-295126.44</v>
      </c>
      <c r="BW73" s="115">
        <f t="shared" si="23"/>
        <v>-72403.62</v>
      </c>
      <c r="BX73" s="117">
        <v>-72403.62</v>
      </c>
      <c r="BY73" s="117"/>
    </row>
    <row r="74" spans="2:83">
      <c r="B74" s="103" t="s">
        <v>309</v>
      </c>
      <c r="C74" s="101" t="s">
        <v>908</v>
      </c>
      <c r="D74" s="118">
        <v>-105136.34</v>
      </c>
      <c r="E74" s="118">
        <v>-176013.87</v>
      </c>
      <c r="F74" s="118">
        <v>-315071.44</v>
      </c>
      <c r="G74" s="127">
        <v>-237367.55</v>
      </c>
      <c r="H74" s="102">
        <f t="shared" si="14"/>
        <v>-833589.2</v>
      </c>
      <c r="K74" s="112" t="s">
        <v>309</v>
      </c>
      <c r="L74" s="111" t="s">
        <v>908</v>
      </c>
      <c r="M74" s="117">
        <v>0</v>
      </c>
      <c r="N74" s="117">
        <v>-95212.55</v>
      </c>
      <c r="O74" s="117">
        <v>-105136.34</v>
      </c>
      <c r="P74" s="117">
        <v>-176013.87</v>
      </c>
      <c r="Q74" s="117">
        <v>-315071.44</v>
      </c>
      <c r="R74" s="117"/>
      <c r="S74" s="117">
        <f t="shared" si="18"/>
        <v>-691434.2</v>
      </c>
      <c r="T74" s="117">
        <v>-782580.91999999969</v>
      </c>
      <c r="U74" s="115">
        <f t="shared" si="19"/>
        <v>91146.719999999739</v>
      </c>
      <c r="Y74" s="115">
        <f t="shared" si="20"/>
        <v>1.1641532182693481E-10</v>
      </c>
      <c r="Z74" s="117">
        <v>-91146.719999999623</v>
      </c>
      <c r="AA74" s="115">
        <f t="shared" si="21"/>
        <v>1.1641532182693481E-10</v>
      </c>
      <c r="AH74" s="79"/>
      <c r="AI74" s="79"/>
      <c r="AJ74" s="79">
        <v>-131675.89000000001</v>
      </c>
      <c r="AK74" s="79">
        <v>-91146.719999999623</v>
      </c>
      <c r="AL74" s="79">
        <f t="shared" si="15"/>
        <v>-91146.719999999623</v>
      </c>
      <c r="AN74" s="79">
        <v>-131675.89000000001</v>
      </c>
      <c r="AO74" s="79">
        <v>-91146.719999999623</v>
      </c>
      <c r="AP74" s="79">
        <v>-95212.55</v>
      </c>
      <c r="AQ74" s="79">
        <v>-105136.34</v>
      </c>
      <c r="AR74" s="79">
        <v>-176013.87</v>
      </c>
      <c r="AS74" s="79">
        <f t="shared" si="16"/>
        <v>-599185.36999999965</v>
      </c>
      <c r="BB74" s="103" t="s">
        <v>309</v>
      </c>
      <c r="BC74" s="101" t="s">
        <v>908</v>
      </c>
      <c r="BD74" s="117">
        <v>-95212.55</v>
      </c>
      <c r="BE74" s="117">
        <v>-105136.34</v>
      </c>
      <c r="BF74" s="117">
        <v>-176013.87</v>
      </c>
      <c r="BG74" s="117">
        <v>-315071.44</v>
      </c>
      <c r="BH74" s="129">
        <v>-237367.55</v>
      </c>
      <c r="BI74" s="128">
        <f t="shared" si="17"/>
        <v>-928801.75</v>
      </c>
      <c r="BM74" s="103" t="s">
        <v>309</v>
      </c>
      <c r="BN74" s="101" t="s">
        <v>908</v>
      </c>
      <c r="BO74" s="117">
        <v>0</v>
      </c>
      <c r="BP74" s="117">
        <v>-105136.34</v>
      </c>
      <c r="BQ74" s="117">
        <v>-176013.87</v>
      </c>
      <c r="BR74" s="117">
        <v>-315071.44</v>
      </c>
      <c r="BS74" s="129">
        <v>-237367.55</v>
      </c>
      <c r="BT74" s="129"/>
      <c r="BU74" s="128">
        <f t="shared" si="22"/>
        <v>-833589.2</v>
      </c>
      <c r="BW74" s="115">
        <f t="shared" si="23"/>
        <v>-95212.550000000047</v>
      </c>
      <c r="BX74" s="117">
        <v>-95212.55</v>
      </c>
      <c r="BY74" s="117"/>
    </row>
    <row r="75" spans="2:83">
      <c r="B75" s="103" t="s">
        <v>311</v>
      </c>
      <c r="C75" s="101" t="s">
        <v>909</v>
      </c>
      <c r="D75" s="118">
        <v>-142046.09</v>
      </c>
      <c r="E75" s="118">
        <v>-162025.39000000001</v>
      </c>
      <c r="F75" s="118">
        <v>-185432.51</v>
      </c>
      <c r="G75" s="127">
        <v>-165664.91</v>
      </c>
      <c r="H75" s="102">
        <f t="shared" si="14"/>
        <v>-655168.9</v>
      </c>
      <c r="K75" s="112" t="s">
        <v>311</v>
      </c>
      <c r="L75" s="111" t="s">
        <v>909</v>
      </c>
      <c r="M75" s="117">
        <v>0</v>
      </c>
      <c r="N75" s="117">
        <v>-159437.6</v>
      </c>
      <c r="O75" s="117">
        <v>-142046.09</v>
      </c>
      <c r="P75" s="117">
        <v>-162025.39000000001</v>
      </c>
      <c r="Q75" s="117">
        <v>-185432.51</v>
      </c>
      <c r="R75" s="117"/>
      <c r="S75" s="117">
        <f t="shared" si="18"/>
        <v>-648941.59000000008</v>
      </c>
      <c r="T75" s="117">
        <v>-829086.55</v>
      </c>
      <c r="U75" s="115">
        <f t="shared" si="19"/>
        <v>180144.95999999996</v>
      </c>
      <c r="Y75" s="115">
        <f t="shared" si="20"/>
        <v>0</v>
      </c>
      <c r="Z75" s="117">
        <v>-180144.96000000008</v>
      </c>
      <c r="AA75" s="115">
        <f t="shared" si="21"/>
        <v>0</v>
      </c>
      <c r="AH75" s="79"/>
      <c r="AI75" s="79"/>
      <c r="AJ75" s="79">
        <v>-147073.72</v>
      </c>
      <c r="AK75" s="79">
        <v>-180144.96000000008</v>
      </c>
      <c r="AL75" s="79">
        <f t="shared" si="15"/>
        <v>-180144.96000000008</v>
      </c>
      <c r="AN75" s="79">
        <v>-147073.72</v>
      </c>
      <c r="AO75" s="79">
        <v>-180144.96000000008</v>
      </c>
      <c r="AP75" s="79">
        <v>-159437.6</v>
      </c>
      <c r="AQ75" s="79">
        <v>-142046.09</v>
      </c>
      <c r="AR75" s="79">
        <v>-162025.39000000001</v>
      </c>
      <c r="AS75" s="79">
        <f t="shared" si="16"/>
        <v>-790727.76</v>
      </c>
      <c r="BB75" s="103" t="s">
        <v>311</v>
      </c>
      <c r="BC75" s="101" t="s">
        <v>909</v>
      </c>
      <c r="BD75" s="117">
        <v>-159437.6</v>
      </c>
      <c r="BE75" s="117">
        <v>-142046.09</v>
      </c>
      <c r="BF75" s="117">
        <v>-162025.39000000001</v>
      </c>
      <c r="BG75" s="117">
        <v>-185432.51</v>
      </c>
      <c r="BH75" s="129">
        <v>-165664.91</v>
      </c>
      <c r="BI75" s="128">
        <f t="shared" si="17"/>
        <v>-814606.50000000012</v>
      </c>
      <c r="BM75" s="103" t="s">
        <v>311</v>
      </c>
      <c r="BN75" s="101" t="s">
        <v>909</v>
      </c>
      <c r="BO75" s="117">
        <v>0</v>
      </c>
      <c r="BP75" s="117">
        <v>-142046.09</v>
      </c>
      <c r="BQ75" s="117">
        <v>-162025.39000000001</v>
      </c>
      <c r="BR75" s="117">
        <v>-185432.51</v>
      </c>
      <c r="BS75" s="129">
        <v>-165664.91</v>
      </c>
      <c r="BT75" s="129"/>
      <c r="BU75" s="128">
        <f t="shared" si="22"/>
        <v>-655168.9</v>
      </c>
      <c r="BW75" s="115">
        <f t="shared" si="23"/>
        <v>-159437.60000000009</v>
      </c>
      <c r="BX75" s="117">
        <v>-159437.6</v>
      </c>
      <c r="BY75" s="117"/>
    </row>
    <row r="76" spans="2:83">
      <c r="B76" s="103" t="s">
        <v>313</v>
      </c>
      <c r="C76" s="101" t="s">
        <v>910</v>
      </c>
      <c r="D76" s="118">
        <v>-94435.23</v>
      </c>
      <c r="E76" s="118">
        <v>-133827.49</v>
      </c>
      <c r="F76" s="118">
        <v>-85363.56</v>
      </c>
      <c r="G76" s="127">
        <v>-52517.8</v>
      </c>
      <c r="H76" s="102">
        <f t="shared" si="14"/>
        <v>-366144.07999999996</v>
      </c>
      <c r="K76" s="112" t="s">
        <v>313</v>
      </c>
      <c r="L76" s="111" t="s">
        <v>910</v>
      </c>
      <c r="M76" s="117">
        <v>0</v>
      </c>
      <c r="N76" s="117">
        <v>-91938.72</v>
      </c>
      <c r="O76" s="117">
        <v>-94435.23</v>
      </c>
      <c r="P76" s="117">
        <v>-133827.49</v>
      </c>
      <c r="Q76" s="117">
        <v>-85363.56</v>
      </c>
      <c r="R76" s="117"/>
      <c r="S76" s="117">
        <f t="shared" si="18"/>
        <v>-405565</v>
      </c>
      <c r="T76" s="117">
        <v>-490304.94</v>
      </c>
      <c r="U76" s="115">
        <f t="shared" si="19"/>
        <v>84739.94</v>
      </c>
      <c r="Y76" s="115">
        <f t="shared" si="20"/>
        <v>0</v>
      </c>
      <c r="Z76" s="117">
        <v>-84739.94</v>
      </c>
      <c r="AA76" s="115">
        <f t="shared" si="21"/>
        <v>0</v>
      </c>
      <c r="AH76" s="79"/>
      <c r="AI76" s="79"/>
      <c r="AJ76" s="79">
        <v>-83472.490000000005</v>
      </c>
      <c r="AK76" s="79">
        <v>-84739.94</v>
      </c>
      <c r="AL76" s="79">
        <f t="shared" si="15"/>
        <v>-84739.94</v>
      </c>
      <c r="AN76" s="79">
        <v>-83472.490000000005</v>
      </c>
      <c r="AO76" s="79">
        <v>-84739.94</v>
      </c>
      <c r="AP76" s="79">
        <v>-91938.72</v>
      </c>
      <c r="AQ76" s="79">
        <v>-94435.23</v>
      </c>
      <c r="AR76" s="79">
        <v>-133827.49</v>
      </c>
      <c r="AS76" s="79">
        <f t="shared" si="16"/>
        <v>-488413.87</v>
      </c>
      <c r="BB76" s="103" t="s">
        <v>313</v>
      </c>
      <c r="BC76" s="101" t="s">
        <v>910</v>
      </c>
      <c r="BD76" s="117">
        <v>-91938.72</v>
      </c>
      <c r="BE76" s="117">
        <v>-94435.23</v>
      </c>
      <c r="BF76" s="117">
        <v>-133827.49</v>
      </c>
      <c r="BG76" s="117">
        <v>-85363.56</v>
      </c>
      <c r="BH76" s="129">
        <v>-52517.8</v>
      </c>
      <c r="BI76" s="128">
        <f t="shared" si="17"/>
        <v>-458082.8</v>
      </c>
      <c r="BM76" s="103" t="s">
        <v>313</v>
      </c>
      <c r="BN76" s="101" t="s">
        <v>910</v>
      </c>
      <c r="BO76" s="117">
        <v>0</v>
      </c>
      <c r="BP76" s="117">
        <v>-94435.23</v>
      </c>
      <c r="BQ76" s="117">
        <v>-133827.49</v>
      </c>
      <c r="BR76" s="117">
        <v>-85363.56</v>
      </c>
      <c r="BS76" s="129">
        <v>-52517.8</v>
      </c>
      <c r="BT76" s="129"/>
      <c r="BU76" s="128">
        <f t="shared" si="22"/>
        <v>-366144.07999999996</v>
      </c>
      <c r="BW76" s="115">
        <f t="shared" si="23"/>
        <v>-91938.72000000003</v>
      </c>
      <c r="BX76" s="117">
        <v>-91938.72</v>
      </c>
      <c r="BY76" s="117"/>
    </row>
    <row r="77" spans="2:83">
      <c r="B77" s="103" t="s">
        <v>315</v>
      </c>
      <c r="C77" s="101" t="s">
        <v>911</v>
      </c>
      <c r="D77" s="118">
        <v>-6631.64</v>
      </c>
      <c r="E77" s="118">
        <v>-17083.400000000001</v>
      </c>
      <c r="F77" s="118">
        <v>-34071.03</v>
      </c>
      <c r="G77" s="127">
        <v>-18247.009999999998</v>
      </c>
      <c r="H77" s="102">
        <f t="shared" si="14"/>
        <v>-76033.08</v>
      </c>
      <c r="K77" s="112" t="s">
        <v>315</v>
      </c>
      <c r="L77" s="111" t="s">
        <v>911</v>
      </c>
      <c r="M77" s="117">
        <v>0</v>
      </c>
      <c r="N77" s="117">
        <v>-10432.83</v>
      </c>
      <c r="O77" s="117">
        <v>-6631.64</v>
      </c>
      <c r="P77" s="117">
        <v>-17083.400000000001</v>
      </c>
      <c r="Q77" s="117">
        <v>-34071.03</v>
      </c>
      <c r="R77" s="117"/>
      <c r="S77" s="117">
        <f t="shared" si="18"/>
        <v>-68218.899999999994</v>
      </c>
      <c r="T77" s="117">
        <v>-96730.41</v>
      </c>
      <c r="U77" s="115">
        <f t="shared" si="19"/>
        <v>28511.510000000009</v>
      </c>
      <c r="Y77" s="115">
        <f t="shared" si="20"/>
        <v>0</v>
      </c>
      <c r="Z77" s="117">
        <v>-28511.509999999995</v>
      </c>
      <c r="AA77" s="115">
        <f t="shared" si="21"/>
        <v>0</v>
      </c>
      <c r="AH77" s="79"/>
      <c r="AI77" s="79"/>
      <c r="AJ77" s="79">
        <v>-26546.7</v>
      </c>
      <c r="AK77" s="79">
        <v>-28511.509999999995</v>
      </c>
      <c r="AL77" s="79">
        <f t="shared" si="15"/>
        <v>-28511.509999999995</v>
      </c>
      <c r="AN77" s="79">
        <v>-26546.7</v>
      </c>
      <c r="AO77" s="79">
        <v>-28511.509999999995</v>
      </c>
      <c r="AP77" s="79">
        <v>-10432.83</v>
      </c>
      <c r="AQ77" s="79">
        <v>-6631.64</v>
      </c>
      <c r="AR77" s="79">
        <v>-17083.400000000001</v>
      </c>
      <c r="AS77" s="79">
        <f t="shared" si="16"/>
        <v>-89206.079999999987</v>
      </c>
      <c r="BB77" s="103" t="s">
        <v>315</v>
      </c>
      <c r="BC77" s="101" t="s">
        <v>911</v>
      </c>
      <c r="BD77" s="117">
        <v>-10432.83</v>
      </c>
      <c r="BE77" s="117">
        <v>-6631.64</v>
      </c>
      <c r="BF77" s="117">
        <v>-17083.400000000001</v>
      </c>
      <c r="BG77" s="117">
        <v>-34071.03</v>
      </c>
      <c r="BH77" s="129">
        <v>-18247.009999999998</v>
      </c>
      <c r="BI77" s="128">
        <f t="shared" si="17"/>
        <v>-86465.909999999989</v>
      </c>
      <c r="BM77" s="103" t="s">
        <v>315</v>
      </c>
      <c r="BN77" s="101" t="s">
        <v>911</v>
      </c>
      <c r="BO77" s="117">
        <v>0</v>
      </c>
      <c r="BP77" s="117">
        <v>-6631.64</v>
      </c>
      <c r="BQ77" s="117">
        <v>-17083.400000000001</v>
      </c>
      <c r="BR77" s="117">
        <v>-34071.03</v>
      </c>
      <c r="BS77" s="129">
        <v>-18247.009999999998</v>
      </c>
      <c r="BT77" s="129"/>
      <c r="BU77" s="128">
        <f t="shared" si="22"/>
        <v>-76033.08</v>
      </c>
      <c r="BW77" s="115">
        <f t="shared" si="23"/>
        <v>-10432.829999999987</v>
      </c>
      <c r="BX77" s="117">
        <v>-10432.83</v>
      </c>
      <c r="BY77" s="117"/>
    </row>
    <row r="78" spans="2:83">
      <c r="B78" s="103" t="s">
        <v>317</v>
      </c>
      <c r="C78" s="101" t="s">
        <v>912</v>
      </c>
      <c r="D78" s="118">
        <v>-16032.83</v>
      </c>
      <c r="E78" s="118">
        <v>-17578.43</v>
      </c>
      <c r="F78" s="118">
        <v>-17732.07</v>
      </c>
      <c r="G78" s="127">
        <v>-18423.89</v>
      </c>
      <c r="H78" s="102">
        <f t="shared" si="14"/>
        <v>-69767.22</v>
      </c>
      <c r="K78" s="112" t="s">
        <v>317</v>
      </c>
      <c r="L78" s="111" t="s">
        <v>912</v>
      </c>
      <c r="M78" s="117">
        <v>0</v>
      </c>
      <c r="N78" s="117">
        <v>-14905.58</v>
      </c>
      <c r="O78" s="117">
        <v>-16032.83</v>
      </c>
      <c r="P78" s="117">
        <v>-17578.43</v>
      </c>
      <c r="Q78" s="117">
        <v>-17732.07</v>
      </c>
      <c r="R78" s="117"/>
      <c r="S78" s="117">
        <f t="shared" si="18"/>
        <v>-66248.91</v>
      </c>
      <c r="T78" s="117">
        <v>-99550.81</v>
      </c>
      <c r="U78" s="115">
        <f t="shared" si="19"/>
        <v>33301.899999999994</v>
      </c>
      <c r="Y78" s="115">
        <f t="shared" si="20"/>
        <v>0</v>
      </c>
      <c r="Z78" s="117">
        <v>-33301.89999999998</v>
      </c>
      <c r="AA78" s="115">
        <f t="shared" si="21"/>
        <v>0</v>
      </c>
      <c r="AH78" s="79"/>
      <c r="AI78" s="79"/>
      <c r="AJ78" s="79">
        <v>-12790.99</v>
      </c>
      <c r="AK78" s="79">
        <v>-33301.89999999998</v>
      </c>
      <c r="AL78" s="79">
        <f t="shared" si="15"/>
        <v>-33301.89999999998</v>
      </c>
      <c r="AN78" s="79">
        <v>-12790.99</v>
      </c>
      <c r="AO78" s="79">
        <v>-33301.89999999998</v>
      </c>
      <c r="AP78" s="79">
        <v>-14905.58</v>
      </c>
      <c r="AQ78" s="79">
        <v>-16032.83</v>
      </c>
      <c r="AR78" s="79">
        <v>-17578.43</v>
      </c>
      <c r="AS78" s="79">
        <f t="shared" si="16"/>
        <v>-94609.729999999981</v>
      </c>
      <c r="BB78" s="103" t="s">
        <v>317</v>
      </c>
      <c r="BC78" s="101" t="s">
        <v>912</v>
      </c>
      <c r="BD78" s="117">
        <v>-14905.58</v>
      </c>
      <c r="BE78" s="117">
        <v>-16032.83</v>
      </c>
      <c r="BF78" s="117">
        <v>-17578.43</v>
      </c>
      <c r="BG78" s="117">
        <v>-17732.07</v>
      </c>
      <c r="BH78" s="129">
        <v>-18423.89</v>
      </c>
      <c r="BI78" s="128">
        <f t="shared" si="17"/>
        <v>-84672.8</v>
      </c>
      <c r="BM78" s="103" t="s">
        <v>317</v>
      </c>
      <c r="BN78" s="101" t="s">
        <v>912</v>
      </c>
      <c r="BO78" s="117">
        <v>0</v>
      </c>
      <c r="BP78" s="117">
        <v>-16032.83</v>
      </c>
      <c r="BQ78" s="117">
        <v>-17578.43</v>
      </c>
      <c r="BR78" s="117">
        <v>-17732.07</v>
      </c>
      <c r="BS78" s="129">
        <v>-18423.89</v>
      </c>
      <c r="BT78" s="129"/>
      <c r="BU78" s="128">
        <f t="shared" si="22"/>
        <v>-69767.22</v>
      </c>
      <c r="BW78" s="115">
        <f t="shared" si="23"/>
        <v>-14905.580000000002</v>
      </c>
      <c r="BX78" s="117">
        <v>-14905.58</v>
      </c>
      <c r="BY78" s="117"/>
    </row>
    <row r="79" spans="2:83">
      <c r="B79" s="103" t="s">
        <v>319</v>
      </c>
      <c r="C79" s="101" t="s">
        <v>913</v>
      </c>
      <c r="D79" s="118">
        <v>-72949.33</v>
      </c>
      <c r="E79" s="118">
        <v>-61583.8</v>
      </c>
      <c r="F79" s="118">
        <v>-59011.06</v>
      </c>
      <c r="G79" s="127">
        <v>-149934.04</v>
      </c>
      <c r="H79" s="102">
        <f t="shared" si="14"/>
        <v>-343478.23</v>
      </c>
      <c r="K79" s="112" t="s">
        <v>319</v>
      </c>
      <c r="L79" s="111" t="s">
        <v>913</v>
      </c>
      <c r="M79" s="117">
        <v>0</v>
      </c>
      <c r="N79" s="117">
        <v>-58523.51</v>
      </c>
      <c r="O79" s="117">
        <v>-72949.33</v>
      </c>
      <c r="P79" s="117">
        <v>-61583.8</v>
      </c>
      <c r="Q79" s="117">
        <v>-59011.06</v>
      </c>
      <c r="R79" s="117"/>
      <c r="S79" s="117">
        <f t="shared" si="18"/>
        <v>-252067.7</v>
      </c>
      <c r="T79" s="117">
        <v>-315145.58000000007</v>
      </c>
      <c r="U79" s="115">
        <f t="shared" si="19"/>
        <v>63077.880000000063</v>
      </c>
      <c r="Y79" s="115">
        <f t="shared" si="20"/>
        <v>0</v>
      </c>
      <c r="Z79" s="117">
        <v>-63077.880000000077</v>
      </c>
      <c r="AA79" s="115">
        <f t="shared" si="21"/>
        <v>0</v>
      </c>
      <c r="AH79" s="79"/>
      <c r="AI79" s="79"/>
      <c r="AJ79" s="79">
        <v>-68881.56</v>
      </c>
      <c r="AK79" s="79">
        <v>-63077.880000000077</v>
      </c>
      <c r="AL79" s="79">
        <f t="shared" si="15"/>
        <v>-63077.880000000077</v>
      </c>
      <c r="AN79" s="79">
        <v>-68881.56</v>
      </c>
      <c r="AO79" s="79">
        <v>-63077.880000000077</v>
      </c>
      <c r="AP79" s="79">
        <v>-58523.51</v>
      </c>
      <c r="AQ79" s="79">
        <v>-72949.33</v>
      </c>
      <c r="AR79" s="79">
        <v>-61583.8</v>
      </c>
      <c r="AS79" s="79">
        <f t="shared" si="16"/>
        <v>-325016.08000000007</v>
      </c>
      <c r="BB79" s="103" t="s">
        <v>319</v>
      </c>
      <c r="BC79" s="101" t="s">
        <v>913</v>
      </c>
      <c r="BD79" s="117">
        <v>-58523.51</v>
      </c>
      <c r="BE79" s="117">
        <v>-72949.33</v>
      </c>
      <c r="BF79" s="117">
        <v>-61583.8</v>
      </c>
      <c r="BG79" s="117">
        <v>-59011.06</v>
      </c>
      <c r="BH79" s="129">
        <v>-149934.04</v>
      </c>
      <c r="BI79" s="128">
        <f t="shared" si="17"/>
        <v>-402001.74</v>
      </c>
      <c r="BM79" s="103" t="s">
        <v>319</v>
      </c>
      <c r="BN79" s="101" t="s">
        <v>913</v>
      </c>
      <c r="BO79" s="117">
        <v>0</v>
      </c>
      <c r="BP79" s="117">
        <v>-72949.33</v>
      </c>
      <c r="BQ79" s="117">
        <v>-61583.8</v>
      </c>
      <c r="BR79" s="117">
        <v>-59011.06</v>
      </c>
      <c r="BS79" s="129">
        <v>-149934.04</v>
      </c>
      <c r="BT79" s="129"/>
      <c r="BU79" s="128">
        <f t="shared" si="22"/>
        <v>-343478.23</v>
      </c>
      <c r="BW79" s="115">
        <f t="shared" si="23"/>
        <v>-58523.510000000009</v>
      </c>
      <c r="BX79" s="117">
        <v>-58523.51</v>
      </c>
      <c r="BY79" s="117"/>
    </row>
    <row r="80" spans="2:83">
      <c r="B80" s="103" t="s">
        <v>321</v>
      </c>
      <c r="C80" s="101" t="s">
        <v>914</v>
      </c>
      <c r="D80" s="118">
        <v>-65503.8</v>
      </c>
      <c r="E80" s="118">
        <v>-72403.98</v>
      </c>
      <c r="F80" s="118">
        <v>-61938.400000000001</v>
      </c>
      <c r="G80" s="127">
        <v>-158464.60999999999</v>
      </c>
      <c r="H80" s="102">
        <f t="shared" si="14"/>
        <v>-358310.79</v>
      </c>
      <c r="K80" s="112" t="s">
        <v>321</v>
      </c>
      <c r="L80" s="111" t="s">
        <v>914</v>
      </c>
      <c r="M80" s="117">
        <v>0</v>
      </c>
      <c r="N80" s="117">
        <v>-34332.83</v>
      </c>
      <c r="O80" s="117">
        <v>-65503.8</v>
      </c>
      <c r="P80" s="117">
        <v>-72403.98</v>
      </c>
      <c r="Q80" s="117">
        <v>-61938.400000000001</v>
      </c>
      <c r="R80" s="117"/>
      <c r="S80" s="117">
        <f t="shared" si="18"/>
        <v>-234179.00999999998</v>
      </c>
      <c r="T80" s="117">
        <v>-275312.54000000004</v>
      </c>
      <c r="U80" s="115">
        <f t="shared" si="19"/>
        <v>41133.530000000057</v>
      </c>
      <c r="Y80" s="115">
        <f t="shared" si="20"/>
        <v>0</v>
      </c>
      <c r="Z80" s="117">
        <v>-41133.530000000028</v>
      </c>
      <c r="AA80" s="115">
        <f t="shared" si="21"/>
        <v>0</v>
      </c>
      <c r="AH80" s="79"/>
      <c r="AI80" s="79"/>
      <c r="AJ80" s="79">
        <v>-70077.210000000006</v>
      </c>
      <c r="AK80" s="79">
        <v>-41133.530000000028</v>
      </c>
      <c r="AL80" s="79">
        <f t="shared" si="15"/>
        <v>-41133.530000000028</v>
      </c>
      <c r="AN80" s="79">
        <v>-70077.210000000006</v>
      </c>
      <c r="AO80" s="79">
        <v>-41133.530000000028</v>
      </c>
      <c r="AP80" s="79">
        <v>-34332.83</v>
      </c>
      <c r="AQ80" s="79">
        <v>-65503.8</v>
      </c>
      <c r="AR80" s="79">
        <v>-72403.98</v>
      </c>
      <c r="AS80" s="79">
        <f t="shared" si="16"/>
        <v>-283451.35000000003</v>
      </c>
      <c r="BB80" s="103" t="s">
        <v>321</v>
      </c>
      <c r="BC80" s="101" t="s">
        <v>914</v>
      </c>
      <c r="BD80" s="117">
        <v>-34332.83</v>
      </c>
      <c r="BE80" s="117">
        <v>-65503.8</v>
      </c>
      <c r="BF80" s="117">
        <v>-72403.98</v>
      </c>
      <c r="BG80" s="117">
        <v>-61938.400000000001</v>
      </c>
      <c r="BH80" s="129">
        <v>-158464.60999999999</v>
      </c>
      <c r="BI80" s="128">
        <f t="shared" si="17"/>
        <v>-392643.62</v>
      </c>
      <c r="BM80" s="103" t="s">
        <v>321</v>
      </c>
      <c r="BN80" s="101" t="s">
        <v>914</v>
      </c>
      <c r="BO80" s="117">
        <v>0</v>
      </c>
      <c r="BP80" s="117">
        <v>-65503.8</v>
      </c>
      <c r="BQ80" s="117">
        <v>-72403.98</v>
      </c>
      <c r="BR80" s="117">
        <v>-61938.400000000001</v>
      </c>
      <c r="BS80" s="129">
        <v>-158464.60999999999</v>
      </c>
      <c r="BT80" s="129"/>
      <c r="BU80" s="128">
        <f t="shared" si="22"/>
        <v>-358310.79</v>
      </c>
      <c r="BW80" s="115">
        <f t="shared" si="23"/>
        <v>-34332.830000000016</v>
      </c>
      <c r="BX80" s="117">
        <v>-34332.83</v>
      </c>
      <c r="BY80" s="117"/>
    </row>
    <row r="81" spans="2:85">
      <c r="B81" s="103" t="s">
        <v>323</v>
      </c>
      <c r="C81" s="101" t="s">
        <v>915</v>
      </c>
      <c r="D81" s="118">
        <v>-47951.64</v>
      </c>
      <c r="E81" s="118">
        <v>-57423.57</v>
      </c>
      <c r="F81" s="118">
        <v>-70541.759999999995</v>
      </c>
      <c r="G81" s="127">
        <v>-86944.52</v>
      </c>
      <c r="H81" s="102">
        <f t="shared" si="14"/>
        <v>-262861.49</v>
      </c>
      <c r="K81" s="112" t="s">
        <v>323</v>
      </c>
      <c r="L81" s="111" t="s">
        <v>915</v>
      </c>
      <c r="M81" s="117">
        <v>0</v>
      </c>
      <c r="N81" s="117">
        <v>-61255.58</v>
      </c>
      <c r="O81" s="117">
        <v>-47951.64</v>
      </c>
      <c r="P81" s="117">
        <v>-57423.57</v>
      </c>
      <c r="Q81" s="117">
        <v>-70541.759999999995</v>
      </c>
      <c r="R81" s="117"/>
      <c r="S81" s="117">
        <f t="shared" si="18"/>
        <v>-237172.55</v>
      </c>
      <c r="T81" s="117">
        <v>-279740.8000000001</v>
      </c>
      <c r="U81" s="115">
        <f t="shared" si="19"/>
        <v>42568.250000000116</v>
      </c>
      <c r="Y81" s="115">
        <f t="shared" si="20"/>
        <v>0</v>
      </c>
      <c r="Z81" s="117">
        <v>-42568.250000000116</v>
      </c>
      <c r="AA81" s="115">
        <f t="shared" si="21"/>
        <v>0</v>
      </c>
      <c r="AH81" s="79"/>
      <c r="AI81" s="79"/>
      <c r="AJ81" s="79">
        <v>-66090.98</v>
      </c>
      <c r="AK81" s="79">
        <v>-42568.250000000116</v>
      </c>
      <c r="AL81" s="79">
        <f t="shared" si="15"/>
        <v>-42568.250000000116</v>
      </c>
      <c r="AN81" s="79">
        <v>-66090.98</v>
      </c>
      <c r="AO81" s="79">
        <v>-42568.250000000116</v>
      </c>
      <c r="AP81" s="79">
        <v>-61255.58</v>
      </c>
      <c r="AQ81" s="79">
        <v>-47951.64</v>
      </c>
      <c r="AR81" s="79">
        <v>-57423.57</v>
      </c>
      <c r="AS81" s="79">
        <f t="shared" si="16"/>
        <v>-275290.02000000014</v>
      </c>
      <c r="BB81" s="103" t="s">
        <v>323</v>
      </c>
      <c r="BC81" s="101" t="s">
        <v>915</v>
      </c>
      <c r="BD81" s="117">
        <v>-61255.58</v>
      </c>
      <c r="BE81" s="117">
        <v>-47951.64</v>
      </c>
      <c r="BF81" s="117">
        <v>-57423.57</v>
      </c>
      <c r="BG81" s="117">
        <v>-70541.759999999995</v>
      </c>
      <c r="BH81" s="129">
        <v>-86944.52</v>
      </c>
      <c r="BI81" s="128">
        <f t="shared" si="17"/>
        <v>-324117.07</v>
      </c>
      <c r="BM81" s="103" t="s">
        <v>323</v>
      </c>
      <c r="BN81" s="101" t="s">
        <v>915</v>
      </c>
      <c r="BO81" s="117">
        <v>0</v>
      </c>
      <c r="BP81" s="117">
        <v>-47951.64</v>
      </c>
      <c r="BQ81" s="117">
        <v>-57423.57</v>
      </c>
      <c r="BR81" s="117">
        <v>-70541.759999999995</v>
      </c>
      <c r="BS81" s="129">
        <v>-86944.52</v>
      </c>
      <c r="BT81" s="129"/>
      <c r="BU81" s="128">
        <f t="shared" si="22"/>
        <v>-262861.49</v>
      </c>
      <c r="BW81" s="115">
        <f t="shared" si="23"/>
        <v>-61255.580000000016</v>
      </c>
      <c r="BX81" s="117">
        <v>-61255.58</v>
      </c>
      <c r="BY81" s="117"/>
    </row>
    <row r="82" spans="2:85">
      <c r="B82" s="103" t="s">
        <v>325</v>
      </c>
      <c r="C82" s="101" t="s">
        <v>916</v>
      </c>
      <c r="D82" s="118">
        <v>-270665.15999999997</v>
      </c>
      <c r="E82" s="118">
        <v>-254568.51</v>
      </c>
      <c r="F82" s="118">
        <v>-298034.40000000002</v>
      </c>
      <c r="G82" s="127">
        <v>-433519.92</v>
      </c>
      <c r="H82" s="102">
        <f t="shared" si="14"/>
        <v>-1256787.99</v>
      </c>
      <c r="K82" s="112" t="s">
        <v>325</v>
      </c>
      <c r="L82" s="111" t="s">
        <v>916</v>
      </c>
      <c r="M82" s="117">
        <v>0</v>
      </c>
      <c r="N82" s="117">
        <v>-181903.22</v>
      </c>
      <c r="O82" s="117">
        <v>-270665.15999999997</v>
      </c>
      <c r="P82" s="117">
        <v>-254568.51</v>
      </c>
      <c r="Q82" s="117">
        <v>-298034.40000000002</v>
      </c>
      <c r="R82" s="117"/>
      <c r="S82" s="117">
        <f t="shared" si="18"/>
        <v>-1005171.29</v>
      </c>
      <c r="T82" s="117">
        <v>-1153431.9600000009</v>
      </c>
      <c r="U82" s="115">
        <f t="shared" si="19"/>
        <v>148260.67000000086</v>
      </c>
      <c r="Y82" s="115">
        <f t="shared" si="20"/>
        <v>0</v>
      </c>
      <c r="Z82" s="117">
        <v>-148260.67000000086</v>
      </c>
      <c r="AA82" s="115">
        <f t="shared" si="21"/>
        <v>0</v>
      </c>
      <c r="AH82" s="79"/>
      <c r="AI82" s="79"/>
      <c r="AJ82" s="79">
        <v>-132616.21</v>
      </c>
      <c r="AK82" s="79">
        <v>-148260.67000000086</v>
      </c>
      <c r="AL82" s="79">
        <f t="shared" si="15"/>
        <v>-148260.67000000086</v>
      </c>
      <c r="AN82" s="79">
        <v>-132616.21</v>
      </c>
      <c r="AO82" s="79">
        <v>-148260.67000000086</v>
      </c>
      <c r="AP82" s="79">
        <v>-181903.22</v>
      </c>
      <c r="AQ82" s="79">
        <v>-270665.15999999997</v>
      </c>
      <c r="AR82" s="79">
        <v>-254568.51</v>
      </c>
      <c r="AS82" s="79">
        <f t="shared" si="16"/>
        <v>-988013.77000000072</v>
      </c>
      <c r="BB82" s="103" t="s">
        <v>325</v>
      </c>
      <c r="BC82" s="101" t="s">
        <v>916</v>
      </c>
      <c r="BD82" s="117">
        <v>-181903.22</v>
      </c>
      <c r="BE82" s="117">
        <v>-270665.15999999997</v>
      </c>
      <c r="BF82" s="117">
        <v>-254568.51</v>
      </c>
      <c r="BG82" s="117">
        <v>-298034.40000000002</v>
      </c>
      <c r="BH82" s="129">
        <v>-433519.92</v>
      </c>
      <c r="BI82" s="128">
        <f t="shared" si="17"/>
        <v>-1438691.21</v>
      </c>
      <c r="BM82" s="103" t="s">
        <v>325</v>
      </c>
      <c r="BN82" s="101" t="s">
        <v>916</v>
      </c>
      <c r="BO82" s="117">
        <v>0</v>
      </c>
      <c r="BP82" s="117">
        <v>-270665.15999999997</v>
      </c>
      <c r="BQ82" s="117">
        <v>-254568.51</v>
      </c>
      <c r="BR82" s="117">
        <v>-298034.40000000002</v>
      </c>
      <c r="BS82" s="129">
        <v>-433519.92</v>
      </c>
      <c r="BT82" s="129"/>
      <c r="BU82" s="128">
        <f t="shared" si="22"/>
        <v>-1256787.99</v>
      </c>
      <c r="BW82" s="115">
        <f t="shared" si="23"/>
        <v>-181903.21999999997</v>
      </c>
      <c r="BX82" s="117">
        <v>-181903.22</v>
      </c>
      <c r="BY82" s="117"/>
    </row>
    <row r="83" spans="2:85">
      <c r="B83" s="103" t="s">
        <v>327</v>
      </c>
      <c r="C83" s="101" t="s">
        <v>917</v>
      </c>
      <c r="D83" s="118">
        <v>-131283.70000000001</v>
      </c>
      <c r="E83" s="118">
        <v>-97978.05</v>
      </c>
      <c r="F83" s="118">
        <v>-38342.959999999999</v>
      </c>
      <c r="G83" s="127">
        <v>-18481.32</v>
      </c>
      <c r="H83" s="102">
        <f t="shared" si="14"/>
        <v>-286086.03000000003</v>
      </c>
      <c r="K83" s="112" t="s">
        <v>327</v>
      </c>
      <c r="L83" s="111" t="s">
        <v>917</v>
      </c>
      <c r="M83" s="117">
        <v>0</v>
      </c>
      <c r="N83" s="117">
        <v>-53851.76</v>
      </c>
      <c r="O83" s="117">
        <v>-131283.70000000001</v>
      </c>
      <c r="P83" s="117">
        <v>-97978.05</v>
      </c>
      <c r="Q83" s="117">
        <v>-38342.959999999999</v>
      </c>
      <c r="R83" s="117"/>
      <c r="S83" s="117">
        <f t="shared" si="18"/>
        <v>-321456.47000000003</v>
      </c>
      <c r="T83" s="117">
        <v>-368836.72</v>
      </c>
      <c r="U83" s="115">
        <f t="shared" si="19"/>
        <v>47380.249999999942</v>
      </c>
      <c r="Y83" s="115">
        <f t="shared" si="20"/>
        <v>0</v>
      </c>
      <c r="Z83" s="117">
        <v>-47380.249999999942</v>
      </c>
      <c r="AA83" s="115">
        <f t="shared" si="21"/>
        <v>0</v>
      </c>
      <c r="AH83" s="79"/>
      <c r="AI83" s="79"/>
      <c r="AJ83" s="79">
        <v>-52632.86</v>
      </c>
      <c r="AK83" s="79">
        <v>-47380.249999999942</v>
      </c>
      <c r="AL83" s="79">
        <f t="shared" si="15"/>
        <v>-47380.249999999942</v>
      </c>
      <c r="AN83" s="79">
        <v>-52632.86</v>
      </c>
      <c r="AO83" s="79">
        <v>-47380.249999999942</v>
      </c>
      <c r="AP83" s="79">
        <v>-53851.76</v>
      </c>
      <c r="AQ83" s="79">
        <v>-131283.70000000001</v>
      </c>
      <c r="AR83" s="79">
        <v>-97978.05</v>
      </c>
      <c r="AS83" s="79">
        <f t="shared" si="16"/>
        <v>-383126.61999999994</v>
      </c>
      <c r="BB83" s="103" t="s">
        <v>327</v>
      </c>
      <c r="BC83" s="101" t="s">
        <v>917</v>
      </c>
      <c r="BD83" s="117">
        <v>-53851.76</v>
      </c>
      <c r="BE83" s="117">
        <v>-131283.70000000001</v>
      </c>
      <c r="BF83" s="117">
        <v>-97978.05</v>
      </c>
      <c r="BG83" s="117">
        <v>-38342.959999999999</v>
      </c>
      <c r="BH83" s="129">
        <v>-18481.32</v>
      </c>
      <c r="BI83" s="128">
        <f t="shared" si="17"/>
        <v>-339937.79000000004</v>
      </c>
      <c r="BM83" s="103" t="s">
        <v>327</v>
      </c>
      <c r="BN83" s="101" t="s">
        <v>917</v>
      </c>
      <c r="BO83" s="117">
        <v>0</v>
      </c>
      <c r="BP83" s="117">
        <v>-131283.70000000001</v>
      </c>
      <c r="BQ83" s="117">
        <v>-97978.05</v>
      </c>
      <c r="BR83" s="117">
        <v>-38342.959999999999</v>
      </c>
      <c r="BS83" s="129">
        <v>-18481.32</v>
      </c>
      <c r="BT83" s="129"/>
      <c r="BU83" s="128">
        <f t="shared" si="22"/>
        <v>-286086.03000000003</v>
      </c>
      <c r="BW83" s="115">
        <f t="shared" si="23"/>
        <v>-53851.760000000009</v>
      </c>
      <c r="BX83" s="117">
        <v>-53851.76</v>
      </c>
      <c r="BY83" s="117"/>
    </row>
    <row r="84" spans="2:85">
      <c r="B84" s="103" t="s">
        <v>329</v>
      </c>
      <c r="C84" s="101" t="s">
        <v>918</v>
      </c>
      <c r="D84" s="118">
        <v>-290663.90999999997</v>
      </c>
      <c r="E84" s="118">
        <v>-276891.43</v>
      </c>
      <c r="F84" s="118">
        <v>-259007</v>
      </c>
      <c r="G84" s="127">
        <v>-309810.11</v>
      </c>
      <c r="H84" s="102">
        <f t="shared" si="14"/>
        <v>-1136372.45</v>
      </c>
      <c r="K84" s="112" t="s">
        <v>329</v>
      </c>
      <c r="L84" s="111" t="s">
        <v>918</v>
      </c>
      <c r="M84" s="117">
        <v>0</v>
      </c>
      <c r="N84" s="117">
        <v>-294660.8</v>
      </c>
      <c r="O84" s="117">
        <v>-290663.90999999997</v>
      </c>
      <c r="P84" s="117">
        <v>-276891.43</v>
      </c>
      <c r="Q84" s="117">
        <v>-259007</v>
      </c>
      <c r="R84" s="117"/>
      <c r="S84" s="117">
        <f t="shared" si="18"/>
        <v>-1121223.1399999999</v>
      </c>
      <c r="T84" s="117">
        <v>-1397118.8300000003</v>
      </c>
      <c r="U84" s="115">
        <f t="shared" si="19"/>
        <v>275895.69000000041</v>
      </c>
      <c r="Y84" s="115">
        <f t="shared" si="20"/>
        <v>0</v>
      </c>
      <c r="Z84" s="117">
        <v>-275895.69000000041</v>
      </c>
      <c r="AA84" s="115">
        <f t="shared" si="21"/>
        <v>0</v>
      </c>
      <c r="AH84" s="79"/>
      <c r="AI84" s="79"/>
      <c r="AJ84" s="79">
        <v>-289764.44</v>
      </c>
      <c r="AK84" s="79">
        <v>-275895.69000000041</v>
      </c>
      <c r="AL84" s="79">
        <f t="shared" si="15"/>
        <v>-275895.69000000041</v>
      </c>
      <c r="AN84" s="79">
        <v>-289764.44</v>
      </c>
      <c r="AO84" s="79">
        <v>-275895.69000000041</v>
      </c>
      <c r="AP84" s="79">
        <v>-294660.8</v>
      </c>
      <c r="AQ84" s="79">
        <v>-290663.90999999997</v>
      </c>
      <c r="AR84" s="79">
        <v>-276891.43</v>
      </c>
      <c r="AS84" s="79">
        <f t="shared" si="16"/>
        <v>-1427876.2700000003</v>
      </c>
      <c r="BB84" s="103" t="s">
        <v>329</v>
      </c>
      <c r="BC84" s="101" t="s">
        <v>918</v>
      </c>
      <c r="BD84" s="117">
        <v>-294660.8</v>
      </c>
      <c r="BE84" s="117">
        <v>-290663.90999999997</v>
      </c>
      <c r="BF84" s="117">
        <v>-276891.43</v>
      </c>
      <c r="BG84" s="117">
        <v>-259007</v>
      </c>
      <c r="BH84" s="129">
        <v>-309810.11</v>
      </c>
      <c r="BI84" s="128">
        <f t="shared" si="17"/>
        <v>-1431033.25</v>
      </c>
      <c r="BM84" s="103" t="s">
        <v>329</v>
      </c>
      <c r="BN84" s="101" t="s">
        <v>918</v>
      </c>
      <c r="BO84" s="117">
        <v>0</v>
      </c>
      <c r="BP84" s="117">
        <v>-290663.90999999997</v>
      </c>
      <c r="BQ84" s="117">
        <v>-276891.43</v>
      </c>
      <c r="BR84" s="117">
        <v>-259007</v>
      </c>
      <c r="BS84" s="129">
        <v>-309810.11</v>
      </c>
      <c r="BT84" s="129"/>
      <c r="BU84" s="128">
        <f t="shared" si="22"/>
        <v>-1136372.45</v>
      </c>
      <c r="BW84" s="115">
        <f t="shared" si="23"/>
        <v>-294660.80000000005</v>
      </c>
      <c r="BX84" s="117">
        <v>-294660.8</v>
      </c>
      <c r="BY84" s="117"/>
    </row>
    <row r="85" spans="2:85">
      <c r="B85" s="103" t="s">
        <v>331</v>
      </c>
      <c r="C85" s="101" t="s">
        <v>919</v>
      </c>
      <c r="D85" s="118">
        <v>-79624.89</v>
      </c>
      <c r="E85" s="118">
        <v>-82385.259999999995</v>
      </c>
      <c r="F85" s="118">
        <v>-76894.53</v>
      </c>
      <c r="G85" s="127">
        <v>-105990.63</v>
      </c>
      <c r="H85" s="102">
        <f t="shared" si="14"/>
        <v>-344895.31</v>
      </c>
      <c r="K85" s="112" t="s">
        <v>331</v>
      </c>
      <c r="L85" s="111" t="s">
        <v>919</v>
      </c>
      <c r="M85" s="117">
        <v>0</v>
      </c>
      <c r="N85" s="117">
        <v>-88935.86</v>
      </c>
      <c r="O85" s="117">
        <v>-79624.89</v>
      </c>
      <c r="P85" s="117">
        <v>-82385.259999999995</v>
      </c>
      <c r="Q85" s="117">
        <v>-76894.53</v>
      </c>
      <c r="R85" s="117"/>
      <c r="S85" s="117">
        <f t="shared" si="18"/>
        <v>-327840.54000000004</v>
      </c>
      <c r="T85" s="117">
        <v>-418237.52</v>
      </c>
      <c r="U85" s="115">
        <f t="shared" si="19"/>
        <v>90396.979999999981</v>
      </c>
      <c r="Y85" s="115">
        <f t="shared" si="20"/>
        <v>0</v>
      </c>
      <c r="Z85" s="117">
        <v>-90396.98000000001</v>
      </c>
      <c r="AA85" s="115">
        <f t="shared" si="21"/>
        <v>0</v>
      </c>
      <c r="AH85" s="79"/>
      <c r="AI85" s="79"/>
      <c r="AJ85" s="79">
        <v>-73572.789999999994</v>
      </c>
      <c r="AK85" s="79">
        <v>-90396.98000000001</v>
      </c>
      <c r="AL85" s="79">
        <f t="shared" si="15"/>
        <v>-90396.98000000001</v>
      </c>
      <c r="AN85" s="79">
        <v>-73572.789999999994</v>
      </c>
      <c r="AO85" s="79">
        <v>-90396.98000000001</v>
      </c>
      <c r="AP85" s="79">
        <v>-88935.86</v>
      </c>
      <c r="AQ85" s="79">
        <v>-79624.89</v>
      </c>
      <c r="AR85" s="79">
        <v>-82385.259999999995</v>
      </c>
      <c r="AS85" s="79">
        <f t="shared" si="16"/>
        <v>-414915.78</v>
      </c>
      <c r="BB85" s="103" t="s">
        <v>331</v>
      </c>
      <c r="BC85" s="101" t="s">
        <v>919</v>
      </c>
      <c r="BD85" s="117">
        <v>-88935.86</v>
      </c>
      <c r="BE85" s="117">
        <v>-79624.89</v>
      </c>
      <c r="BF85" s="117">
        <v>-82385.259999999995</v>
      </c>
      <c r="BG85" s="117">
        <v>-76894.53</v>
      </c>
      <c r="BH85" s="129">
        <v>-105990.63</v>
      </c>
      <c r="BI85" s="128">
        <f t="shared" si="17"/>
        <v>-433831.17000000004</v>
      </c>
      <c r="BM85" s="103" t="s">
        <v>331</v>
      </c>
      <c r="BN85" s="101" t="s">
        <v>919</v>
      </c>
      <c r="BO85" s="117">
        <v>0</v>
      </c>
      <c r="BP85" s="117">
        <v>-79624.89</v>
      </c>
      <c r="BQ85" s="117">
        <v>-82385.259999999995</v>
      </c>
      <c r="BR85" s="117">
        <v>-76894.53</v>
      </c>
      <c r="BS85" s="129">
        <v>-105990.63</v>
      </c>
      <c r="BT85" s="129"/>
      <c r="BU85" s="128">
        <f t="shared" si="22"/>
        <v>-344895.31</v>
      </c>
      <c r="BW85" s="115">
        <f t="shared" si="23"/>
        <v>-88935.860000000044</v>
      </c>
      <c r="BX85" s="117">
        <v>-88935.86</v>
      </c>
      <c r="BY85" s="117"/>
    </row>
    <row r="86" spans="2:85">
      <c r="B86" s="103" t="s">
        <v>333</v>
      </c>
      <c r="C86" s="101" t="s">
        <v>920</v>
      </c>
      <c r="D86" s="118">
        <v>-27216.82</v>
      </c>
      <c r="E86" s="118">
        <v>-22100.71</v>
      </c>
      <c r="F86" s="118">
        <v>-28016.9</v>
      </c>
      <c r="G86" s="127">
        <v>-36493.35</v>
      </c>
      <c r="H86" s="102">
        <f t="shared" si="14"/>
        <v>-113827.78</v>
      </c>
      <c r="K86" s="112" t="s">
        <v>333</v>
      </c>
      <c r="L86" s="111" t="s">
        <v>920</v>
      </c>
      <c r="M86" s="117">
        <v>0</v>
      </c>
      <c r="N86" s="117">
        <v>-43099.42</v>
      </c>
      <c r="O86" s="117">
        <v>-27216.82</v>
      </c>
      <c r="P86" s="117">
        <v>-22100.71</v>
      </c>
      <c r="Q86" s="117">
        <v>-28016.9</v>
      </c>
      <c r="R86" s="117"/>
      <c r="S86" s="117">
        <f t="shared" si="18"/>
        <v>-120433.84999999998</v>
      </c>
      <c r="T86" s="117">
        <v>-148987.35999999999</v>
      </c>
      <c r="U86" s="115">
        <f t="shared" si="19"/>
        <v>28553.510000000009</v>
      </c>
      <c r="Y86" s="115">
        <f t="shared" si="20"/>
        <v>0</v>
      </c>
      <c r="Z86" s="117">
        <v>-28553.509999999995</v>
      </c>
      <c r="AA86" s="115">
        <f t="shared" si="21"/>
        <v>0</v>
      </c>
      <c r="AH86" s="79"/>
      <c r="AI86" s="79"/>
      <c r="AJ86" s="79">
        <v>-34968.53</v>
      </c>
      <c r="AK86" s="79">
        <v>-28553.509999999995</v>
      </c>
      <c r="AL86" s="79">
        <f t="shared" si="15"/>
        <v>-28553.509999999995</v>
      </c>
      <c r="AN86" s="79">
        <v>-34968.53</v>
      </c>
      <c r="AO86" s="79">
        <v>-28553.509999999995</v>
      </c>
      <c r="AP86" s="79">
        <v>-43099.42</v>
      </c>
      <c r="AQ86" s="79">
        <v>-27216.82</v>
      </c>
      <c r="AR86" s="79">
        <v>-22100.71</v>
      </c>
      <c r="AS86" s="79">
        <f t="shared" si="16"/>
        <v>-155938.99</v>
      </c>
      <c r="BB86" s="103" t="s">
        <v>333</v>
      </c>
      <c r="BC86" s="101" t="s">
        <v>920</v>
      </c>
      <c r="BD86" s="117">
        <v>-43099.42</v>
      </c>
      <c r="BE86" s="117">
        <v>-27216.82</v>
      </c>
      <c r="BF86" s="117">
        <v>-22100.71</v>
      </c>
      <c r="BG86" s="117">
        <v>-28016.9</v>
      </c>
      <c r="BH86" s="129">
        <v>-36493.35</v>
      </c>
      <c r="BI86" s="128">
        <f t="shared" si="17"/>
        <v>-156927.19999999998</v>
      </c>
      <c r="BM86" s="103" t="s">
        <v>333</v>
      </c>
      <c r="BN86" s="101" t="s">
        <v>920</v>
      </c>
      <c r="BO86" s="117">
        <v>0</v>
      </c>
      <c r="BP86" s="117">
        <v>-27216.82</v>
      </c>
      <c r="BQ86" s="117">
        <v>-22100.71</v>
      </c>
      <c r="BR86" s="117">
        <v>-28016.9</v>
      </c>
      <c r="BS86" s="129">
        <v>-36493.35</v>
      </c>
      <c r="BT86" s="129"/>
      <c r="BU86" s="128">
        <f t="shared" si="22"/>
        <v>-113827.78</v>
      </c>
      <c r="BW86" s="115">
        <f t="shared" si="23"/>
        <v>-43099.419999999984</v>
      </c>
      <c r="BX86" s="117">
        <v>-43099.42</v>
      </c>
      <c r="BY86" s="117"/>
    </row>
    <row r="87" spans="2:85">
      <c r="B87" s="103" t="s">
        <v>335</v>
      </c>
      <c r="C87" s="101" t="s">
        <v>921</v>
      </c>
      <c r="D87" s="118">
        <v>-30703.72</v>
      </c>
      <c r="E87" s="118">
        <v>-27461.75</v>
      </c>
      <c r="F87" s="118">
        <v>-39387.5</v>
      </c>
      <c r="G87" s="127">
        <v>-40000.870000000003</v>
      </c>
      <c r="H87" s="102">
        <f t="shared" si="14"/>
        <v>-137553.84</v>
      </c>
      <c r="K87" s="112" t="s">
        <v>335</v>
      </c>
      <c r="L87" s="111" t="s">
        <v>921</v>
      </c>
      <c r="M87" s="117">
        <v>0</v>
      </c>
      <c r="N87" s="117">
        <v>-38822.94</v>
      </c>
      <c r="O87" s="117">
        <v>-30703.72</v>
      </c>
      <c r="P87" s="117">
        <v>-27461.75</v>
      </c>
      <c r="Q87" s="117">
        <v>-39387.5</v>
      </c>
      <c r="R87" s="117"/>
      <c r="S87" s="117">
        <f t="shared" si="18"/>
        <v>-136375.91</v>
      </c>
      <c r="T87" s="117">
        <v>-164384.17999999993</v>
      </c>
      <c r="U87" s="115">
        <f t="shared" si="19"/>
        <v>28008.269999999931</v>
      </c>
      <c r="Y87" s="115">
        <f t="shared" si="20"/>
        <v>0</v>
      </c>
      <c r="Z87" s="117">
        <v>-28008.269999999931</v>
      </c>
      <c r="AA87" s="115">
        <f t="shared" si="21"/>
        <v>0</v>
      </c>
      <c r="AH87" s="79"/>
      <c r="AI87" s="79"/>
      <c r="AJ87" s="79">
        <v>-29454.03</v>
      </c>
      <c r="AK87" s="79">
        <v>-28008.269999999931</v>
      </c>
      <c r="AL87" s="79">
        <f t="shared" si="15"/>
        <v>-28008.269999999931</v>
      </c>
      <c r="AN87" s="79">
        <v>-29454.03</v>
      </c>
      <c r="AO87" s="79">
        <v>-28008.269999999931</v>
      </c>
      <c r="AP87" s="79">
        <v>-38822.94</v>
      </c>
      <c r="AQ87" s="79">
        <v>-30703.72</v>
      </c>
      <c r="AR87" s="79">
        <v>-27461.75</v>
      </c>
      <c r="AS87" s="79">
        <f t="shared" si="16"/>
        <v>-154450.70999999993</v>
      </c>
      <c r="BB87" s="103" t="s">
        <v>335</v>
      </c>
      <c r="BC87" s="101" t="s">
        <v>921</v>
      </c>
      <c r="BD87" s="117">
        <v>-38822.94</v>
      </c>
      <c r="BE87" s="117">
        <v>-30703.72</v>
      </c>
      <c r="BF87" s="117">
        <v>-27461.75</v>
      </c>
      <c r="BG87" s="117">
        <v>-39387.5</v>
      </c>
      <c r="BH87" s="129">
        <v>-40000.870000000003</v>
      </c>
      <c r="BI87" s="128">
        <f t="shared" si="17"/>
        <v>-176376.78</v>
      </c>
      <c r="BM87" s="103" t="s">
        <v>335</v>
      </c>
      <c r="BN87" s="101" t="s">
        <v>921</v>
      </c>
      <c r="BO87" s="117">
        <v>0</v>
      </c>
      <c r="BP87" s="117">
        <v>-30703.72</v>
      </c>
      <c r="BQ87" s="117">
        <v>-27461.75</v>
      </c>
      <c r="BR87" s="117">
        <v>-39387.5</v>
      </c>
      <c r="BS87" s="129">
        <v>-40000.870000000003</v>
      </c>
      <c r="BT87" s="129"/>
      <c r="BU87" s="128">
        <f t="shared" si="22"/>
        <v>-137553.84</v>
      </c>
      <c r="BW87" s="115">
        <f t="shared" si="23"/>
        <v>-38822.94</v>
      </c>
      <c r="BX87" s="117">
        <v>-38822.94</v>
      </c>
      <c r="BY87" s="117"/>
    </row>
    <row r="88" spans="2:85">
      <c r="B88" s="103" t="s">
        <v>337</v>
      </c>
      <c r="C88" s="101" t="s">
        <v>922</v>
      </c>
      <c r="D88" s="118">
        <v>-58318.6</v>
      </c>
      <c r="E88" s="118">
        <v>-54484.59</v>
      </c>
      <c r="F88" s="118">
        <v>-75269.97</v>
      </c>
      <c r="G88" s="127">
        <v>-65106.79</v>
      </c>
      <c r="H88" s="102">
        <f t="shared" si="14"/>
        <v>-253179.95</v>
      </c>
      <c r="K88" s="112" t="s">
        <v>337</v>
      </c>
      <c r="L88" s="111" t="s">
        <v>922</v>
      </c>
      <c r="M88" s="117">
        <v>0</v>
      </c>
      <c r="N88" s="117">
        <v>-53922.86</v>
      </c>
      <c r="O88" s="117">
        <v>-58318.6</v>
      </c>
      <c r="P88" s="117">
        <v>-54484.59</v>
      </c>
      <c r="Q88" s="117">
        <v>-75269.97</v>
      </c>
      <c r="R88" s="117"/>
      <c r="S88" s="117">
        <f t="shared" si="18"/>
        <v>-241996.02</v>
      </c>
      <c r="T88" s="117">
        <v>-283904.00000000012</v>
      </c>
      <c r="U88" s="115">
        <f t="shared" si="19"/>
        <v>41907.980000000127</v>
      </c>
      <c r="Y88" s="115">
        <f t="shared" si="20"/>
        <v>0</v>
      </c>
      <c r="Z88" s="117">
        <v>-41907.980000000156</v>
      </c>
      <c r="AA88" s="115">
        <f t="shared" si="21"/>
        <v>0</v>
      </c>
      <c r="AH88" s="79"/>
      <c r="AI88" s="79"/>
      <c r="AJ88" s="79">
        <v>-47685.57</v>
      </c>
      <c r="AK88" s="79">
        <v>-41907.980000000156</v>
      </c>
      <c r="AL88" s="79">
        <f t="shared" si="15"/>
        <v>-41907.980000000156</v>
      </c>
      <c r="AN88" s="79">
        <v>-47685.57</v>
      </c>
      <c r="AO88" s="79">
        <v>-41907.980000000156</v>
      </c>
      <c r="AP88" s="79">
        <v>-53922.86</v>
      </c>
      <c r="AQ88" s="79">
        <v>-58318.6</v>
      </c>
      <c r="AR88" s="79">
        <v>-54484.59</v>
      </c>
      <c r="AS88" s="79">
        <f t="shared" si="16"/>
        <v>-256319.60000000015</v>
      </c>
      <c r="BB88" s="103" t="s">
        <v>337</v>
      </c>
      <c r="BC88" s="101" t="s">
        <v>922</v>
      </c>
      <c r="BD88" s="117">
        <v>-53922.86</v>
      </c>
      <c r="BE88" s="117">
        <v>-58318.6</v>
      </c>
      <c r="BF88" s="117">
        <v>-54484.59</v>
      </c>
      <c r="BG88" s="117">
        <v>-75269.97</v>
      </c>
      <c r="BH88" s="129">
        <v>-65106.79</v>
      </c>
      <c r="BI88" s="128">
        <f t="shared" si="17"/>
        <v>-307102.81</v>
      </c>
      <c r="BM88" s="103" t="s">
        <v>337</v>
      </c>
      <c r="BN88" s="101" t="s">
        <v>922</v>
      </c>
      <c r="BO88" s="117">
        <v>0</v>
      </c>
      <c r="BP88" s="117">
        <v>-58318.6</v>
      </c>
      <c r="BQ88" s="117">
        <v>-54484.59</v>
      </c>
      <c r="BR88" s="117">
        <v>-75269.97</v>
      </c>
      <c r="BS88" s="129">
        <v>-65106.79</v>
      </c>
      <c r="BT88" s="129"/>
      <c r="BU88" s="128">
        <f t="shared" si="22"/>
        <v>-253179.95</v>
      </c>
      <c r="BW88" s="115">
        <f t="shared" si="23"/>
        <v>-53922.859999999986</v>
      </c>
      <c r="BX88" s="117">
        <v>-53922.86</v>
      </c>
      <c r="BY88" s="117"/>
    </row>
    <row r="89" spans="2:85">
      <c r="B89" s="103" t="s">
        <v>339</v>
      </c>
      <c r="C89" s="101" t="s">
        <v>923</v>
      </c>
      <c r="D89" s="118">
        <v>-138947.91</v>
      </c>
      <c r="E89" s="118">
        <v>-140083.10999999999</v>
      </c>
      <c r="F89" s="118">
        <v>-169752.36</v>
      </c>
      <c r="G89" s="127">
        <v>-175636.89</v>
      </c>
      <c r="H89" s="102">
        <f t="shared" si="14"/>
        <v>-624420.27</v>
      </c>
      <c r="K89" s="112" t="s">
        <v>339</v>
      </c>
      <c r="L89" s="111" t="s">
        <v>923</v>
      </c>
      <c r="M89" s="117">
        <v>0</v>
      </c>
      <c r="N89" s="117">
        <v>-97510.46</v>
      </c>
      <c r="O89" s="117">
        <v>-138947.91</v>
      </c>
      <c r="P89" s="117">
        <v>-140083.10999999999</v>
      </c>
      <c r="Q89" s="117">
        <v>-169752.36</v>
      </c>
      <c r="R89" s="117"/>
      <c r="S89" s="117">
        <f t="shared" si="18"/>
        <v>-546293.84</v>
      </c>
      <c r="T89" s="117">
        <v>-632901.06999999995</v>
      </c>
      <c r="U89" s="115">
        <f t="shared" si="19"/>
        <v>86607.229999999981</v>
      </c>
      <c r="Y89" s="115">
        <f t="shared" si="20"/>
        <v>0</v>
      </c>
      <c r="Z89" s="117">
        <v>-86607.229999999981</v>
      </c>
      <c r="AA89" s="115">
        <f t="shared" si="21"/>
        <v>0</v>
      </c>
      <c r="AH89" s="79"/>
      <c r="AI89" s="79"/>
      <c r="AJ89" s="79">
        <v>-88986.97</v>
      </c>
      <c r="AK89" s="79">
        <v>-86607.229999999981</v>
      </c>
      <c r="AL89" s="79">
        <f t="shared" si="15"/>
        <v>-86607.229999999981</v>
      </c>
      <c r="AN89" s="79">
        <v>-88986.97</v>
      </c>
      <c r="AO89" s="79">
        <v>-86607.229999999981</v>
      </c>
      <c r="AP89" s="79">
        <v>-97510.46</v>
      </c>
      <c r="AQ89" s="79">
        <v>-138947.91</v>
      </c>
      <c r="AR89" s="79">
        <v>-140083.10999999999</v>
      </c>
      <c r="AS89" s="79">
        <f t="shared" si="16"/>
        <v>-552135.67999999993</v>
      </c>
      <c r="BB89" s="103" t="s">
        <v>339</v>
      </c>
      <c r="BC89" s="101" t="s">
        <v>923</v>
      </c>
      <c r="BD89" s="117">
        <v>-97510.46</v>
      </c>
      <c r="BE89" s="117">
        <v>-138947.91</v>
      </c>
      <c r="BF89" s="117">
        <v>-140083.10999999999</v>
      </c>
      <c r="BG89" s="117">
        <v>-169752.36</v>
      </c>
      <c r="BH89" s="129">
        <v>-175636.89</v>
      </c>
      <c r="BI89" s="128">
        <f t="shared" si="17"/>
        <v>-721930.73</v>
      </c>
      <c r="BM89" s="103" t="s">
        <v>339</v>
      </c>
      <c r="BN89" s="101" t="s">
        <v>923</v>
      </c>
      <c r="BO89" s="117">
        <v>0</v>
      </c>
      <c r="BP89" s="117">
        <v>-138947.91</v>
      </c>
      <c r="BQ89" s="117">
        <v>-140083.10999999999</v>
      </c>
      <c r="BR89" s="117">
        <v>-169752.36</v>
      </c>
      <c r="BS89" s="129">
        <v>-175636.89</v>
      </c>
      <c r="BT89" s="129"/>
      <c r="BU89" s="128">
        <f t="shared" si="22"/>
        <v>-624420.27</v>
      </c>
      <c r="BW89" s="115">
        <f t="shared" si="23"/>
        <v>-97510.459999999963</v>
      </c>
      <c r="BX89" s="117">
        <v>-97510.46</v>
      </c>
      <c r="BY89" s="117"/>
    </row>
    <row r="90" spans="2:85">
      <c r="B90" s="103" t="s">
        <v>341</v>
      </c>
      <c r="C90" s="101" t="s">
        <v>924</v>
      </c>
      <c r="D90" s="118">
        <v>-257667.62</v>
      </c>
      <c r="E90" s="118">
        <v>-592898.27</v>
      </c>
      <c r="F90" s="118">
        <v>-626122.97</v>
      </c>
      <c r="G90" s="127">
        <v>-1286517.23</v>
      </c>
      <c r="H90" s="102">
        <f t="shared" si="14"/>
        <v>-2763206.09</v>
      </c>
      <c r="K90" s="112" t="s">
        <v>341</v>
      </c>
      <c r="L90" s="111" t="s">
        <v>924</v>
      </c>
      <c r="M90" s="117">
        <v>0</v>
      </c>
      <c r="N90" s="117">
        <v>0</v>
      </c>
      <c r="O90" s="117">
        <v>-257667.62</v>
      </c>
      <c r="P90" s="117">
        <v>-592898.27</v>
      </c>
      <c r="Q90" s="117">
        <v>-626122.97</v>
      </c>
      <c r="R90" s="117"/>
      <c r="S90" s="117">
        <f t="shared" si="18"/>
        <v>-1476688.8599999999</v>
      </c>
      <c r="T90" s="117">
        <v>-1490138.6600000025</v>
      </c>
      <c r="U90" s="115">
        <f t="shared" si="19"/>
        <v>13449.800000002608</v>
      </c>
      <c r="Y90" s="115">
        <f t="shared" si="20"/>
        <v>0</v>
      </c>
      <c r="Z90" s="117">
        <v>-13449.800000002608</v>
      </c>
      <c r="AA90" s="115">
        <f t="shared" si="21"/>
        <v>0</v>
      </c>
      <c r="AH90" s="82"/>
      <c r="AI90" s="79"/>
      <c r="AJ90" s="79">
        <v>-615825.73</v>
      </c>
      <c r="AK90" s="79">
        <v>-13449.800000002608</v>
      </c>
      <c r="AL90" s="79">
        <f t="shared" si="15"/>
        <v>-13449.800000002608</v>
      </c>
      <c r="AN90" s="79">
        <v>-615825.73</v>
      </c>
      <c r="AO90" s="79">
        <v>-13449.800000002608</v>
      </c>
      <c r="AP90" s="79">
        <v>83531.62</v>
      </c>
      <c r="AQ90" s="79">
        <v>-257667.62</v>
      </c>
      <c r="AR90" s="79">
        <v>-592898.27</v>
      </c>
      <c r="AS90" s="79">
        <f t="shared" si="16"/>
        <v>-1396309.8000000026</v>
      </c>
      <c r="AT90" s="87"/>
      <c r="BB90" s="103" t="s">
        <v>341</v>
      </c>
      <c r="BC90" s="101" t="s">
        <v>924</v>
      </c>
      <c r="BD90" s="117">
        <v>0</v>
      </c>
      <c r="BE90" s="117">
        <v>-257667.62</v>
      </c>
      <c r="BF90" s="117">
        <v>-592898.27</v>
      </c>
      <c r="BG90" s="117">
        <v>-626122.97</v>
      </c>
      <c r="BH90" s="129">
        <v>-1286517.23</v>
      </c>
      <c r="BI90" s="128">
        <f t="shared" si="17"/>
        <v>-2763206.09</v>
      </c>
      <c r="BM90" s="103" t="s">
        <v>341</v>
      </c>
      <c r="BN90" s="101" t="s">
        <v>924</v>
      </c>
      <c r="BO90" s="117">
        <v>0</v>
      </c>
      <c r="BP90" s="117">
        <v>-257667.62</v>
      </c>
      <c r="BQ90" s="117">
        <v>-592898.27</v>
      </c>
      <c r="BR90" s="117">
        <v>-626122.97</v>
      </c>
      <c r="BS90" s="129">
        <v>-1286517.23</v>
      </c>
      <c r="BT90" s="129"/>
      <c r="BU90" s="128">
        <f t="shared" si="22"/>
        <v>-2763206.09</v>
      </c>
      <c r="BW90" s="115">
        <f t="shared" si="23"/>
        <v>0</v>
      </c>
      <c r="BX90" s="117">
        <v>0</v>
      </c>
      <c r="BY90" s="117"/>
    </row>
    <row r="91" spans="2:85">
      <c r="B91" s="103" t="s">
        <v>343</v>
      </c>
      <c r="C91" s="101" t="s">
        <v>925</v>
      </c>
      <c r="D91" s="118">
        <v>-1106364.8799999999</v>
      </c>
      <c r="E91" s="118">
        <v>0</v>
      </c>
      <c r="F91" s="118">
        <v>167986.21</v>
      </c>
      <c r="G91" s="127">
        <v>-367128.58</v>
      </c>
      <c r="H91" s="102">
        <f t="shared" si="14"/>
        <v>-1305507.25</v>
      </c>
      <c r="K91" s="112" t="s">
        <v>343</v>
      </c>
      <c r="L91" s="111" t="s">
        <v>925</v>
      </c>
      <c r="M91" s="117">
        <v>0</v>
      </c>
      <c r="N91" s="117">
        <v>-147291.4</v>
      </c>
      <c r="O91" s="117">
        <v>-1106364.8799999999</v>
      </c>
      <c r="P91" s="117">
        <v>82403.64</v>
      </c>
      <c r="Q91" s="117">
        <v>232873.97</v>
      </c>
      <c r="R91" s="117"/>
      <c r="S91" s="117">
        <f t="shared" si="18"/>
        <v>-938378.66999999993</v>
      </c>
      <c r="T91" s="117">
        <v>-938378.66999999993</v>
      </c>
      <c r="U91" s="115">
        <f t="shared" si="19"/>
        <v>0</v>
      </c>
      <c r="W91" s="115">
        <f t="shared" ref="W91" si="24">+N91+M91</f>
        <v>-147291.4</v>
      </c>
      <c r="Y91" s="115">
        <f t="shared" si="20"/>
        <v>598408.25</v>
      </c>
      <c r="Z91" s="117">
        <v>598408.25</v>
      </c>
      <c r="AA91" s="115">
        <f t="shared" si="21"/>
        <v>598408.25</v>
      </c>
      <c r="AH91" s="79"/>
      <c r="AI91" s="79"/>
      <c r="AJ91" s="79">
        <v>298312.78999999998</v>
      </c>
      <c r="AK91" s="79">
        <v>300095.46000000648</v>
      </c>
      <c r="AL91" s="79">
        <f t="shared" si="15"/>
        <v>598408.25000000652</v>
      </c>
      <c r="AN91" s="79">
        <v>298312.78999999998</v>
      </c>
      <c r="AO91" s="79">
        <v>300095.46000000648</v>
      </c>
      <c r="AP91" s="79">
        <v>-745699.65</v>
      </c>
      <c r="AQ91" s="79">
        <v>-1106364.8799999999</v>
      </c>
      <c r="AR91" s="79">
        <v>82403.64</v>
      </c>
      <c r="AS91" s="79">
        <f t="shared" si="16"/>
        <v>-1171252.6399999934</v>
      </c>
      <c r="BB91" s="103" t="s">
        <v>343</v>
      </c>
      <c r="BC91" s="101" t="s">
        <v>925</v>
      </c>
      <c r="BD91" s="117">
        <v>-147291.4</v>
      </c>
      <c r="BE91" s="117">
        <v>-1106364.8799999999</v>
      </c>
      <c r="BF91" s="117">
        <v>82403.64</v>
      </c>
      <c r="BG91" s="117">
        <v>232873.97</v>
      </c>
      <c r="BH91" s="129">
        <v>-367128.58</v>
      </c>
      <c r="BI91" s="128">
        <f t="shared" si="17"/>
        <v>-1305507.25</v>
      </c>
      <c r="BM91" s="103" t="s">
        <v>343</v>
      </c>
      <c r="BN91" s="101" t="s">
        <v>925</v>
      </c>
      <c r="BO91" s="117">
        <v>0</v>
      </c>
      <c r="BP91" s="117">
        <v>-1106364.8799999999</v>
      </c>
      <c r="BQ91" s="117">
        <v>0</v>
      </c>
      <c r="BR91" s="131">
        <v>167986.21</v>
      </c>
      <c r="BS91" s="129">
        <v>-367128.58</v>
      </c>
      <c r="BT91" s="129"/>
      <c r="BU91" s="128">
        <f t="shared" si="22"/>
        <v>-1305507.25</v>
      </c>
      <c r="BW91" s="115">
        <f t="shared" si="23"/>
        <v>0</v>
      </c>
      <c r="BX91" s="131">
        <v>-147291.4</v>
      </c>
      <c r="BY91" s="117"/>
      <c r="BZ91" s="131">
        <v>82403.64</v>
      </c>
      <c r="CA91" s="131">
        <v>232873.97</v>
      </c>
      <c r="CC91" s="130">
        <f>+BO91+BQ91+BR91</f>
        <v>167986.21</v>
      </c>
      <c r="CD91" s="115">
        <f>+BX91+BZ91+CA91</f>
        <v>167986.21000000002</v>
      </c>
      <c r="CE91" s="115">
        <f>+CC91-CD91</f>
        <v>0</v>
      </c>
      <c r="CG91" s="115">
        <f>+BO91+BQ91+BR91</f>
        <v>167986.21</v>
      </c>
    </row>
    <row r="92" spans="2:85">
      <c r="B92" s="103" t="s">
        <v>345</v>
      </c>
      <c r="C92" s="101" t="s">
        <v>926</v>
      </c>
      <c r="D92" s="118">
        <v>-191166.65</v>
      </c>
      <c r="E92" s="118">
        <v>-421120.33</v>
      </c>
      <c r="F92" s="118">
        <v>-538801.77</v>
      </c>
      <c r="G92" s="127">
        <v>-697897.17</v>
      </c>
      <c r="H92" s="102">
        <f t="shared" si="14"/>
        <v>-1848985.92</v>
      </c>
      <c r="K92" s="112" t="s">
        <v>345</v>
      </c>
      <c r="L92" s="111" t="s">
        <v>926</v>
      </c>
      <c r="M92" s="117">
        <v>0</v>
      </c>
      <c r="N92" s="117">
        <v>-232065.2</v>
      </c>
      <c r="O92" s="117">
        <v>-191166.65</v>
      </c>
      <c r="P92" s="117">
        <v>-421120.33</v>
      </c>
      <c r="Q92" s="117">
        <v>-538801.77</v>
      </c>
      <c r="R92" s="117"/>
      <c r="S92" s="117">
        <f t="shared" si="18"/>
        <v>-1383153.95</v>
      </c>
      <c r="T92" s="117">
        <v>-1605967.8500000015</v>
      </c>
      <c r="U92" s="115">
        <f t="shared" si="19"/>
        <v>222813.90000000154</v>
      </c>
      <c r="Y92" s="115">
        <f t="shared" si="20"/>
        <v>0</v>
      </c>
      <c r="Z92" s="117">
        <v>-222813.90000000154</v>
      </c>
      <c r="AA92" s="115">
        <f t="shared" si="21"/>
        <v>0</v>
      </c>
      <c r="AH92" s="79"/>
      <c r="AI92" s="79"/>
      <c r="AJ92" s="79">
        <v>-223130.17</v>
      </c>
      <c r="AK92" s="79">
        <v>-222813.90000000154</v>
      </c>
      <c r="AL92" s="79">
        <f t="shared" si="15"/>
        <v>-222813.90000000154</v>
      </c>
      <c r="AN92" s="79">
        <v>-223130.17</v>
      </c>
      <c r="AO92" s="79">
        <v>-222813.90000000154</v>
      </c>
      <c r="AP92" s="79">
        <v>-232065.2</v>
      </c>
      <c r="AQ92" s="79">
        <v>-191166.65</v>
      </c>
      <c r="AR92" s="79">
        <v>-421120.33</v>
      </c>
      <c r="AS92" s="79">
        <f t="shared" si="16"/>
        <v>-1290296.2500000016</v>
      </c>
      <c r="BB92" s="103" t="s">
        <v>345</v>
      </c>
      <c r="BC92" s="101" t="s">
        <v>926</v>
      </c>
      <c r="BD92" s="117">
        <v>-232065.2</v>
      </c>
      <c r="BE92" s="117">
        <v>-191166.65</v>
      </c>
      <c r="BF92" s="117">
        <v>-421120.33</v>
      </c>
      <c r="BG92" s="117">
        <v>-538801.77</v>
      </c>
      <c r="BH92" s="129">
        <v>-697897.17</v>
      </c>
      <c r="BI92" s="128">
        <f t="shared" si="17"/>
        <v>-2081051.12</v>
      </c>
      <c r="BM92" s="103" t="s">
        <v>345</v>
      </c>
      <c r="BN92" s="101" t="s">
        <v>926</v>
      </c>
      <c r="BO92" s="117">
        <v>0</v>
      </c>
      <c r="BP92" s="117">
        <v>-191166.65</v>
      </c>
      <c r="BQ92" s="117">
        <v>-421120.33</v>
      </c>
      <c r="BR92" s="117">
        <v>-538801.77</v>
      </c>
      <c r="BS92" s="129">
        <v>-697897.17</v>
      </c>
      <c r="BT92" s="129"/>
      <c r="BU92" s="128">
        <f t="shared" si="22"/>
        <v>-1848985.92</v>
      </c>
      <c r="BW92" s="115">
        <f t="shared" si="23"/>
        <v>-232065.20000000019</v>
      </c>
      <c r="BX92" s="117">
        <v>-232065.2</v>
      </c>
      <c r="BY92" s="117"/>
      <c r="CC92" s="133"/>
      <c r="CD92" s="115"/>
      <c r="CE92" s="115"/>
    </row>
    <row r="93" spans="2:85">
      <c r="B93" s="103" t="s">
        <v>347</v>
      </c>
      <c r="C93" s="101" t="s">
        <v>927</v>
      </c>
      <c r="D93" s="118">
        <v>-187328.98</v>
      </c>
      <c r="E93" s="118">
        <v>0</v>
      </c>
      <c r="F93" s="118">
        <v>-115287.27</v>
      </c>
      <c r="G93" s="127">
        <v>-175514.53</v>
      </c>
      <c r="H93" s="102">
        <f t="shared" si="14"/>
        <v>-478130.78</v>
      </c>
      <c r="K93" s="112" t="s">
        <v>347</v>
      </c>
      <c r="L93" s="111" t="s">
        <v>927</v>
      </c>
      <c r="M93" s="117">
        <v>0</v>
      </c>
      <c r="N93" s="117">
        <v>0</v>
      </c>
      <c r="O93" s="117">
        <v>-187328.98</v>
      </c>
      <c r="P93" s="117">
        <v>0</v>
      </c>
      <c r="Q93" s="117">
        <v>-115287.27</v>
      </c>
      <c r="R93" s="117"/>
      <c r="S93" s="117">
        <f t="shared" si="18"/>
        <v>-302616.25</v>
      </c>
      <c r="T93" s="117">
        <v>-369421.36999999837</v>
      </c>
      <c r="U93" s="115">
        <f t="shared" si="19"/>
        <v>66805.119999998366</v>
      </c>
      <c r="W93" s="115">
        <f>+M93+P93</f>
        <v>0</v>
      </c>
      <c r="Y93" s="115">
        <f t="shared" si="20"/>
        <v>-2583.8399999999674</v>
      </c>
      <c r="Z93" s="117">
        <v>-69388.959999998333</v>
      </c>
      <c r="AA93" s="115">
        <f t="shared" si="21"/>
        <v>-2583.8399999999674</v>
      </c>
      <c r="AB93" s="117">
        <v>2583.84</v>
      </c>
      <c r="AH93" s="79"/>
      <c r="AI93" s="79"/>
      <c r="AJ93" s="79">
        <v>-95022.080000000002</v>
      </c>
      <c r="AK93" s="79">
        <v>-69388.959999998333</v>
      </c>
      <c r="AL93" s="79">
        <f t="shared" si="15"/>
        <v>-69388.959999998333</v>
      </c>
      <c r="AN93" s="79">
        <v>-95022.080000000002</v>
      </c>
      <c r="AO93" s="79">
        <v>-69388.959999998333</v>
      </c>
      <c r="AP93" s="79">
        <v>61197.43</v>
      </c>
      <c r="AQ93" s="79">
        <v>-187328.98</v>
      </c>
      <c r="AR93" s="79">
        <v>36408.49</v>
      </c>
      <c r="AS93" s="79">
        <f t="shared" si="16"/>
        <v>-254134.09999999835</v>
      </c>
      <c r="BB93" s="103" t="s">
        <v>347</v>
      </c>
      <c r="BC93" s="101" t="s">
        <v>927</v>
      </c>
      <c r="BD93" s="117">
        <v>0</v>
      </c>
      <c r="BE93" s="117">
        <v>-187328.98</v>
      </c>
      <c r="BF93" s="117">
        <v>0</v>
      </c>
      <c r="BG93" s="117">
        <v>-115287.27</v>
      </c>
      <c r="BH93" s="129">
        <v>-175514.53</v>
      </c>
      <c r="BI93" s="128">
        <f t="shared" si="17"/>
        <v>-478130.78</v>
      </c>
      <c r="BM93" s="103" t="s">
        <v>347</v>
      </c>
      <c r="BN93" s="101" t="s">
        <v>927</v>
      </c>
      <c r="BO93" s="117">
        <v>0</v>
      </c>
      <c r="BP93" s="117">
        <v>-187328.98</v>
      </c>
      <c r="BQ93" s="117">
        <v>0</v>
      </c>
      <c r="BR93" s="117">
        <v>-115287.27</v>
      </c>
      <c r="BS93" s="129">
        <v>-175514.53</v>
      </c>
      <c r="BT93" s="129"/>
      <c r="BU93" s="128">
        <f t="shared" si="22"/>
        <v>-478130.78</v>
      </c>
      <c r="BW93" s="115">
        <f t="shared" si="23"/>
        <v>0</v>
      </c>
      <c r="BX93" s="117">
        <v>0</v>
      </c>
      <c r="BY93" s="117"/>
    </row>
    <row r="94" spans="2:85">
      <c r="B94" s="103" t="s">
        <v>349</v>
      </c>
      <c r="C94" s="101" t="s">
        <v>928</v>
      </c>
      <c r="D94" s="118">
        <v>0</v>
      </c>
      <c r="E94" s="118">
        <v>-360873.52</v>
      </c>
      <c r="F94" s="118">
        <v>161200.78</v>
      </c>
      <c r="G94" s="127">
        <v>433955.66</v>
      </c>
      <c r="H94" s="102">
        <f t="shared" si="14"/>
        <v>234282.91999999995</v>
      </c>
      <c r="K94" s="112" t="s">
        <v>349</v>
      </c>
      <c r="L94" s="111" t="s">
        <v>928</v>
      </c>
      <c r="M94" s="117">
        <v>0</v>
      </c>
      <c r="N94" s="117">
        <v>-391361.08</v>
      </c>
      <c r="O94" s="117">
        <v>0</v>
      </c>
      <c r="P94" s="117">
        <v>-360873.52</v>
      </c>
      <c r="Q94" s="117">
        <v>552561.86</v>
      </c>
      <c r="R94" s="117"/>
      <c r="S94" s="117">
        <f t="shared" si="18"/>
        <v>-199672.74000000011</v>
      </c>
      <c r="T94" s="117">
        <v>-204048.49</v>
      </c>
      <c r="U94" s="115">
        <f t="shared" si="19"/>
        <v>4375.7499999998836</v>
      </c>
      <c r="W94" s="115">
        <f>+M94+O94</f>
        <v>0</v>
      </c>
      <c r="Y94" s="115">
        <f t="shared" si="20"/>
        <v>-31519.280000000115</v>
      </c>
      <c r="Z94" s="117">
        <v>-35895.03</v>
      </c>
      <c r="AA94" s="115">
        <f t="shared" si="21"/>
        <v>-31519.280000000115</v>
      </c>
      <c r="AB94" s="117">
        <v>31519.279999999999</v>
      </c>
      <c r="AH94" s="79"/>
      <c r="AI94" s="79"/>
      <c r="AJ94" s="79">
        <v>-346445.6</v>
      </c>
      <c r="AK94" s="79">
        <v>-35895.029999994673</v>
      </c>
      <c r="AL94" s="79">
        <f t="shared" si="15"/>
        <v>-35895.029999994673</v>
      </c>
      <c r="AN94" s="79">
        <v>-346445.6</v>
      </c>
      <c r="AO94" s="79">
        <v>-35895.029999994673</v>
      </c>
      <c r="AP94" s="79">
        <v>-391361.08</v>
      </c>
      <c r="AQ94" s="79">
        <v>377964.88</v>
      </c>
      <c r="AR94" s="79">
        <v>-360873.52</v>
      </c>
      <c r="AS94" s="79">
        <f t="shared" si="16"/>
        <v>-756610.34999999462</v>
      </c>
      <c r="BB94" s="103" t="s">
        <v>349</v>
      </c>
      <c r="BC94" s="101" t="s">
        <v>928</v>
      </c>
      <c r="BD94" s="117">
        <v>-391361.08</v>
      </c>
      <c r="BE94" s="117">
        <v>0</v>
      </c>
      <c r="BF94" s="117">
        <v>-360873.52</v>
      </c>
      <c r="BG94" s="117">
        <v>552561.86</v>
      </c>
      <c r="BH94" s="129">
        <v>433955.66</v>
      </c>
      <c r="BI94" s="128">
        <f t="shared" si="17"/>
        <v>234282.91999999987</v>
      </c>
      <c r="BM94" s="103" t="s">
        <v>349</v>
      </c>
      <c r="BN94" s="101" t="s">
        <v>928</v>
      </c>
      <c r="BO94" s="117">
        <v>0</v>
      </c>
      <c r="BP94" s="117">
        <v>0</v>
      </c>
      <c r="BQ94" s="117">
        <v>-360873.52</v>
      </c>
      <c r="BR94" s="131">
        <v>161200.78</v>
      </c>
      <c r="BS94" s="129">
        <v>433955.66</v>
      </c>
      <c r="BT94" s="129"/>
      <c r="BU94" s="128">
        <f t="shared" si="22"/>
        <v>234282.91999999995</v>
      </c>
      <c r="BW94" s="115">
        <f t="shared" si="23"/>
        <v>0</v>
      </c>
      <c r="BX94" s="131">
        <v>-391361.08</v>
      </c>
      <c r="BY94" s="117"/>
      <c r="CA94" s="131">
        <v>552561.86</v>
      </c>
      <c r="CC94" s="130">
        <f>+BO94+BR94</f>
        <v>161200.78</v>
      </c>
      <c r="CD94" s="115">
        <f>+BX94+CA94</f>
        <v>161200.77999999997</v>
      </c>
      <c r="CE94" s="115">
        <f>+CC94-CD94</f>
        <v>0</v>
      </c>
    </row>
    <row r="95" spans="2:85">
      <c r="B95" s="103" t="s">
        <v>351</v>
      </c>
      <c r="C95" s="101" t="s">
        <v>929</v>
      </c>
      <c r="D95" s="118">
        <v>-51033.73</v>
      </c>
      <c r="E95" s="118">
        <v>-137340.73000000001</v>
      </c>
      <c r="F95" s="118">
        <v>-112322.59</v>
      </c>
      <c r="G95" s="127">
        <v>-83172.62</v>
      </c>
      <c r="H95" s="102">
        <f t="shared" si="14"/>
        <v>-383869.67000000004</v>
      </c>
      <c r="K95" s="112" t="s">
        <v>351</v>
      </c>
      <c r="L95" s="111" t="s">
        <v>929</v>
      </c>
      <c r="M95" s="117">
        <v>0</v>
      </c>
      <c r="N95" s="117">
        <v>-88771.18</v>
      </c>
      <c r="O95" s="117">
        <v>-51033.73</v>
      </c>
      <c r="P95" s="117">
        <v>-137340.73000000001</v>
      </c>
      <c r="Q95" s="117">
        <v>-112322.59</v>
      </c>
      <c r="R95" s="117"/>
      <c r="S95" s="117">
        <f t="shared" si="18"/>
        <v>-389468.23</v>
      </c>
      <c r="T95" s="117">
        <v>-480683.74</v>
      </c>
      <c r="U95" s="115">
        <f t="shared" si="19"/>
        <v>91215.510000000009</v>
      </c>
      <c r="Y95" s="115">
        <f t="shared" si="20"/>
        <v>0</v>
      </c>
      <c r="Z95" s="117">
        <v>-91215.510000000009</v>
      </c>
      <c r="AA95" s="115">
        <f t="shared" si="21"/>
        <v>0</v>
      </c>
      <c r="AH95" s="79"/>
      <c r="AI95" s="79"/>
      <c r="AJ95" s="79">
        <v>-45114.59</v>
      </c>
      <c r="AK95" s="79">
        <v>-91215.510000000009</v>
      </c>
      <c r="AL95" s="79">
        <f t="shared" si="15"/>
        <v>-91215.510000000009</v>
      </c>
      <c r="AN95" s="79">
        <v>-45114.59</v>
      </c>
      <c r="AO95" s="79">
        <v>-91215.510000000009</v>
      </c>
      <c r="AP95" s="79">
        <v>-88771.18</v>
      </c>
      <c r="AQ95" s="79">
        <v>-51033.73</v>
      </c>
      <c r="AR95" s="79">
        <v>-137340.73000000001</v>
      </c>
      <c r="AS95" s="79">
        <f t="shared" si="16"/>
        <v>-413475.74</v>
      </c>
      <c r="BB95" s="103" t="s">
        <v>351</v>
      </c>
      <c r="BC95" s="101" t="s">
        <v>929</v>
      </c>
      <c r="BD95" s="117">
        <v>-88771.18</v>
      </c>
      <c r="BE95" s="117">
        <v>-51033.73</v>
      </c>
      <c r="BF95" s="117">
        <v>-137340.73000000001</v>
      </c>
      <c r="BG95" s="117">
        <v>-112322.59</v>
      </c>
      <c r="BH95" s="129">
        <v>-83172.62</v>
      </c>
      <c r="BI95" s="128">
        <f t="shared" si="17"/>
        <v>-472640.85</v>
      </c>
      <c r="BM95" s="103" t="s">
        <v>351</v>
      </c>
      <c r="BN95" s="101" t="s">
        <v>929</v>
      </c>
      <c r="BO95" s="117">
        <v>0</v>
      </c>
      <c r="BP95" s="117">
        <v>-51033.73</v>
      </c>
      <c r="BQ95" s="117">
        <v>-137340.73000000001</v>
      </c>
      <c r="BR95" s="117">
        <v>-112322.59</v>
      </c>
      <c r="BS95" s="129">
        <v>-83172.62</v>
      </c>
      <c r="BT95" s="129"/>
      <c r="BU95" s="128">
        <f t="shared" si="22"/>
        <v>-383869.67000000004</v>
      </c>
      <c r="BW95" s="115">
        <f t="shared" si="23"/>
        <v>-88771.179999999935</v>
      </c>
      <c r="BX95" s="117">
        <v>-88771.18</v>
      </c>
      <c r="BY95" s="117"/>
    </row>
    <row r="96" spans="2:85">
      <c r="B96" s="103" t="s">
        <v>353</v>
      </c>
      <c r="C96" s="101" t="s">
        <v>930</v>
      </c>
      <c r="D96" s="118">
        <v>652876.68999999994</v>
      </c>
      <c r="E96" s="118">
        <v>72223.45</v>
      </c>
      <c r="F96" s="118">
        <v>146122.44</v>
      </c>
      <c r="G96" s="127">
        <v>284077.61</v>
      </c>
      <c r="H96" s="102">
        <f t="shared" si="14"/>
        <v>1155300.19</v>
      </c>
      <c r="K96" s="112" t="s">
        <v>353</v>
      </c>
      <c r="L96" s="111" t="s">
        <v>930</v>
      </c>
      <c r="M96" s="117">
        <v>0</v>
      </c>
      <c r="N96" s="117">
        <v>843926.42</v>
      </c>
      <c r="O96" s="117">
        <v>-191049.73</v>
      </c>
      <c r="P96" s="117">
        <v>72223.45</v>
      </c>
      <c r="Q96" s="117">
        <v>146122.44</v>
      </c>
      <c r="R96" s="117"/>
      <c r="S96" s="117">
        <f t="shared" si="18"/>
        <v>871222.58000000007</v>
      </c>
      <c r="T96" s="117">
        <v>871222.57999999984</v>
      </c>
      <c r="U96" s="115">
        <f t="shared" si="19"/>
        <v>0</v>
      </c>
      <c r="W96" s="115">
        <f>+M96+N96</f>
        <v>843926.42</v>
      </c>
      <c r="Y96" s="115">
        <f t="shared" si="20"/>
        <v>921803.7</v>
      </c>
      <c r="Z96" s="117">
        <v>921803.7</v>
      </c>
      <c r="AA96" s="115">
        <f t="shared" si="21"/>
        <v>921803.7</v>
      </c>
      <c r="AH96" s="79"/>
      <c r="AI96" s="79"/>
      <c r="AJ96" s="79">
        <v>734559.63</v>
      </c>
      <c r="AK96" s="79">
        <v>187244.06999999378</v>
      </c>
      <c r="AL96" s="79">
        <f t="shared" si="15"/>
        <v>921803.69999999378</v>
      </c>
      <c r="AN96" s="79">
        <v>734559.63</v>
      </c>
      <c r="AO96" s="79">
        <v>187244.06999999378</v>
      </c>
      <c r="AP96" s="79">
        <v>-77877.279999999999</v>
      </c>
      <c r="AQ96" s="79">
        <v>-191049.73</v>
      </c>
      <c r="AR96" s="79">
        <v>72223.45</v>
      </c>
      <c r="AS96" s="79">
        <f t="shared" si="16"/>
        <v>725100.13999999373</v>
      </c>
      <c r="BB96" s="103" t="s">
        <v>353</v>
      </c>
      <c r="BC96" s="101" t="s">
        <v>930</v>
      </c>
      <c r="BD96" s="117">
        <v>843926.42</v>
      </c>
      <c r="BE96" s="117">
        <v>-191049.73</v>
      </c>
      <c r="BF96" s="117">
        <v>72223.45</v>
      </c>
      <c r="BG96" s="117">
        <v>146122.44</v>
      </c>
      <c r="BH96" s="129">
        <v>284077.61</v>
      </c>
      <c r="BI96" s="128">
        <f t="shared" si="17"/>
        <v>1155300.19</v>
      </c>
      <c r="BM96" s="103" t="s">
        <v>353</v>
      </c>
      <c r="BN96" s="101" t="s">
        <v>930</v>
      </c>
      <c r="BO96" s="117">
        <v>0</v>
      </c>
      <c r="BP96" s="131">
        <v>652876.68999999994</v>
      </c>
      <c r="BQ96" s="117">
        <v>72223.45</v>
      </c>
      <c r="BR96" s="117">
        <v>146122.44</v>
      </c>
      <c r="BS96" s="129">
        <v>284077.61</v>
      </c>
      <c r="BT96" s="129"/>
      <c r="BU96" s="128">
        <f t="shared" si="22"/>
        <v>1155300.19</v>
      </c>
      <c r="BW96" s="115">
        <f t="shared" si="23"/>
        <v>0</v>
      </c>
      <c r="BX96" s="131">
        <v>843926.42</v>
      </c>
      <c r="BY96" s="131">
        <v>-191049.73</v>
      </c>
      <c r="CC96" s="130">
        <f>+BO96+BP96</f>
        <v>652876.68999999994</v>
      </c>
      <c r="CD96" s="115">
        <f>+BX96+BY96</f>
        <v>652876.69000000006</v>
      </c>
      <c r="CE96" s="115">
        <f>+CC96-CD96</f>
        <v>0</v>
      </c>
    </row>
    <row r="97" spans="2:83">
      <c r="B97" s="103" t="s">
        <v>355</v>
      </c>
      <c r="C97" s="101" t="s">
        <v>931</v>
      </c>
      <c r="D97" s="118">
        <v>-53993.440000000002</v>
      </c>
      <c r="E97" s="118">
        <v>-66009.89</v>
      </c>
      <c r="F97" s="118">
        <v>-72645.83</v>
      </c>
      <c r="G97" s="127">
        <v>-75704.740000000005</v>
      </c>
      <c r="H97" s="102">
        <f t="shared" si="14"/>
        <v>-268353.90000000002</v>
      </c>
      <c r="K97" s="112" t="s">
        <v>355</v>
      </c>
      <c r="L97" s="111" t="s">
        <v>931</v>
      </c>
      <c r="M97" s="117">
        <v>0</v>
      </c>
      <c r="N97" s="117">
        <v>-55365.38</v>
      </c>
      <c r="O97" s="117">
        <v>-53993.440000000002</v>
      </c>
      <c r="P97" s="117">
        <v>-66009.89</v>
      </c>
      <c r="Q97" s="117">
        <v>-72645.83</v>
      </c>
      <c r="R97" s="117"/>
      <c r="S97" s="117">
        <f t="shared" si="18"/>
        <v>-248014.54000000004</v>
      </c>
      <c r="T97" s="117">
        <v>-303069.8600000001</v>
      </c>
      <c r="U97" s="115">
        <f t="shared" si="19"/>
        <v>55055.320000000065</v>
      </c>
      <c r="Y97" s="115">
        <f t="shared" si="20"/>
        <v>0</v>
      </c>
      <c r="Z97" s="117">
        <v>-55055.320000000109</v>
      </c>
      <c r="AA97" s="115">
        <f t="shared" si="21"/>
        <v>0</v>
      </c>
      <c r="AH97" s="79"/>
      <c r="AI97" s="79"/>
      <c r="AJ97" s="79">
        <v>-47420.75</v>
      </c>
      <c r="AK97" s="79">
        <v>-55055.320000000109</v>
      </c>
      <c r="AL97" s="79">
        <f t="shared" si="15"/>
        <v>-55055.320000000109</v>
      </c>
      <c r="AN97" s="79">
        <v>-47420.75</v>
      </c>
      <c r="AO97" s="79">
        <v>-55055.320000000109</v>
      </c>
      <c r="AP97" s="79">
        <v>-55365.38</v>
      </c>
      <c r="AQ97" s="79">
        <v>-53993.440000000002</v>
      </c>
      <c r="AR97" s="79">
        <v>-66009.89</v>
      </c>
      <c r="AS97" s="79">
        <f t="shared" si="16"/>
        <v>-277844.78000000009</v>
      </c>
      <c r="BB97" s="103" t="s">
        <v>355</v>
      </c>
      <c r="BC97" s="101" t="s">
        <v>931</v>
      </c>
      <c r="BD97" s="117">
        <v>-55365.38</v>
      </c>
      <c r="BE97" s="117">
        <v>-53993.440000000002</v>
      </c>
      <c r="BF97" s="117">
        <v>-66009.89</v>
      </c>
      <c r="BG97" s="117">
        <v>-72645.83</v>
      </c>
      <c r="BH97" s="129">
        <v>-75704.740000000005</v>
      </c>
      <c r="BI97" s="128">
        <f t="shared" si="17"/>
        <v>-323719.28000000003</v>
      </c>
      <c r="BM97" s="103" t="s">
        <v>355</v>
      </c>
      <c r="BN97" s="101" t="s">
        <v>931</v>
      </c>
      <c r="BO97" s="117">
        <v>0</v>
      </c>
      <c r="BP97" s="117">
        <v>-53993.440000000002</v>
      </c>
      <c r="BQ97" s="117">
        <v>-66009.89</v>
      </c>
      <c r="BR97" s="117">
        <v>-72645.83</v>
      </c>
      <c r="BS97" s="129">
        <v>-75704.740000000005</v>
      </c>
      <c r="BT97" s="129"/>
      <c r="BU97" s="128">
        <f t="shared" si="22"/>
        <v>-268353.90000000002</v>
      </c>
      <c r="BW97" s="115">
        <f t="shared" si="23"/>
        <v>-55365.380000000005</v>
      </c>
      <c r="BX97" s="117">
        <v>-55365.38</v>
      </c>
      <c r="BY97" s="117"/>
    </row>
    <row r="98" spans="2:83">
      <c r="B98" s="103" t="s">
        <v>357</v>
      </c>
      <c r="C98" s="101" t="s">
        <v>932</v>
      </c>
      <c r="D98" s="118">
        <v>-134421.06</v>
      </c>
      <c r="E98" s="118">
        <v>-201748.57</v>
      </c>
      <c r="F98" s="118">
        <v>-208987.94</v>
      </c>
      <c r="G98" s="127">
        <v>-530011.69999999995</v>
      </c>
      <c r="H98" s="102">
        <f t="shared" si="14"/>
        <v>-1075169.27</v>
      </c>
      <c r="K98" s="112" t="s">
        <v>357</v>
      </c>
      <c r="L98" s="111" t="s">
        <v>932</v>
      </c>
      <c r="M98" s="117">
        <v>0</v>
      </c>
      <c r="N98" s="117">
        <v>209955.21</v>
      </c>
      <c r="O98" s="117">
        <v>-344376.27</v>
      </c>
      <c r="P98" s="117">
        <v>-201748.57</v>
      </c>
      <c r="Q98" s="117">
        <v>-208987.94</v>
      </c>
      <c r="R98" s="117"/>
      <c r="S98" s="117">
        <f t="shared" si="18"/>
        <v>-545157.57000000007</v>
      </c>
      <c r="T98" s="117">
        <v>-545157.57000000007</v>
      </c>
      <c r="U98" s="115">
        <f t="shared" si="19"/>
        <v>0</v>
      </c>
      <c r="W98" s="115">
        <f>+M98+N98</f>
        <v>209955.21</v>
      </c>
      <c r="Y98" s="115">
        <f t="shared" si="20"/>
        <v>182505.02</v>
      </c>
      <c r="Z98" s="117">
        <v>182505.02</v>
      </c>
      <c r="AA98" s="115">
        <f t="shared" si="21"/>
        <v>182505.02</v>
      </c>
      <c r="AH98" s="79"/>
      <c r="AI98" s="79"/>
      <c r="AJ98" s="79">
        <v>46527.99</v>
      </c>
      <c r="AK98" s="79">
        <v>135977.03000000305</v>
      </c>
      <c r="AL98" s="79">
        <f t="shared" si="15"/>
        <v>182505.02000000305</v>
      </c>
      <c r="AN98" s="79">
        <v>46527.99</v>
      </c>
      <c r="AO98" s="79">
        <v>135977.03000000305</v>
      </c>
      <c r="AP98" s="79">
        <v>27450.19</v>
      </c>
      <c r="AQ98" s="79">
        <v>-344376.27</v>
      </c>
      <c r="AR98" s="79">
        <v>-201748.57</v>
      </c>
      <c r="AS98" s="79">
        <f t="shared" si="16"/>
        <v>-336169.62999999698</v>
      </c>
      <c r="BB98" s="103" t="s">
        <v>357</v>
      </c>
      <c r="BC98" s="101" t="s">
        <v>932</v>
      </c>
      <c r="BD98" s="117">
        <v>209955.21</v>
      </c>
      <c r="BE98" s="117">
        <v>-344376.27</v>
      </c>
      <c r="BF98" s="117">
        <v>-201748.57</v>
      </c>
      <c r="BG98" s="117">
        <v>-208987.94</v>
      </c>
      <c r="BH98" s="129">
        <v>-530011.69999999995</v>
      </c>
      <c r="BI98" s="128">
        <f t="shared" si="17"/>
        <v>-1075169.27</v>
      </c>
      <c r="BM98" s="103" t="s">
        <v>357</v>
      </c>
      <c r="BN98" s="101" t="s">
        <v>932</v>
      </c>
      <c r="BO98" s="117">
        <v>0</v>
      </c>
      <c r="BP98" s="131">
        <v>-134421.06</v>
      </c>
      <c r="BQ98" s="117">
        <v>-201748.57</v>
      </c>
      <c r="BR98" s="117">
        <v>-208987.94</v>
      </c>
      <c r="BS98" s="129">
        <v>-530011.69999999995</v>
      </c>
      <c r="BT98" s="129"/>
      <c r="BU98" s="128">
        <f t="shared" si="22"/>
        <v>-1075169.27</v>
      </c>
      <c r="BW98" s="115">
        <f t="shared" si="23"/>
        <v>0</v>
      </c>
      <c r="BX98" s="131">
        <v>209955.21</v>
      </c>
      <c r="BY98" s="131">
        <v>-344376.27</v>
      </c>
      <c r="CC98" s="130">
        <f>+BO98+BP98</f>
        <v>-134421.06</v>
      </c>
      <c r="CD98" s="115">
        <f>+BX98+BY98</f>
        <v>-134421.06000000003</v>
      </c>
      <c r="CE98" s="115">
        <f>+CC98-CD98</f>
        <v>0</v>
      </c>
    </row>
    <row r="99" spans="2:83">
      <c r="B99" s="103" t="s">
        <v>359</v>
      </c>
      <c r="C99" s="101" t="s">
        <v>933</v>
      </c>
      <c r="D99" s="118">
        <v>46325.04</v>
      </c>
      <c r="E99" s="118">
        <v>-85418.36</v>
      </c>
      <c r="F99" s="118">
        <v>-8710.56</v>
      </c>
      <c r="G99" s="127">
        <v>-262111.41</v>
      </c>
      <c r="H99" s="102">
        <f t="shared" si="14"/>
        <v>-309915.28999999998</v>
      </c>
      <c r="K99" s="112" t="s">
        <v>359</v>
      </c>
      <c r="L99" s="111" t="s">
        <v>933</v>
      </c>
      <c r="M99" s="117">
        <v>0</v>
      </c>
      <c r="N99" s="117">
        <v>77687.78</v>
      </c>
      <c r="O99" s="117">
        <v>-31362.74</v>
      </c>
      <c r="P99" s="117">
        <v>-85418.36</v>
      </c>
      <c r="Q99" s="117">
        <v>-8710.56</v>
      </c>
      <c r="R99" s="117"/>
      <c r="S99" s="117">
        <f t="shared" si="18"/>
        <v>-47803.880000000005</v>
      </c>
      <c r="T99" s="117">
        <v>-47803.880000000005</v>
      </c>
      <c r="U99" s="115">
        <f t="shared" si="19"/>
        <v>0</v>
      </c>
      <c r="W99" s="115">
        <f>+M99+N99</f>
        <v>77687.78</v>
      </c>
      <c r="Y99" s="115">
        <f t="shared" si="20"/>
        <v>2554.59</v>
      </c>
      <c r="Z99" s="117">
        <v>2554.59</v>
      </c>
      <c r="AA99" s="115">
        <f t="shared" si="21"/>
        <v>2554.59</v>
      </c>
      <c r="AH99" s="79"/>
      <c r="AI99" s="79"/>
      <c r="AJ99" s="79">
        <v>43752.04</v>
      </c>
      <c r="AK99" s="79">
        <v>-41197.450000000186</v>
      </c>
      <c r="AL99" s="79">
        <f t="shared" si="15"/>
        <v>2554.5899999998146</v>
      </c>
      <c r="AN99" s="79">
        <v>43752.04</v>
      </c>
      <c r="AO99" s="79">
        <v>-41197.450000000186</v>
      </c>
      <c r="AP99" s="79">
        <v>75133.19</v>
      </c>
      <c r="AQ99" s="79">
        <v>-31362.74</v>
      </c>
      <c r="AR99" s="79">
        <v>-85418.36</v>
      </c>
      <c r="AS99" s="79">
        <f t="shared" si="16"/>
        <v>-39093.320000000182</v>
      </c>
      <c r="BB99" s="103" t="s">
        <v>359</v>
      </c>
      <c r="BC99" s="101" t="s">
        <v>933</v>
      </c>
      <c r="BD99" s="117">
        <v>77687.78</v>
      </c>
      <c r="BE99" s="117">
        <v>-31362.74</v>
      </c>
      <c r="BF99" s="117">
        <v>-85418.36</v>
      </c>
      <c r="BG99" s="117">
        <v>-8710.56</v>
      </c>
      <c r="BH99" s="129">
        <v>-262111.41</v>
      </c>
      <c r="BI99" s="128">
        <f t="shared" si="17"/>
        <v>-309915.29000000004</v>
      </c>
      <c r="BM99" s="103" t="s">
        <v>359</v>
      </c>
      <c r="BN99" s="101" t="s">
        <v>933</v>
      </c>
      <c r="BO99" s="117">
        <v>0</v>
      </c>
      <c r="BP99" s="131">
        <v>46325.04</v>
      </c>
      <c r="BQ99" s="117">
        <v>-85418.36</v>
      </c>
      <c r="BR99" s="117">
        <v>-8710.56</v>
      </c>
      <c r="BS99" s="129">
        <v>-262111.41</v>
      </c>
      <c r="BT99" s="129"/>
      <c r="BU99" s="128">
        <f t="shared" si="22"/>
        <v>-309915.28999999998</v>
      </c>
      <c r="BW99" s="115">
        <f t="shared" si="23"/>
        <v>0</v>
      </c>
      <c r="BX99" s="131">
        <v>77687.78</v>
      </c>
      <c r="BY99" s="131">
        <v>-31362.74</v>
      </c>
      <c r="CC99" s="130">
        <f>+BO99+BP99</f>
        <v>46325.04</v>
      </c>
      <c r="CD99" s="115">
        <f>+BX99+BY99</f>
        <v>46325.039999999994</v>
      </c>
      <c r="CE99" s="115">
        <f>+CC99-CD99</f>
        <v>0</v>
      </c>
    </row>
    <row r="100" spans="2:83">
      <c r="B100" s="103" t="s">
        <v>361</v>
      </c>
      <c r="C100" s="101" t="s">
        <v>934</v>
      </c>
      <c r="D100" s="118">
        <v>-59173.48</v>
      </c>
      <c r="E100" s="118">
        <v>-100534.24</v>
      </c>
      <c r="F100" s="118">
        <v>-122947.39</v>
      </c>
      <c r="G100" s="127">
        <v>-108983.03</v>
      </c>
      <c r="H100" s="102">
        <f t="shared" si="14"/>
        <v>-391638.14</v>
      </c>
      <c r="K100" s="112" t="s">
        <v>361</v>
      </c>
      <c r="L100" s="111" t="s">
        <v>934</v>
      </c>
      <c r="M100" s="117">
        <v>0</v>
      </c>
      <c r="N100" s="117">
        <v>-72709.399999999994</v>
      </c>
      <c r="O100" s="117">
        <v>-59173.48</v>
      </c>
      <c r="P100" s="117">
        <v>-100534.24</v>
      </c>
      <c r="Q100" s="117">
        <v>-122947.39</v>
      </c>
      <c r="R100" s="117"/>
      <c r="S100" s="117">
        <f t="shared" si="18"/>
        <v>-355364.51</v>
      </c>
      <c r="T100" s="117">
        <v>-434622.79000000062</v>
      </c>
      <c r="U100" s="115">
        <f t="shared" si="19"/>
        <v>79258.28000000061</v>
      </c>
      <c r="Y100" s="115">
        <f t="shared" si="20"/>
        <v>0</v>
      </c>
      <c r="Z100" s="117">
        <v>-79258.28000000061</v>
      </c>
      <c r="AA100" s="115">
        <f t="shared" si="21"/>
        <v>0</v>
      </c>
      <c r="AH100" s="79"/>
      <c r="AI100" s="79"/>
      <c r="AJ100" s="79">
        <v>-65481.54</v>
      </c>
      <c r="AK100" s="79">
        <v>-79258.28000000061</v>
      </c>
      <c r="AL100" s="79">
        <f t="shared" si="15"/>
        <v>-79258.28000000061</v>
      </c>
      <c r="AN100" s="79">
        <v>-65481.54</v>
      </c>
      <c r="AO100" s="79">
        <v>-79258.28000000061</v>
      </c>
      <c r="AP100" s="79">
        <v>-72709.399999999994</v>
      </c>
      <c r="AQ100" s="79">
        <v>-59173.48</v>
      </c>
      <c r="AR100" s="79">
        <v>-100534.24</v>
      </c>
      <c r="AS100" s="79">
        <f t="shared" si="16"/>
        <v>-377156.94000000058</v>
      </c>
      <c r="BB100" s="103" t="s">
        <v>361</v>
      </c>
      <c r="BC100" s="101" t="s">
        <v>934</v>
      </c>
      <c r="BD100" s="117">
        <v>-72709.399999999994</v>
      </c>
      <c r="BE100" s="117">
        <v>-59173.48</v>
      </c>
      <c r="BF100" s="117">
        <v>-100534.24</v>
      </c>
      <c r="BG100" s="117">
        <v>-122947.39</v>
      </c>
      <c r="BH100" s="129">
        <v>-108983.03</v>
      </c>
      <c r="BI100" s="128">
        <f t="shared" si="17"/>
        <v>-464347.54000000004</v>
      </c>
      <c r="BM100" s="103" t="s">
        <v>361</v>
      </c>
      <c r="BN100" s="101" t="s">
        <v>934</v>
      </c>
      <c r="BO100" s="117">
        <v>0</v>
      </c>
      <c r="BP100" s="117">
        <v>-59173.48</v>
      </c>
      <c r="BQ100" s="117">
        <v>-100534.24</v>
      </c>
      <c r="BR100" s="117">
        <v>-122947.39</v>
      </c>
      <c r="BS100" s="129">
        <v>-108983.03</v>
      </c>
      <c r="BT100" s="129"/>
      <c r="BU100" s="128">
        <f t="shared" si="22"/>
        <v>-391638.14</v>
      </c>
      <c r="BW100" s="115">
        <f t="shared" si="23"/>
        <v>-72709.400000000023</v>
      </c>
      <c r="BX100" s="117">
        <v>-72709.399999999994</v>
      </c>
      <c r="BY100" s="117"/>
    </row>
    <row r="101" spans="2:83">
      <c r="B101" s="103" t="s">
        <v>98</v>
      </c>
      <c r="C101" s="101" t="s">
        <v>935</v>
      </c>
      <c r="D101" s="118">
        <v>1420004.52</v>
      </c>
      <c r="E101" s="118">
        <v>518494.2</v>
      </c>
      <c r="F101" s="118">
        <v>276967.93</v>
      </c>
      <c r="G101" s="127">
        <v>317667.46999999997</v>
      </c>
      <c r="H101" s="102">
        <f t="shared" si="14"/>
        <v>2533134.12</v>
      </c>
      <c r="K101" s="112" t="s">
        <v>98</v>
      </c>
      <c r="L101" s="111" t="s">
        <v>935</v>
      </c>
      <c r="M101" s="117">
        <v>0</v>
      </c>
      <c r="N101" s="117">
        <v>916520.9</v>
      </c>
      <c r="O101" s="117">
        <v>503483.62</v>
      </c>
      <c r="P101" s="117">
        <v>518494.2</v>
      </c>
      <c r="Q101" s="117">
        <v>276967.93</v>
      </c>
      <c r="R101" s="117"/>
      <c r="S101" s="117">
        <f t="shared" si="18"/>
        <v>2215466.65</v>
      </c>
      <c r="T101" s="117">
        <v>2215466.65</v>
      </c>
      <c r="U101" s="115">
        <f t="shared" si="19"/>
        <v>0</v>
      </c>
      <c r="W101" s="115">
        <f>+M101+N101</f>
        <v>916520.9</v>
      </c>
      <c r="Y101" s="115">
        <f t="shared" si="20"/>
        <v>525472.98</v>
      </c>
      <c r="Z101" s="117">
        <v>525472.98</v>
      </c>
      <c r="AA101" s="115">
        <f t="shared" si="21"/>
        <v>525472.98</v>
      </c>
      <c r="AH101" s="79"/>
      <c r="AI101" s="79"/>
      <c r="AJ101" s="79">
        <v>310496.24</v>
      </c>
      <c r="AK101" s="79">
        <v>214976.74000000022</v>
      </c>
      <c r="AL101" s="79">
        <f t="shared" si="15"/>
        <v>525472.98000000021</v>
      </c>
      <c r="AN101" s="79">
        <v>310496.24</v>
      </c>
      <c r="AO101" s="79">
        <v>214976.74000000022</v>
      </c>
      <c r="AP101" s="79">
        <v>391047.92</v>
      </c>
      <c r="AQ101" s="79">
        <v>503483.62</v>
      </c>
      <c r="AR101" s="79">
        <v>518494.2</v>
      </c>
      <c r="AS101" s="79">
        <f t="shared" si="16"/>
        <v>1938498.72</v>
      </c>
      <c r="BB101" s="103" t="s">
        <v>98</v>
      </c>
      <c r="BC101" s="101" t="s">
        <v>935</v>
      </c>
      <c r="BD101" s="117">
        <v>916520.9</v>
      </c>
      <c r="BE101" s="117">
        <v>503483.62</v>
      </c>
      <c r="BF101" s="117">
        <v>518494.2</v>
      </c>
      <c r="BG101" s="117">
        <v>276967.93</v>
      </c>
      <c r="BH101" s="129">
        <v>317667.46999999997</v>
      </c>
      <c r="BI101" s="128">
        <f t="shared" si="17"/>
        <v>2533134.12</v>
      </c>
      <c r="BM101" s="103" t="s">
        <v>98</v>
      </c>
      <c r="BN101" s="101" t="s">
        <v>935</v>
      </c>
      <c r="BO101" s="117">
        <v>0</v>
      </c>
      <c r="BP101" s="131">
        <v>1420004.52</v>
      </c>
      <c r="BQ101" s="117">
        <v>518494.2</v>
      </c>
      <c r="BR101" s="117">
        <v>276967.93</v>
      </c>
      <c r="BS101" s="129">
        <v>317667.46999999997</v>
      </c>
      <c r="BT101" s="129"/>
      <c r="BU101" s="128">
        <f t="shared" si="22"/>
        <v>2533134.12</v>
      </c>
      <c r="BW101" s="115">
        <f t="shared" si="23"/>
        <v>0</v>
      </c>
      <c r="BX101" s="131">
        <v>916520.9</v>
      </c>
      <c r="BY101" s="131">
        <v>503483.62</v>
      </c>
      <c r="CC101" s="130">
        <f>+BO101+BP101</f>
        <v>1420004.52</v>
      </c>
      <c r="CD101" s="115">
        <f>+BX101+BY101</f>
        <v>1420004.52</v>
      </c>
      <c r="CE101" s="115">
        <f>+CC101-CD101</f>
        <v>0</v>
      </c>
    </row>
    <row r="102" spans="2:83">
      <c r="B102" s="103" t="s">
        <v>364</v>
      </c>
      <c r="C102" s="101" t="s">
        <v>936</v>
      </c>
      <c r="D102" s="118">
        <v>229291.79</v>
      </c>
      <c r="E102" s="118">
        <v>-85607.32</v>
      </c>
      <c r="F102" s="118">
        <v>-101721.72</v>
      </c>
      <c r="G102" s="127">
        <v>-88976.22</v>
      </c>
      <c r="H102" s="102">
        <f t="shared" si="14"/>
        <v>-47013.47</v>
      </c>
      <c r="K102" s="112" t="s">
        <v>364</v>
      </c>
      <c r="L102" s="111" t="s">
        <v>936</v>
      </c>
      <c r="M102" s="117">
        <v>0</v>
      </c>
      <c r="N102" s="117">
        <v>226619.6</v>
      </c>
      <c r="O102" s="117">
        <v>2672.19</v>
      </c>
      <c r="P102" s="117">
        <v>-85607.32</v>
      </c>
      <c r="Q102" s="117">
        <v>-101721.72</v>
      </c>
      <c r="R102" s="117"/>
      <c r="S102" s="117">
        <f t="shared" si="18"/>
        <v>41962.75</v>
      </c>
      <c r="T102" s="117">
        <v>41962.75</v>
      </c>
      <c r="U102" s="115">
        <f t="shared" si="19"/>
        <v>0</v>
      </c>
      <c r="W102" s="115">
        <f>+M102+N102</f>
        <v>226619.6</v>
      </c>
      <c r="Y102" s="115">
        <f t="shared" si="20"/>
        <v>167549.56</v>
      </c>
      <c r="Z102" s="117">
        <v>167549.56</v>
      </c>
      <c r="AA102" s="115">
        <f t="shared" si="21"/>
        <v>167549.56</v>
      </c>
      <c r="AH102" s="79"/>
      <c r="AI102" s="79"/>
      <c r="AJ102" s="79">
        <v>108744.1</v>
      </c>
      <c r="AK102" s="79">
        <v>58805.460000002757</v>
      </c>
      <c r="AL102" s="79">
        <f t="shared" si="15"/>
        <v>167549.56000000276</v>
      </c>
      <c r="AN102" s="79">
        <v>108744.1</v>
      </c>
      <c r="AO102" s="79">
        <v>58805.460000002757</v>
      </c>
      <c r="AP102" s="79">
        <v>59070.04</v>
      </c>
      <c r="AQ102" s="79">
        <v>2672.19</v>
      </c>
      <c r="AR102" s="79">
        <v>-85607.32</v>
      </c>
      <c r="AS102" s="79">
        <f t="shared" si="16"/>
        <v>143684.47000000277</v>
      </c>
      <c r="BB102" s="103" t="s">
        <v>364</v>
      </c>
      <c r="BC102" s="101" t="s">
        <v>936</v>
      </c>
      <c r="BD102" s="117">
        <v>226619.6</v>
      </c>
      <c r="BE102" s="117">
        <v>2672.19</v>
      </c>
      <c r="BF102" s="117">
        <v>-85607.32</v>
      </c>
      <c r="BG102" s="117">
        <v>-101721.72</v>
      </c>
      <c r="BH102" s="129">
        <v>-88976.22</v>
      </c>
      <c r="BI102" s="128">
        <f t="shared" si="17"/>
        <v>-47013.47</v>
      </c>
      <c r="BM102" s="103" t="s">
        <v>364</v>
      </c>
      <c r="BN102" s="101" t="s">
        <v>936</v>
      </c>
      <c r="BO102" s="117">
        <v>0</v>
      </c>
      <c r="BP102" s="117">
        <v>229291.79</v>
      </c>
      <c r="BQ102" s="117">
        <v>-85607.32</v>
      </c>
      <c r="BR102" s="117">
        <v>-101721.72</v>
      </c>
      <c r="BS102" s="129">
        <v>-88976.22</v>
      </c>
      <c r="BT102" s="129"/>
      <c r="BU102" s="128">
        <f t="shared" si="22"/>
        <v>-47013.47</v>
      </c>
      <c r="BW102" s="115">
        <f t="shared" si="23"/>
        <v>0</v>
      </c>
      <c r="BX102" s="117">
        <v>226619.6</v>
      </c>
      <c r="BY102" s="117">
        <v>2672.19</v>
      </c>
      <c r="CC102" s="130">
        <f>+BO102+BP102</f>
        <v>229291.79</v>
      </c>
      <c r="CD102" s="115">
        <f>+BX102+BY102</f>
        <v>229291.79</v>
      </c>
      <c r="CE102" s="115">
        <f>+CC102-CD102</f>
        <v>0</v>
      </c>
    </row>
    <row r="103" spans="2:83">
      <c r="B103" s="103" t="s">
        <v>366</v>
      </c>
      <c r="C103" s="101" t="s">
        <v>937</v>
      </c>
      <c r="D103" s="118">
        <v>-417926.1</v>
      </c>
      <c r="E103" s="118">
        <v>-518564.28</v>
      </c>
      <c r="F103" s="118">
        <v>-471358.75</v>
      </c>
      <c r="G103" s="127">
        <v>-645276.09</v>
      </c>
      <c r="H103" s="102">
        <f t="shared" si="14"/>
        <v>-2053125.2199999997</v>
      </c>
      <c r="K103" s="112" t="s">
        <v>366</v>
      </c>
      <c r="L103" s="111" t="s">
        <v>937</v>
      </c>
      <c r="M103" s="117">
        <v>0</v>
      </c>
      <c r="N103" s="117">
        <v>-462279.1</v>
      </c>
      <c r="O103" s="117">
        <v>-417926.1</v>
      </c>
      <c r="P103" s="117">
        <v>-518564.28</v>
      </c>
      <c r="Q103" s="117">
        <v>-471358.75</v>
      </c>
      <c r="R103" s="117"/>
      <c r="S103" s="117">
        <f t="shared" si="18"/>
        <v>-1870128.23</v>
      </c>
      <c r="T103" s="117">
        <v>-2351121.3199999994</v>
      </c>
      <c r="U103" s="115">
        <f t="shared" si="19"/>
        <v>480993.08999999939</v>
      </c>
      <c r="Y103" s="115">
        <f t="shared" si="20"/>
        <v>0</v>
      </c>
      <c r="Z103" s="117">
        <v>-480993.08999999939</v>
      </c>
      <c r="AA103" s="115">
        <f t="shared" si="21"/>
        <v>0</v>
      </c>
      <c r="AH103" s="79"/>
      <c r="AI103" s="79"/>
      <c r="AJ103" s="79">
        <v>-300634.15999999997</v>
      </c>
      <c r="AK103" s="79">
        <v>-480993.08999999939</v>
      </c>
      <c r="AL103" s="79">
        <f t="shared" si="15"/>
        <v>-480993.08999999939</v>
      </c>
      <c r="AN103" s="79">
        <v>-300634.15999999997</v>
      </c>
      <c r="AO103" s="79">
        <v>-480993.08999999939</v>
      </c>
      <c r="AP103" s="79">
        <v>-462279.1</v>
      </c>
      <c r="AQ103" s="79">
        <v>-417926.1</v>
      </c>
      <c r="AR103" s="79">
        <v>-518564.28</v>
      </c>
      <c r="AS103" s="79">
        <f t="shared" si="16"/>
        <v>-2180396.7299999995</v>
      </c>
      <c r="BB103" s="103" t="s">
        <v>366</v>
      </c>
      <c r="BC103" s="101" t="s">
        <v>937</v>
      </c>
      <c r="BD103" s="117">
        <v>-462279.1</v>
      </c>
      <c r="BE103" s="117">
        <v>-417926.1</v>
      </c>
      <c r="BF103" s="117">
        <v>-518564.28</v>
      </c>
      <c r="BG103" s="117">
        <v>-471358.75</v>
      </c>
      <c r="BH103" s="129">
        <v>-645276.09</v>
      </c>
      <c r="BI103" s="128">
        <f t="shared" si="17"/>
        <v>-2515404.3199999998</v>
      </c>
      <c r="BM103" s="103" t="s">
        <v>366</v>
      </c>
      <c r="BN103" s="101" t="s">
        <v>937</v>
      </c>
      <c r="BO103" s="117">
        <v>0</v>
      </c>
      <c r="BP103" s="117">
        <v>-417926.1</v>
      </c>
      <c r="BQ103" s="117">
        <v>-518564.28</v>
      </c>
      <c r="BR103" s="117">
        <v>-471358.75</v>
      </c>
      <c r="BS103" s="129">
        <v>-645276.09</v>
      </c>
      <c r="BT103" s="129"/>
      <c r="BU103" s="128">
        <f t="shared" si="22"/>
        <v>-2053125.2199999997</v>
      </c>
      <c r="BW103" s="115">
        <f t="shared" si="23"/>
        <v>-462279.10000000009</v>
      </c>
      <c r="BX103" s="117">
        <v>-462279.1</v>
      </c>
      <c r="BY103" s="117"/>
    </row>
    <row r="104" spans="2:83">
      <c r="B104" s="103" t="s">
        <v>367</v>
      </c>
      <c r="C104" s="101" t="s">
        <v>938</v>
      </c>
      <c r="D104" s="118">
        <v>1009282.96</v>
      </c>
      <c r="E104" s="118">
        <v>23499.43</v>
      </c>
      <c r="F104" s="118">
        <v>189313.36</v>
      </c>
      <c r="G104" s="127">
        <v>77362.25</v>
      </c>
      <c r="H104" s="102">
        <f t="shared" si="14"/>
        <v>1299458</v>
      </c>
      <c r="K104" s="112" t="s">
        <v>367</v>
      </c>
      <c r="L104" s="111" t="s">
        <v>938</v>
      </c>
      <c r="M104" s="117">
        <v>0</v>
      </c>
      <c r="N104" s="117">
        <v>748850.72</v>
      </c>
      <c r="O104" s="117">
        <v>260432.24</v>
      </c>
      <c r="P104" s="117">
        <v>23499.43</v>
      </c>
      <c r="Q104" s="117">
        <v>189313.36</v>
      </c>
      <c r="R104" s="117"/>
      <c r="S104" s="117">
        <f t="shared" si="18"/>
        <v>1222095.75</v>
      </c>
      <c r="T104" s="117">
        <v>1222095.75</v>
      </c>
      <c r="U104" s="115">
        <f t="shared" si="19"/>
        <v>0</v>
      </c>
      <c r="W104" s="115">
        <f>+M104+N104</f>
        <v>748850.72</v>
      </c>
      <c r="Y104" s="115">
        <f t="shared" si="20"/>
        <v>414630.07</v>
      </c>
      <c r="Z104" s="117">
        <v>414630.07</v>
      </c>
      <c r="AA104" s="115">
        <f t="shared" si="21"/>
        <v>414630.07</v>
      </c>
      <c r="AH104" s="79"/>
      <c r="AI104" s="79"/>
      <c r="AJ104" s="79">
        <v>261209.12</v>
      </c>
      <c r="AK104" s="79">
        <v>153420.95000000484</v>
      </c>
      <c r="AL104" s="79">
        <f t="shared" si="15"/>
        <v>414630.07000000484</v>
      </c>
      <c r="AN104" s="79">
        <v>261209.12</v>
      </c>
      <c r="AO104" s="79">
        <v>153420.95000000484</v>
      </c>
      <c r="AP104" s="79">
        <v>334220.65000000002</v>
      </c>
      <c r="AQ104" s="79">
        <v>260432.24</v>
      </c>
      <c r="AR104" s="79">
        <v>23499.43</v>
      </c>
      <c r="AS104" s="79">
        <f t="shared" si="16"/>
        <v>1032782.3900000049</v>
      </c>
      <c r="BB104" s="103" t="s">
        <v>367</v>
      </c>
      <c r="BC104" s="101" t="s">
        <v>938</v>
      </c>
      <c r="BD104" s="117">
        <v>748850.72</v>
      </c>
      <c r="BE104" s="117">
        <v>260432.24</v>
      </c>
      <c r="BF104" s="117">
        <v>23499.43</v>
      </c>
      <c r="BG104" s="117">
        <v>189313.36</v>
      </c>
      <c r="BH104" s="129">
        <v>77362.25</v>
      </c>
      <c r="BI104" s="128">
        <f t="shared" si="17"/>
        <v>1299458</v>
      </c>
      <c r="BM104" s="103" t="s">
        <v>367</v>
      </c>
      <c r="BN104" s="101" t="s">
        <v>938</v>
      </c>
      <c r="BO104" s="117">
        <v>0</v>
      </c>
      <c r="BP104" s="131">
        <v>1009282.96</v>
      </c>
      <c r="BQ104" s="117">
        <v>23499.43</v>
      </c>
      <c r="BR104" s="117">
        <v>189313.36</v>
      </c>
      <c r="BS104" s="129">
        <v>77362.25</v>
      </c>
      <c r="BT104" s="129"/>
      <c r="BU104" s="128">
        <f t="shared" si="22"/>
        <v>1299458</v>
      </c>
      <c r="BW104" s="115">
        <f t="shared" si="23"/>
        <v>0</v>
      </c>
      <c r="BX104" s="131">
        <v>748850.72</v>
      </c>
      <c r="BY104" s="131">
        <v>260432.24</v>
      </c>
      <c r="CC104" s="130">
        <f>+BO104+BP104</f>
        <v>1009282.96</v>
      </c>
      <c r="CD104" s="115">
        <f>+BX104+BY104</f>
        <v>1009282.96</v>
      </c>
      <c r="CE104" s="115">
        <f>+CC104-CD104</f>
        <v>0</v>
      </c>
    </row>
    <row r="105" spans="2:83">
      <c r="B105" s="103" t="s">
        <v>369</v>
      </c>
      <c r="C105" s="101" t="s">
        <v>939</v>
      </c>
      <c r="D105" s="118">
        <v>-196569.39</v>
      </c>
      <c r="E105" s="118">
        <v>-188237.51</v>
      </c>
      <c r="F105" s="118">
        <v>-185875.91</v>
      </c>
      <c r="G105" s="127">
        <v>-260611.35</v>
      </c>
      <c r="H105" s="102">
        <f t="shared" si="14"/>
        <v>-831294.16</v>
      </c>
      <c r="K105" s="112" t="s">
        <v>369</v>
      </c>
      <c r="L105" s="111" t="s">
        <v>939</v>
      </c>
      <c r="M105" s="117">
        <v>0</v>
      </c>
      <c r="N105" s="117">
        <v>-159488.1</v>
      </c>
      <c r="O105" s="117">
        <v>-196569.39</v>
      </c>
      <c r="P105" s="117">
        <v>-188237.51</v>
      </c>
      <c r="Q105" s="117">
        <v>-185875.91</v>
      </c>
      <c r="R105" s="117"/>
      <c r="S105" s="117">
        <f t="shared" si="18"/>
        <v>-730170.91</v>
      </c>
      <c r="T105" s="117">
        <v>-933264.28999999992</v>
      </c>
      <c r="U105" s="115">
        <f t="shared" si="19"/>
        <v>203093.37999999989</v>
      </c>
      <c r="Y105" s="115">
        <f t="shared" si="20"/>
        <v>0</v>
      </c>
      <c r="Z105" s="117">
        <v>-203093.37999999989</v>
      </c>
      <c r="AA105" s="115">
        <f t="shared" si="21"/>
        <v>0</v>
      </c>
      <c r="AH105" s="79"/>
      <c r="AI105" s="79"/>
      <c r="AJ105" s="79">
        <v>-321202.53000000003</v>
      </c>
      <c r="AK105" s="79">
        <v>-203093.37999999989</v>
      </c>
      <c r="AL105" s="79">
        <f t="shared" si="15"/>
        <v>-203093.37999999989</v>
      </c>
      <c r="AN105" s="79">
        <v>-321202.53000000003</v>
      </c>
      <c r="AO105" s="79">
        <v>-203093.37999999989</v>
      </c>
      <c r="AP105" s="79">
        <v>-159488.1</v>
      </c>
      <c r="AQ105" s="79">
        <v>-196569.39</v>
      </c>
      <c r="AR105" s="79">
        <v>-188237.51</v>
      </c>
      <c r="AS105" s="79">
        <f t="shared" si="16"/>
        <v>-1068590.9099999999</v>
      </c>
      <c r="BB105" s="103" t="s">
        <v>369</v>
      </c>
      <c r="BC105" s="101" t="s">
        <v>939</v>
      </c>
      <c r="BD105" s="117">
        <v>-159488.1</v>
      </c>
      <c r="BE105" s="117">
        <v>-196569.39</v>
      </c>
      <c r="BF105" s="117">
        <v>-188237.51</v>
      </c>
      <c r="BG105" s="117">
        <v>-185875.91</v>
      </c>
      <c r="BH105" s="129">
        <v>-260611.35</v>
      </c>
      <c r="BI105" s="128">
        <f t="shared" si="17"/>
        <v>-990782.26</v>
      </c>
      <c r="BM105" s="103" t="s">
        <v>369</v>
      </c>
      <c r="BN105" s="101" t="s">
        <v>939</v>
      </c>
      <c r="BO105" s="117">
        <v>0</v>
      </c>
      <c r="BP105" s="117">
        <v>-196569.39</v>
      </c>
      <c r="BQ105" s="117">
        <v>-188237.51</v>
      </c>
      <c r="BR105" s="117">
        <v>-185875.91</v>
      </c>
      <c r="BS105" s="129">
        <v>-260611.35</v>
      </c>
      <c r="BT105" s="129"/>
      <c r="BU105" s="128">
        <f t="shared" si="22"/>
        <v>-831294.16</v>
      </c>
      <c r="BW105" s="115">
        <f t="shared" si="23"/>
        <v>-159488.09999999998</v>
      </c>
      <c r="BX105" s="117">
        <v>-159488.1</v>
      </c>
      <c r="BY105" s="117"/>
    </row>
    <row r="106" spans="2:83">
      <c r="B106" s="103" t="s">
        <v>371</v>
      </c>
      <c r="C106" s="101" t="s">
        <v>940</v>
      </c>
      <c r="D106" s="118">
        <v>-433134.19</v>
      </c>
      <c r="E106" s="118">
        <v>-609097.02</v>
      </c>
      <c r="F106" s="118">
        <v>-407059.53</v>
      </c>
      <c r="G106" s="127">
        <v>-615663.81999999995</v>
      </c>
      <c r="H106" s="102">
        <f t="shared" si="14"/>
        <v>-2064954.56</v>
      </c>
      <c r="K106" s="112" t="s">
        <v>371</v>
      </c>
      <c r="L106" s="111" t="s">
        <v>940</v>
      </c>
      <c r="M106" s="117">
        <v>0</v>
      </c>
      <c r="N106" s="117">
        <v>-440897.06</v>
      </c>
      <c r="O106" s="117">
        <v>-433134.19</v>
      </c>
      <c r="P106" s="117">
        <v>-609097.02</v>
      </c>
      <c r="Q106" s="117">
        <v>-407059.53</v>
      </c>
      <c r="R106" s="117"/>
      <c r="S106" s="117">
        <f t="shared" si="18"/>
        <v>-1890187.8</v>
      </c>
      <c r="T106" s="117">
        <v>-2352253.1700000037</v>
      </c>
      <c r="U106" s="115">
        <f t="shared" si="19"/>
        <v>462065.3700000036</v>
      </c>
      <c r="Y106" s="115">
        <f t="shared" si="20"/>
        <v>0</v>
      </c>
      <c r="Z106" s="117">
        <v>-462065.37000000384</v>
      </c>
      <c r="AA106" s="115">
        <f t="shared" si="21"/>
        <v>0</v>
      </c>
      <c r="AH106" s="79"/>
      <c r="AI106" s="79"/>
      <c r="AJ106" s="79">
        <v>-452524.93</v>
      </c>
      <c r="AK106" s="79">
        <v>-462065.37000000384</v>
      </c>
      <c r="AL106" s="79">
        <f t="shared" si="15"/>
        <v>-462065.37000000384</v>
      </c>
      <c r="AN106" s="79">
        <v>-452524.93</v>
      </c>
      <c r="AO106" s="79">
        <v>-462065.37000000384</v>
      </c>
      <c r="AP106" s="79">
        <v>-440897.06</v>
      </c>
      <c r="AQ106" s="79">
        <v>-433134.19</v>
      </c>
      <c r="AR106" s="79">
        <v>-609097.02</v>
      </c>
      <c r="AS106" s="79">
        <f t="shared" si="16"/>
        <v>-2397718.570000004</v>
      </c>
      <c r="BB106" s="103" t="s">
        <v>371</v>
      </c>
      <c r="BC106" s="101" t="s">
        <v>940</v>
      </c>
      <c r="BD106" s="117">
        <v>-440897.06</v>
      </c>
      <c r="BE106" s="117">
        <v>-433134.19</v>
      </c>
      <c r="BF106" s="117">
        <v>-609097.02</v>
      </c>
      <c r="BG106" s="117">
        <v>-407059.53</v>
      </c>
      <c r="BH106" s="129">
        <v>-615663.81999999995</v>
      </c>
      <c r="BI106" s="128">
        <f t="shared" si="17"/>
        <v>-2505851.62</v>
      </c>
      <c r="BM106" s="103" t="s">
        <v>371</v>
      </c>
      <c r="BN106" s="101" t="s">
        <v>940</v>
      </c>
      <c r="BO106" s="117">
        <v>0</v>
      </c>
      <c r="BP106" s="117">
        <v>-433134.19</v>
      </c>
      <c r="BQ106" s="117">
        <v>-609097.02</v>
      </c>
      <c r="BR106" s="117">
        <v>-407059.53</v>
      </c>
      <c r="BS106" s="129">
        <v>-615663.81999999995</v>
      </c>
      <c r="BT106" s="129"/>
      <c r="BU106" s="128">
        <f t="shared" si="22"/>
        <v>-2064954.56</v>
      </c>
      <c r="BW106" s="115">
        <f t="shared" si="23"/>
        <v>-440897.06000000006</v>
      </c>
      <c r="BX106" s="117">
        <v>-440897.06</v>
      </c>
      <c r="BY106" s="117"/>
    </row>
    <row r="107" spans="2:83">
      <c r="B107" s="103" t="s">
        <v>373</v>
      </c>
      <c r="C107" s="101" t="s">
        <v>941</v>
      </c>
      <c r="D107" s="118">
        <v>496274.1</v>
      </c>
      <c r="E107" s="118">
        <v>265697.21000000002</v>
      </c>
      <c r="F107" s="118">
        <v>338.48</v>
      </c>
      <c r="G107" s="127">
        <v>-140387.39000000001</v>
      </c>
      <c r="H107" s="102">
        <f t="shared" si="14"/>
        <v>621922.4</v>
      </c>
      <c r="K107" s="112" t="s">
        <v>373</v>
      </c>
      <c r="L107" s="111" t="s">
        <v>941</v>
      </c>
      <c r="M107" s="117">
        <v>0</v>
      </c>
      <c r="N107" s="117">
        <v>585645.12</v>
      </c>
      <c r="O107" s="117">
        <v>-89371.02</v>
      </c>
      <c r="P107" s="117">
        <v>265697.21000000002</v>
      </c>
      <c r="Q107" s="117">
        <v>338.48</v>
      </c>
      <c r="R107" s="117"/>
      <c r="S107" s="117">
        <f t="shared" si="18"/>
        <v>762309.79</v>
      </c>
      <c r="T107" s="117">
        <v>762309.79</v>
      </c>
      <c r="U107" s="115">
        <f t="shared" si="19"/>
        <v>0</v>
      </c>
      <c r="W107" s="115">
        <f>+M107+N107</f>
        <v>585645.12</v>
      </c>
      <c r="Y107" s="115">
        <f t="shared" si="20"/>
        <v>800040.78</v>
      </c>
      <c r="Z107" s="117">
        <v>800040.78</v>
      </c>
      <c r="AA107" s="115">
        <f t="shared" si="21"/>
        <v>800040.78</v>
      </c>
      <c r="AH107" s="79"/>
      <c r="AI107" s="79"/>
      <c r="AJ107" s="79">
        <v>302257.09000000003</v>
      </c>
      <c r="AK107" s="79">
        <v>497783.68999999948</v>
      </c>
      <c r="AL107" s="79">
        <f t="shared" si="15"/>
        <v>800040.77999999956</v>
      </c>
      <c r="AN107" s="79">
        <v>302257.09000000003</v>
      </c>
      <c r="AO107" s="79">
        <v>497783.68999999948</v>
      </c>
      <c r="AP107" s="79">
        <v>-214395.66</v>
      </c>
      <c r="AQ107" s="79">
        <v>-89371.02</v>
      </c>
      <c r="AR107" s="79">
        <v>265697.21000000002</v>
      </c>
      <c r="AS107" s="79">
        <f t="shared" si="16"/>
        <v>761971.30999999959</v>
      </c>
      <c r="BB107" s="103" t="s">
        <v>373</v>
      </c>
      <c r="BC107" s="101" t="s">
        <v>941</v>
      </c>
      <c r="BD107" s="117">
        <v>585645.12</v>
      </c>
      <c r="BE107" s="117">
        <v>-89371.02</v>
      </c>
      <c r="BF107" s="117">
        <v>265697.21000000002</v>
      </c>
      <c r="BG107" s="117">
        <v>338.48</v>
      </c>
      <c r="BH107" s="129">
        <v>-140387.39000000001</v>
      </c>
      <c r="BI107" s="128">
        <f t="shared" si="17"/>
        <v>621922.4</v>
      </c>
      <c r="BM107" s="103" t="s">
        <v>373</v>
      </c>
      <c r="BN107" s="101" t="s">
        <v>941</v>
      </c>
      <c r="BO107" s="117">
        <v>0</v>
      </c>
      <c r="BP107" s="131">
        <v>496274.1</v>
      </c>
      <c r="BQ107" s="117">
        <v>265697.21000000002</v>
      </c>
      <c r="BR107" s="117">
        <v>338.48</v>
      </c>
      <c r="BS107" s="129">
        <v>-140387.39000000001</v>
      </c>
      <c r="BT107" s="129"/>
      <c r="BU107" s="128">
        <f t="shared" si="22"/>
        <v>621922.4</v>
      </c>
      <c r="BW107" s="115">
        <f t="shared" si="23"/>
        <v>0</v>
      </c>
      <c r="BX107" s="131">
        <v>585645.12</v>
      </c>
      <c r="BY107" s="131">
        <v>-89371.02</v>
      </c>
      <c r="CC107" s="130">
        <f>+BO107+BP107</f>
        <v>496274.1</v>
      </c>
      <c r="CD107" s="115">
        <f>+BX107+BY107</f>
        <v>496274.1</v>
      </c>
      <c r="CE107" s="115">
        <f>+CC107-CD107</f>
        <v>0</v>
      </c>
    </row>
    <row r="108" spans="2:83">
      <c r="B108" s="103" t="s">
        <v>375</v>
      </c>
      <c r="C108" s="101" t="s">
        <v>942</v>
      </c>
      <c r="D108" s="118">
        <v>-256711.55</v>
      </c>
      <c r="E108" s="118">
        <v>-45190.35</v>
      </c>
      <c r="F108" s="118">
        <v>-375302.72</v>
      </c>
      <c r="G108" s="127">
        <v>-494175.7</v>
      </c>
      <c r="H108" s="102">
        <f t="shared" si="14"/>
        <v>-1171380.3199999998</v>
      </c>
      <c r="K108" s="112" t="s">
        <v>375</v>
      </c>
      <c r="L108" s="111" t="s">
        <v>942</v>
      </c>
      <c r="M108" s="117">
        <v>0</v>
      </c>
      <c r="N108" s="117">
        <v>-19085.64</v>
      </c>
      <c r="O108" s="117">
        <v>-256711.55</v>
      </c>
      <c r="P108" s="117">
        <v>-45190.35</v>
      </c>
      <c r="Q108" s="117">
        <v>-375302.72</v>
      </c>
      <c r="R108" s="117"/>
      <c r="S108" s="117">
        <f t="shared" si="18"/>
        <v>-696290.26</v>
      </c>
      <c r="T108" s="117">
        <v>-995480.56999999669</v>
      </c>
      <c r="U108" s="115">
        <f t="shared" si="19"/>
        <v>299190.30999999668</v>
      </c>
      <c r="Y108" s="115">
        <f t="shared" si="20"/>
        <v>0</v>
      </c>
      <c r="Z108" s="117">
        <v>-299190.3099999968</v>
      </c>
      <c r="AA108" s="115">
        <f t="shared" si="21"/>
        <v>0</v>
      </c>
      <c r="AH108" s="79"/>
      <c r="AI108" s="79"/>
      <c r="AJ108" s="79">
        <v>-169744.36</v>
      </c>
      <c r="AK108" s="79">
        <v>-299190.3099999968</v>
      </c>
      <c r="AL108" s="79">
        <f t="shared" si="15"/>
        <v>-299190.3099999968</v>
      </c>
      <c r="AN108" s="79">
        <v>-169744.36</v>
      </c>
      <c r="AO108" s="79">
        <v>-299190.3099999968</v>
      </c>
      <c r="AP108" s="79">
        <v>-19085.64</v>
      </c>
      <c r="AQ108" s="79">
        <v>-256711.55</v>
      </c>
      <c r="AR108" s="79">
        <v>-45190.35</v>
      </c>
      <c r="AS108" s="79">
        <f t="shared" si="16"/>
        <v>-789922.20999999682</v>
      </c>
      <c r="BB108" s="103" t="s">
        <v>375</v>
      </c>
      <c r="BC108" s="101" t="s">
        <v>942</v>
      </c>
      <c r="BD108" s="117">
        <v>-19085.64</v>
      </c>
      <c r="BE108" s="117">
        <v>-256711.55</v>
      </c>
      <c r="BF108" s="117">
        <v>-45190.35</v>
      </c>
      <c r="BG108" s="117">
        <v>-375302.72</v>
      </c>
      <c r="BH108" s="129">
        <v>-494175.7</v>
      </c>
      <c r="BI108" s="128">
        <f t="shared" si="17"/>
        <v>-1190465.96</v>
      </c>
      <c r="BM108" s="103" t="s">
        <v>375</v>
      </c>
      <c r="BN108" s="101" t="s">
        <v>942</v>
      </c>
      <c r="BO108" s="117">
        <v>0</v>
      </c>
      <c r="BP108" s="117">
        <v>-256711.55</v>
      </c>
      <c r="BQ108" s="117">
        <v>-45190.35</v>
      </c>
      <c r="BR108" s="117">
        <v>-375302.72</v>
      </c>
      <c r="BS108" s="129">
        <v>-494175.7</v>
      </c>
      <c r="BT108" s="129"/>
      <c r="BU108" s="128">
        <f t="shared" si="22"/>
        <v>-1171380.3199999998</v>
      </c>
      <c r="BW108" s="115">
        <f t="shared" si="23"/>
        <v>-19085.64000000013</v>
      </c>
      <c r="BX108" s="117">
        <v>-19085.64</v>
      </c>
      <c r="BY108" s="117"/>
    </row>
    <row r="109" spans="2:83">
      <c r="B109" s="103" t="s">
        <v>377</v>
      </c>
      <c r="C109" s="101" t="s">
        <v>943</v>
      </c>
      <c r="D109" s="118">
        <v>-17394.54</v>
      </c>
      <c r="E109" s="118">
        <v>59994.82</v>
      </c>
      <c r="F109" s="118">
        <v>52158.720000000001</v>
      </c>
      <c r="G109" s="127">
        <v>39260.31</v>
      </c>
      <c r="H109" s="102">
        <f t="shared" si="14"/>
        <v>134019.31</v>
      </c>
      <c r="K109" s="112" t="s">
        <v>377</v>
      </c>
      <c r="L109" s="111" t="s">
        <v>943</v>
      </c>
      <c r="M109" s="117">
        <v>0</v>
      </c>
      <c r="N109" s="117">
        <v>27519.22</v>
      </c>
      <c r="O109" s="117">
        <v>-44913.760000000002</v>
      </c>
      <c r="P109" s="117">
        <v>59994.82</v>
      </c>
      <c r="Q109" s="117">
        <v>52158.720000000001</v>
      </c>
      <c r="R109" s="117"/>
      <c r="S109" s="117">
        <f t="shared" si="18"/>
        <v>94759</v>
      </c>
      <c r="T109" s="117">
        <v>94758.999999999985</v>
      </c>
      <c r="U109" s="115">
        <f t="shared" si="19"/>
        <v>0</v>
      </c>
      <c r="W109" s="115">
        <f>+M109+N109</f>
        <v>27519.22</v>
      </c>
      <c r="Y109" s="115">
        <f t="shared" si="20"/>
        <v>126616.29</v>
      </c>
      <c r="Z109" s="117">
        <v>126616.29</v>
      </c>
      <c r="AA109" s="115">
        <f t="shared" si="21"/>
        <v>126616.29</v>
      </c>
      <c r="AH109" s="79"/>
      <c r="AI109" s="79"/>
      <c r="AJ109" s="79">
        <v>48606.35</v>
      </c>
      <c r="AK109" s="79">
        <v>78009.94000000041</v>
      </c>
      <c r="AL109" s="79">
        <f t="shared" si="15"/>
        <v>126616.29000000042</v>
      </c>
      <c r="AN109" s="79">
        <v>48606.35</v>
      </c>
      <c r="AO109" s="79">
        <v>78009.94000000041</v>
      </c>
      <c r="AP109" s="79">
        <v>-99097.07</v>
      </c>
      <c r="AQ109" s="79">
        <v>-44913.760000000002</v>
      </c>
      <c r="AR109" s="79">
        <v>59994.82</v>
      </c>
      <c r="AS109" s="79">
        <f t="shared" si="16"/>
        <v>42600.280000000406</v>
      </c>
      <c r="BB109" s="103" t="s">
        <v>377</v>
      </c>
      <c r="BC109" s="101" t="s">
        <v>943</v>
      </c>
      <c r="BD109" s="117">
        <v>27519.22</v>
      </c>
      <c r="BE109" s="117">
        <v>-44913.760000000002</v>
      </c>
      <c r="BF109" s="117">
        <v>59994.82</v>
      </c>
      <c r="BG109" s="117">
        <v>52158.720000000001</v>
      </c>
      <c r="BH109" s="129">
        <v>39260.31</v>
      </c>
      <c r="BI109" s="128">
        <f t="shared" si="17"/>
        <v>134019.31</v>
      </c>
      <c r="BM109" s="103" t="s">
        <v>377</v>
      </c>
      <c r="BN109" s="101" t="s">
        <v>943</v>
      </c>
      <c r="BO109" s="117">
        <v>0</v>
      </c>
      <c r="BP109" s="131">
        <v>-17394.54</v>
      </c>
      <c r="BQ109" s="117">
        <v>59994.82</v>
      </c>
      <c r="BR109" s="117">
        <v>52158.720000000001</v>
      </c>
      <c r="BS109" s="129">
        <v>39260.31</v>
      </c>
      <c r="BT109" s="129"/>
      <c r="BU109" s="128">
        <f t="shared" si="22"/>
        <v>134019.31</v>
      </c>
      <c r="BW109" s="115">
        <f t="shared" si="23"/>
        <v>0</v>
      </c>
      <c r="BX109" s="131">
        <v>27519.22</v>
      </c>
      <c r="BY109" s="131">
        <v>-44913.760000000002</v>
      </c>
      <c r="CC109" s="130">
        <f>+BO109+BP109</f>
        <v>-17394.54</v>
      </c>
      <c r="CD109" s="115">
        <f>+BX109+BY109</f>
        <v>-17394.54</v>
      </c>
      <c r="CE109" s="115">
        <f>+CC109-CD109</f>
        <v>0</v>
      </c>
    </row>
    <row r="110" spans="2:83">
      <c r="B110" s="103" t="s">
        <v>379</v>
      </c>
      <c r="C110" s="101" t="s">
        <v>944</v>
      </c>
      <c r="D110" s="118">
        <v>-63847.06</v>
      </c>
      <c r="E110" s="118">
        <v>-82337.759999999995</v>
      </c>
      <c r="F110" s="118">
        <v>-143362.62</v>
      </c>
      <c r="G110" s="127">
        <v>-93654.29</v>
      </c>
      <c r="H110" s="102">
        <f t="shared" si="14"/>
        <v>-383201.73</v>
      </c>
      <c r="K110" s="112" t="s">
        <v>379</v>
      </c>
      <c r="L110" s="111" t="s">
        <v>944</v>
      </c>
      <c r="M110" s="117">
        <v>0</v>
      </c>
      <c r="N110" s="117">
        <v>-81021.58</v>
      </c>
      <c r="O110" s="117">
        <v>-63847.06</v>
      </c>
      <c r="P110" s="117">
        <v>-82337.759999999995</v>
      </c>
      <c r="Q110" s="117">
        <v>-143362.62</v>
      </c>
      <c r="R110" s="117"/>
      <c r="S110" s="117">
        <f t="shared" si="18"/>
        <v>-370569.02</v>
      </c>
      <c r="T110" s="117">
        <v>-370569.02</v>
      </c>
      <c r="U110" s="115">
        <f t="shared" si="19"/>
        <v>0</v>
      </c>
      <c r="Y110" s="115">
        <f t="shared" si="20"/>
        <v>0</v>
      </c>
      <c r="Z110" s="117">
        <v>0</v>
      </c>
      <c r="AA110" s="115">
        <f t="shared" si="21"/>
        <v>0</v>
      </c>
      <c r="AH110" s="82"/>
      <c r="AI110" s="79"/>
      <c r="AJ110" s="79">
        <v>-66130.179999999993</v>
      </c>
      <c r="AK110" s="79">
        <v>51421.540000000736</v>
      </c>
      <c r="AL110" s="79">
        <f t="shared" si="15"/>
        <v>51421.540000000736</v>
      </c>
      <c r="AN110" s="79">
        <v>-66130.179999999993</v>
      </c>
      <c r="AO110" s="79">
        <v>51421.540000000736</v>
      </c>
      <c r="AP110" s="79">
        <v>-81021.58</v>
      </c>
      <c r="AQ110" s="79">
        <v>-63847.06</v>
      </c>
      <c r="AR110" s="79">
        <v>-82337.759999999995</v>
      </c>
      <c r="AS110" s="79">
        <f t="shared" si="16"/>
        <v>-241915.03999999928</v>
      </c>
      <c r="AT110" s="87"/>
      <c r="BB110" s="103" t="s">
        <v>379</v>
      </c>
      <c r="BC110" s="101" t="s">
        <v>944</v>
      </c>
      <c r="BD110" s="117">
        <v>-81021.58</v>
      </c>
      <c r="BE110" s="117">
        <v>-63847.06</v>
      </c>
      <c r="BF110" s="117">
        <v>-82337.759999999995</v>
      </c>
      <c r="BG110" s="117">
        <v>-143362.62</v>
      </c>
      <c r="BH110" s="129">
        <v>-93654.29</v>
      </c>
      <c r="BI110" s="128">
        <f t="shared" si="17"/>
        <v>-464223.31</v>
      </c>
      <c r="BM110" s="103" t="s">
        <v>379</v>
      </c>
      <c r="BN110" s="101" t="s">
        <v>944</v>
      </c>
      <c r="BO110" s="117">
        <v>0</v>
      </c>
      <c r="BP110" s="117">
        <v>-63847.06</v>
      </c>
      <c r="BQ110" s="117">
        <v>-82337.759999999995</v>
      </c>
      <c r="BR110" s="117">
        <v>-143362.62</v>
      </c>
      <c r="BS110" s="129">
        <v>-93654.29</v>
      </c>
      <c r="BT110" s="129"/>
      <c r="BU110" s="128">
        <f t="shared" si="22"/>
        <v>-383201.73</v>
      </c>
      <c r="BW110" s="115">
        <f t="shared" si="23"/>
        <v>-81021.580000000016</v>
      </c>
      <c r="BX110" s="117">
        <v>-81021.58</v>
      </c>
      <c r="BY110" s="117"/>
    </row>
    <row r="111" spans="2:83">
      <c r="B111" s="103" t="s">
        <v>381</v>
      </c>
      <c r="C111" s="101" t="s">
        <v>945</v>
      </c>
      <c r="D111" s="118">
        <v>-201617.78</v>
      </c>
      <c r="E111" s="118">
        <v>-193644.53</v>
      </c>
      <c r="F111" s="118">
        <v>-211823.76</v>
      </c>
      <c r="G111" s="127">
        <v>-217163.17</v>
      </c>
      <c r="H111" s="102">
        <f t="shared" si="14"/>
        <v>-824249.24000000011</v>
      </c>
      <c r="K111" s="112" t="s">
        <v>381</v>
      </c>
      <c r="L111" s="111" t="s">
        <v>945</v>
      </c>
      <c r="M111" s="117">
        <v>0</v>
      </c>
      <c r="N111" s="117">
        <v>-86906.99</v>
      </c>
      <c r="O111" s="117">
        <v>-201617.78</v>
      </c>
      <c r="P111" s="117">
        <v>-193644.53</v>
      </c>
      <c r="Q111" s="117">
        <v>-211823.76</v>
      </c>
      <c r="R111" s="117"/>
      <c r="S111" s="117">
        <f t="shared" si="18"/>
        <v>-693993.06</v>
      </c>
      <c r="T111" s="117">
        <v>-896553.91999999853</v>
      </c>
      <c r="U111" s="115">
        <f t="shared" si="19"/>
        <v>202560.85999999847</v>
      </c>
      <c r="Y111" s="115">
        <f t="shared" si="20"/>
        <v>0</v>
      </c>
      <c r="Z111" s="117">
        <v>-202560.85999999847</v>
      </c>
      <c r="AA111" s="115">
        <f t="shared" si="21"/>
        <v>0</v>
      </c>
      <c r="AH111" s="79"/>
      <c r="AI111" s="79"/>
      <c r="AJ111" s="79">
        <v>-215248.37</v>
      </c>
      <c r="AK111" s="79">
        <v>-202560.85999999847</v>
      </c>
      <c r="AL111" s="79">
        <f t="shared" si="15"/>
        <v>-202560.85999999847</v>
      </c>
      <c r="AN111" s="79">
        <v>-215248.37</v>
      </c>
      <c r="AO111" s="79">
        <v>-202560.85999999847</v>
      </c>
      <c r="AP111" s="79">
        <v>-86906.99</v>
      </c>
      <c r="AQ111" s="79">
        <v>-201617.78</v>
      </c>
      <c r="AR111" s="79">
        <v>-193644.53</v>
      </c>
      <c r="AS111" s="79">
        <f t="shared" si="16"/>
        <v>-899978.52999999851</v>
      </c>
      <c r="BB111" s="103" t="s">
        <v>381</v>
      </c>
      <c r="BC111" s="101" t="s">
        <v>945</v>
      </c>
      <c r="BD111" s="117">
        <v>-86906.99</v>
      </c>
      <c r="BE111" s="117">
        <v>-201617.78</v>
      </c>
      <c r="BF111" s="117">
        <v>-193644.53</v>
      </c>
      <c r="BG111" s="117">
        <v>-211823.76</v>
      </c>
      <c r="BH111" s="129">
        <v>-217163.17</v>
      </c>
      <c r="BI111" s="128">
        <f t="shared" si="17"/>
        <v>-911156.2300000001</v>
      </c>
      <c r="BM111" s="103" t="s">
        <v>381</v>
      </c>
      <c r="BN111" s="101" t="s">
        <v>945</v>
      </c>
      <c r="BO111" s="117">
        <v>0</v>
      </c>
      <c r="BP111" s="117">
        <v>-201617.78</v>
      </c>
      <c r="BQ111" s="117">
        <v>-193644.53</v>
      </c>
      <c r="BR111" s="117">
        <v>-211823.76</v>
      </c>
      <c r="BS111" s="129">
        <v>-217163.17</v>
      </c>
      <c r="BT111" s="129"/>
      <c r="BU111" s="128">
        <f t="shared" si="22"/>
        <v>-824249.24000000011</v>
      </c>
      <c r="BW111" s="115">
        <f t="shared" si="23"/>
        <v>-86906.989999999991</v>
      </c>
      <c r="BX111" s="117">
        <v>-86906.99</v>
      </c>
      <c r="BY111" s="117"/>
    </row>
    <row r="112" spans="2:83">
      <c r="B112" s="103" t="s">
        <v>383</v>
      </c>
      <c r="C112" s="101" t="s">
        <v>946</v>
      </c>
      <c r="D112" s="118">
        <v>-203826.58</v>
      </c>
      <c r="E112" s="118">
        <v>-175274.32</v>
      </c>
      <c r="F112" s="118">
        <v>-196282.34</v>
      </c>
      <c r="G112" s="127">
        <v>-370753.21</v>
      </c>
      <c r="H112" s="102">
        <f t="shared" si="14"/>
        <v>-946136.45</v>
      </c>
      <c r="K112" s="112" t="s">
        <v>383</v>
      </c>
      <c r="L112" s="111" t="s">
        <v>946</v>
      </c>
      <c r="M112" s="117">
        <v>0</v>
      </c>
      <c r="N112" s="117">
        <v>-180534.16</v>
      </c>
      <c r="O112" s="117">
        <v>-203826.58</v>
      </c>
      <c r="P112" s="117">
        <v>-175274.32</v>
      </c>
      <c r="Q112" s="117">
        <v>-196282.34</v>
      </c>
      <c r="R112" s="117"/>
      <c r="S112" s="117">
        <f t="shared" si="18"/>
        <v>-755917.4</v>
      </c>
      <c r="T112" s="117">
        <v>-837665.44000000192</v>
      </c>
      <c r="U112" s="115">
        <f t="shared" si="19"/>
        <v>81748.0400000019</v>
      </c>
      <c r="Y112" s="115">
        <f t="shared" si="20"/>
        <v>0</v>
      </c>
      <c r="Z112" s="117">
        <v>-81748.0400000019</v>
      </c>
      <c r="AA112" s="115">
        <f t="shared" si="21"/>
        <v>0</v>
      </c>
      <c r="AH112" s="79"/>
      <c r="AI112" s="79"/>
      <c r="AJ112" s="79">
        <v>-7163.63</v>
      </c>
      <c r="AK112" s="79">
        <v>-81748.0400000019</v>
      </c>
      <c r="AL112" s="79">
        <f t="shared" si="15"/>
        <v>-81748.0400000019</v>
      </c>
      <c r="AN112" s="79">
        <v>-7163.63</v>
      </c>
      <c r="AO112" s="79">
        <v>-81748.0400000019</v>
      </c>
      <c r="AP112" s="79">
        <v>-180534.16</v>
      </c>
      <c r="AQ112" s="79">
        <v>-203826.58</v>
      </c>
      <c r="AR112" s="79">
        <v>-175274.32</v>
      </c>
      <c r="AS112" s="79">
        <f t="shared" si="16"/>
        <v>-648546.73000000184</v>
      </c>
      <c r="BB112" s="103" t="s">
        <v>383</v>
      </c>
      <c r="BC112" s="101" t="s">
        <v>946</v>
      </c>
      <c r="BD112" s="117">
        <v>-180534.16</v>
      </c>
      <c r="BE112" s="117">
        <v>-203826.58</v>
      </c>
      <c r="BF112" s="117">
        <v>-175274.32</v>
      </c>
      <c r="BG112" s="117">
        <v>-196282.34</v>
      </c>
      <c r="BH112" s="129">
        <v>-370753.21</v>
      </c>
      <c r="BI112" s="128">
        <f t="shared" si="17"/>
        <v>-1126670.6100000001</v>
      </c>
      <c r="BM112" s="103" t="s">
        <v>383</v>
      </c>
      <c r="BN112" s="101" t="s">
        <v>946</v>
      </c>
      <c r="BO112" s="117">
        <v>0</v>
      </c>
      <c r="BP112" s="117">
        <v>-203826.58</v>
      </c>
      <c r="BQ112" s="117">
        <v>-175274.32</v>
      </c>
      <c r="BR112" s="117">
        <v>-196282.34</v>
      </c>
      <c r="BS112" s="129">
        <v>-370753.21</v>
      </c>
      <c r="BT112" s="129"/>
      <c r="BU112" s="128">
        <f t="shared" si="22"/>
        <v>-946136.45</v>
      </c>
      <c r="BW112" s="115">
        <f t="shared" si="23"/>
        <v>-180534.16000000015</v>
      </c>
      <c r="BX112" s="117">
        <v>-180534.16</v>
      </c>
      <c r="BY112" s="117"/>
    </row>
    <row r="113" spans="2:83">
      <c r="B113" s="103" t="s">
        <v>385</v>
      </c>
      <c r="C113" s="101" t="s">
        <v>947</v>
      </c>
      <c r="D113" s="118">
        <v>-112371.88</v>
      </c>
      <c r="E113" s="118">
        <v>0</v>
      </c>
      <c r="F113" s="118">
        <v>-354009.14</v>
      </c>
      <c r="G113" s="127">
        <v>-438348.87</v>
      </c>
      <c r="H113" s="102">
        <f t="shared" si="14"/>
        <v>-904729.89</v>
      </c>
      <c r="K113" s="112" t="s">
        <v>385</v>
      </c>
      <c r="L113" s="111" t="s">
        <v>947</v>
      </c>
      <c r="M113" s="117">
        <v>0</v>
      </c>
      <c r="N113" s="117">
        <v>-109420.41</v>
      </c>
      <c r="O113" s="117">
        <v>-112371.88</v>
      </c>
      <c r="P113" s="117">
        <v>0</v>
      </c>
      <c r="Q113" s="117">
        <v>-354009.14</v>
      </c>
      <c r="R113" s="117"/>
      <c r="S113" s="117">
        <f t="shared" si="18"/>
        <v>-575801.43000000005</v>
      </c>
      <c r="T113" s="117">
        <v>-655127.66000000108</v>
      </c>
      <c r="U113" s="115">
        <f t="shared" si="19"/>
        <v>79326.230000001029</v>
      </c>
      <c r="Y113" s="115">
        <f t="shared" si="20"/>
        <v>-5972.8499999999767</v>
      </c>
      <c r="Z113" s="117">
        <v>-85299.080000001006</v>
      </c>
      <c r="AA113" s="115">
        <f t="shared" si="21"/>
        <v>-5972.8499999999767</v>
      </c>
      <c r="AB113" s="117">
        <v>5972.85</v>
      </c>
      <c r="AH113" s="79"/>
      <c r="AI113" s="79"/>
      <c r="AJ113" s="79">
        <v>-9421.9599999999991</v>
      </c>
      <c r="AK113" s="79">
        <v>-85299.080000001006</v>
      </c>
      <c r="AL113" s="79">
        <f t="shared" si="15"/>
        <v>-85299.080000001006</v>
      </c>
      <c r="AN113" s="79">
        <v>-9421.9599999999991</v>
      </c>
      <c r="AO113" s="79">
        <v>-85299.080000001006</v>
      </c>
      <c r="AP113" s="79">
        <v>-109420.41</v>
      </c>
      <c r="AQ113" s="79">
        <v>-112371.88</v>
      </c>
      <c r="AR113" s="79">
        <v>15394.81</v>
      </c>
      <c r="AS113" s="79">
        <f t="shared" si="16"/>
        <v>-301118.52000000101</v>
      </c>
      <c r="BB113" s="103" t="s">
        <v>385</v>
      </c>
      <c r="BC113" s="101" t="s">
        <v>947</v>
      </c>
      <c r="BD113" s="117">
        <v>-109420.41</v>
      </c>
      <c r="BE113" s="117">
        <v>-112371.88</v>
      </c>
      <c r="BF113" s="117">
        <v>0</v>
      </c>
      <c r="BG113" s="117">
        <v>-354009.14</v>
      </c>
      <c r="BH113" s="129">
        <v>-438348.87</v>
      </c>
      <c r="BI113" s="128">
        <f t="shared" si="17"/>
        <v>-1014150.3</v>
      </c>
      <c r="BM113" s="103" t="s">
        <v>385</v>
      </c>
      <c r="BN113" s="101" t="s">
        <v>947</v>
      </c>
      <c r="BO113" s="117">
        <v>0</v>
      </c>
      <c r="BP113" s="117">
        <v>-112371.88</v>
      </c>
      <c r="BQ113" s="117">
        <v>0</v>
      </c>
      <c r="BR113" s="117">
        <v>-354009.14</v>
      </c>
      <c r="BS113" s="129">
        <v>-438348.87</v>
      </c>
      <c r="BT113" s="129"/>
      <c r="BU113" s="128">
        <f t="shared" si="22"/>
        <v>-904729.89</v>
      </c>
      <c r="BW113" s="115">
        <f t="shared" si="23"/>
        <v>-109420.41000000003</v>
      </c>
      <c r="BX113" s="117">
        <v>-109420.41</v>
      </c>
      <c r="BY113" s="117"/>
    </row>
    <row r="114" spans="2:83">
      <c r="B114" s="103" t="s">
        <v>389</v>
      </c>
      <c r="C114" s="101" t="s">
        <v>948</v>
      </c>
      <c r="D114" s="118">
        <v>-45991.14</v>
      </c>
      <c r="E114" s="118">
        <v>-43008.52</v>
      </c>
      <c r="F114" s="118">
        <v>-31997.98</v>
      </c>
      <c r="G114" s="127">
        <v>-39364.019999999997</v>
      </c>
      <c r="H114" s="102">
        <f t="shared" si="14"/>
        <v>-160361.66</v>
      </c>
      <c r="K114" s="112" t="s">
        <v>389</v>
      </c>
      <c r="L114" s="111" t="s">
        <v>948</v>
      </c>
      <c r="M114" s="117">
        <v>0</v>
      </c>
      <c r="N114" s="117">
        <v>-32715.02</v>
      </c>
      <c r="O114" s="117">
        <v>-45991.14</v>
      </c>
      <c r="P114" s="117">
        <v>-43008.52</v>
      </c>
      <c r="Q114" s="117">
        <v>-31997.98</v>
      </c>
      <c r="R114" s="117"/>
      <c r="S114" s="117">
        <f t="shared" si="18"/>
        <v>-153712.66</v>
      </c>
      <c r="T114" s="117">
        <v>-184365.26</v>
      </c>
      <c r="U114" s="115">
        <f t="shared" si="19"/>
        <v>30652.600000000006</v>
      </c>
      <c r="Y114" s="115">
        <f t="shared" si="20"/>
        <v>0</v>
      </c>
      <c r="Z114" s="117">
        <v>-30652.599999999991</v>
      </c>
      <c r="AA114" s="115">
        <f t="shared" si="21"/>
        <v>0</v>
      </c>
      <c r="AH114" s="79"/>
      <c r="AI114" s="79"/>
      <c r="AJ114" s="79">
        <v>-48235.81</v>
      </c>
      <c r="AK114" s="79">
        <v>-30652.599999999991</v>
      </c>
      <c r="AL114" s="79">
        <f t="shared" si="15"/>
        <v>-30652.599999999991</v>
      </c>
      <c r="AN114" s="79">
        <v>-48235.81</v>
      </c>
      <c r="AO114" s="79">
        <v>-30652.599999999991</v>
      </c>
      <c r="AP114" s="79">
        <v>-32715.02</v>
      </c>
      <c r="AQ114" s="79">
        <v>-45991.14</v>
      </c>
      <c r="AR114" s="79">
        <v>-43008.52</v>
      </c>
      <c r="AS114" s="79">
        <f t="shared" si="16"/>
        <v>-200603.09</v>
      </c>
      <c r="BB114" s="103" t="s">
        <v>389</v>
      </c>
      <c r="BC114" s="101" t="s">
        <v>948</v>
      </c>
      <c r="BD114" s="117">
        <v>-32715.02</v>
      </c>
      <c r="BE114" s="117">
        <v>-45991.14</v>
      </c>
      <c r="BF114" s="117">
        <v>-43008.52</v>
      </c>
      <c r="BG114" s="117">
        <v>-31997.98</v>
      </c>
      <c r="BH114" s="129">
        <v>-39364.019999999997</v>
      </c>
      <c r="BI114" s="128">
        <f t="shared" si="17"/>
        <v>-193076.68</v>
      </c>
      <c r="BM114" s="103" t="s">
        <v>389</v>
      </c>
      <c r="BN114" s="101" t="s">
        <v>948</v>
      </c>
      <c r="BO114" s="117">
        <v>0</v>
      </c>
      <c r="BP114" s="117">
        <v>-45991.14</v>
      </c>
      <c r="BQ114" s="117">
        <v>-43008.52</v>
      </c>
      <c r="BR114" s="117">
        <v>-31997.98</v>
      </c>
      <c r="BS114" s="129">
        <v>-39364.019999999997</v>
      </c>
      <c r="BT114" s="129"/>
      <c r="BU114" s="128">
        <f t="shared" si="22"/>
        <v>-160361.66</v>
      </c>
      <c r="BW114" s="115">
        <f t="shared" si="23"/>
        <v>-32715.01999999999</v>
      </c>
      <c r="BX114" s="117">
        <v>-32715.02</v>
      </c>
      <c r="BY114" s="117"/>
    </row>
    <row r="115" spans="2:83">
      <c r="B115" s="103" t="s">
        <v>391</v>
      </c>
      <c r="C115" s="101" t="s">
        <v>949</v>
      </c>
      <c r="D115" s="118">
        <v>-40834.720000000001</v>
      </c>
      <c r="E115" s="118">
        <v>-44735.94</v>
      </c>
      <c r="F115" s="118">
        <v>-45834.06</v>
      </c>
      <c r="G115" s="127">
        <v>-60407.25</v>
      </c>
      <c r="H115" s="102">
        <f t="shared" si="14"/>
        <v>-191811.97</v>
      </c>
      <c r="K115" s="112" t="s">
        <v>391</v>
      </c>
      <c r="L115" s="111" t="s">
        <v>949</v>
      </c>
      <c r="M115" s="117">
        <v>0</v>
      </c>
      <c r="N115" s="117">
        <v>-32045.49</v>
      </c>
      <c r="O115" s="117">
        <v>-40834.720000000001</v>
      </c>
      <c r="P115" s="117">
        <v>-44735.94</v>
      </c>
      <c r="Q115" s="117">
        <v>-45834.06</v>
      </c>
      <c r="R115" s="117"/>
      <c r="S115" s="117">
        <f t="shared" si="18"/>
        <v>-163450.21000000002</v>
      </c>
      <c r="T115" s="117">
        <v>-186635.20999999996</v>
      </c>
      <c r="U115" s="115">
        <f t="shared" si="19"/>
        <v>23184.999999999942</v>
      </c>
      <c r="Y115" s="115">
        <f t="shared" si="20"/>
        <v>0</v>
      </c>
      <c r="Z115" s="117">
        <v>-23184.999999999942</v>
      </c>
      <c r="AA115" s="115">
        <f t="shared" si="21"/>
        <v>0</v>
      </c>
      <c r="AH115" s="79"/>
      <c r="AI115" s="79"/>
      <c r="AJ115" s="79">
        <v>-27030.94</v>
      </c>
      <c r="AK115" s="79">
        <v>-23184.999999999942</v>
      </c>
      <c r="AL115" s="79">
        <f t="shared" si="15"/>
        <v>-23184.999999999942</v>
      </c>
      <c r="AN115" s="79">
        <v>-27030.94</v>
      </c>
      <c r="AO115" s="79">
        <v>-23184.999999999942</v>
      </c>
      <c r="AP115" s="79">
        <v>-32045.49</v>
      </c>
      <c r="AQ115" s="79">
        <v>-40834.720000000001</v>
      </c>
      <c r="AR115" s="79">
        <v>-44735.94</v>
      </c>
      <c r="AS115" s="79">
        <f t="shared" si="16"/>
        <v>-167832.08999999997</v>
      </c>
      <c r="BB115" s="103" t="s">
        <v>391</v>
      </c>
      <c r="BC115" s="101" t="s">
        <v>949</v>
      </c>
      <c r="BD115" s="117">
        <v>-32045.49</v>
      </c>
      <c r="BE115" s="117">
        <v>-40834.720000000001</v>
      </c>
      <c r="BF115" s="117">
        <v>-44735.94</v>
      </c>
      <c r="BG115" s="117">
        <v>-45834.06</v>
      </c>
      <c r="BH115" s="129">
        <v>-60407.25</v>
      </c>
      <c r="BI115" s="128">
        <f t="shared" si="17"/>
        <v>-223857.46000000002</v>
      </c>
      <c r="BM115" s="103" t="s">
        <v>391</v>
      </c>
      <c r="BN115" s="101" t="s">
        <v>949</v>
      </c>
      <c r="BO115" s="117">
        <v>0</v>
      </c>
      <c r="BP115" s="117">
        <v>-40834.720000000001</v>
      </c>
      <c r="BQ115" s="117">
        <v>-44735.94</v>
      </c>
      <c r="BR115" s="117">
        <v>-45834.06</v>
      </c>
      <c r="BS115" s="129">
        <v>-60407.25</v>
      </c>
      <c r="BT115" s="129"/>
      <c r="BU115" s="128">
        <f t="shared" si="22"/>
        <v>-191811.97</v>
      </c>
      <c r="BW115" s="115">
        <f t="shared" si="23"/>
        <v>-32045.49000000002</v>
      </c>
      <c r="BX115" s="117">
        <v>-32045.49</v>
      </c>
      <c r="BY115" s="117"/>
    </row>
    <row r="116" spans="2:83">
      <c r="B116" s="103" t="s">
        <v>393</v>
      </c>
      <c r="C116" s="101" t="s">
        <v>950</v>
      </c>
      <c r="D116" s="118">
        <v>-104059.79</v>
      </c>
      <c r="E116" s="118">
        <v>-117752.06</v>
      </c>
      <c r="F116" s="118">
        <v>-85647.33</v>
      </c>
      <c r="G116" s="127">
        <v>-132652.07999999999</v>
      </c>
      <c r="H116" s="102">
        <f t="shared" si="14"/>
        <v>-440111.26</v>
      </c>
      <c r="K116" s="112" t="s">
        <v>393</v>
      </c>
      <c r="L116" s="111" t="s">
        <v>950</v>
      </c>
      <c r="M116" s="117">
        <v>0</v>
      </c>
      <c r="N116" s="117">
        <v>-83350.23</v>
      </c>
      <c r="O116" s="117">
        <v>-104059.79</v>
      </c>
      <c r="P116" s="117">
        <v>-117752.06</v>
      </c>
      <c r="Q116" s="117">
        <v>-85647.33</v>
      </c>
      <c r="R116" s="117"/>
      <c r="S116" s="117">
        <f t="shared" si="18"/>
        <v>-390809.41</v>
      </c>
      <c r="T116" s="117">
        <v>-464137.11000000063</v>
      </c>
      <c r="U116" s="115">
        <f t="shared" si="19"/>
        <v>73327.700000000652</v>
      </c>
      <c r="Y116" s="115">
        <f t="shared" si="20"/>
        <v>0</v>
      </c>
      <c r="Z116" s="117">
        <v>-73327.700000000652</v>
      </c>
      <c r="AA116" s="115">
        <f t="shared" si="21"/>
        <v>0</v>
      </c>
      <c r="AH116" s="79"/>
      <c r="AI116" s="79"/>
      <c r="AJ116" s="79">
        <v>-119787.3</v>
      </c>
      <c r="AK116" s="79">
        <v>-73327.700000000652</v>
      </c>
      <c r="AL116" s="79">
        <f t="shared" si="15"/>
        <v>-73327.700000000652</v>
      </c>
      <c r="AN116" s="79">
        <v>-119787.3</v>
      </c>
      <c r="AO116" s="79">
        <v>-73327.700000000652</v>
      </c>
      <c r="AP116" s="79">
        <v>-83350.23</v>
      </c>
      <c r="AQ116" s="79">
        <v>-104059.79</v>
      </c>
      <c r="AR116" s="79">
        <v>-117752.06</v>
      </c>
      <c r="AS116" s="79">
        <f t="shared" si="16"/>
        <v>-498277.0800000006</v>
      </c>
      <c r="BB116" s="103" t="s">
        <v>393</v>
      </c>
      <c r="BC116" s="101" t="s">
        <v>950</v>
      </c>
      <c r="BD116" s="117">
        <v>-83350.23</v>
      </c>
      <c r="BE116" s="117">
        <v>-104059.79</v>
      </c>
      <c r="BF116" s="117">
        <v>-117752.06</v>
      </c>
      <c r="BG116" s="117">
        <v>-85647.33</v>
      </c>
      <c r="BH116" s="129">
        <v>-132652.07999999999</v>
      </c>
      <c r="BI116" s="128">
        <f t="shared" si="17"/>
        <v>-523461.49</v>
      </c>
      <c r="BM116" s="103" t="s">
        <v>393</v>
      </c>
      <c r="BN116" s="101" t="s">
        <v>950</v>
      </c>
      <c r="BO116" s="117">
        <v>0</v>
      </c>
      <c r="BP116" s="117">
        <v>-104059.79</v>
      </c>
      <c r="BQ116" s="117">
        <v>-117752.06</v>
      </c>
      <c r="BR116" s="117">
        <v>-85647.33</v>
      </c>
      <c r="BS116" s="129">
        <v>-132652.07999999999</v>
      </c>
      <c r="BT116" s="129"/>
      <c r="BU116" s="128">
        <f t="shared" si="22"/>
        <v>-440111.26</v>
      </c>
      <c r="BW116" s="115">
        <f t="shared" si="23"/>
        <v>-83350.229999999981</v>
      </c>
      <c r="BX116" s="117">
        <v>-83350.23</v>
      </c>
      <c r="BY116" s="117"/>
    </row>
    <row r="117" spans="2:83">
      <c r="B117" s="103" t="s">
        <v>395</v>
      </c>
      <c r="C117" s="101" t="s">
        <v>951</v>
      </c>
      <c r="D117" s="118">
        <v>-62175.21</v>
      </c>
      <c r="E117" s="118">
        <v>-78726.37</v>
      </c>
      <c r="F117" s="118">
        <v>-65945.119999999995</v>
      </c>
      <c r="G117" s="127">
        <v>-86397.99</v>
      </c>
      <c r="H117" s="102">
        <f t="shared" si="14"/>
        <v>-293244.69</v>
      </c>
      <c r="K117" s="112" t="s">
        <v>395</v>
      </c>
      <c r="L117" s="111" t="s">
        <v>951</v>
      </c>
      <c r="M117" s="117">
        <v>0</v>
      </c>
      <c r="N117" s="117">
        <v>-85031.29</v>
      </c>
      <c r="O117" s="117">
        <v>-62175.21</v>
      </c>
      <c r="P117" s="117">
        <v>-78726.37</v>
      </c>
      <c r="Q117" s="117">
        <v>-65945.119999999995</v>
      </c>
      <c r="R117" s="117"/>
      <c r="S117" s="117">
        <f t="shared" si="18"/>
        <v>-291877.99</v>
      </c>
      <c r="T117" s="117">
        <v>-367437.36999999976</v>
      </c>
      <c r="U117" s="115">
        <f t="shared" si="19"/>
        <v>75559.379999999772</v>
      </c>
      <c r="Y117" s="115">
        <f t="shared" si="20"/>
        <v>0</v>
      </c>
      <c r="Z117" s="117">
        <v>-75559.379999999772</v>
      </c>
      <c r="AA117" s="115">
        <f t="shared" si="21"/>
        <v>0</v>
      </c>
      <c r="AH117" s="79"/>
      <c r="AI117" s="79"/>
      <c r="AJ117" s="79">
        <v>-49643.54</v>
      </c>
      <c r="AK117" s="79">
        <v>-75559.379999999772</v>
      </c>
      <c r="AL117" s="79">
        <f t="shared" si="15"/>
        <v>-75559.379999999772</v>
      </c>
      <c r="AN117" s="79">
        <v>-49643.54</v>
      </c>
      <c r="AO117" s="79">
        <v>-75559.379999999772</v>
      </c>
      <c r="AP117" s="79">
        <v>-85031.29</v>
      </c>
      <c r="AQ117" s="79">
        <v>-62175.21</v>
      </c>
      <c r="AR117" s="79">
        <v>-78726.37</v>
      </c>
      <c r="AS117" s="79">
        <f t="shared" si="16"/>
        <v>-351135.7899999998</v>
      </c>
      <c r="BB117" s="103" t="s">
        <v>395</v>
      </c>
      <c r="BC117" s="101" t="s">
        <v>951</v>
      </c>
      <c r="BD117" s="117">
        <v>-85031.29</v>
      </c>
      <c r="BE117" s="117">
        <v>-62175.21</v>
      </c>
      <c r="BF117" s="117">
        <v>-78726.37</v>
      </c>
      <c r="BG117" s="117">
        <v>-65945.119999999995</v>
      </c>
      <c r="BH117" s="129">
        <v>-86397.99</v>
      </c>
      <c r="BI117" s="128">
        <f t="shared" si="17"/>
        <v>-378275.98</v>
      </c>
      <c r="BM117" s="103" t="s">
        <v>395</v>
      </c>
      <c r="BN117" s="101" t="s">
        <v>951</v>
      </c>
      <c r="BO117" s="117">
        <v>0</v>
      </c>
      <c r="BP117" s="117">
        <v>-62175.21</v>
      </c>
      <c r="BQ117" s="117">
        <v>-78726.37</v>
      </c>
      <c r="BR117" s="117">
        <v>-65945.119999999995</v>
      </c>
      <c r="BS117" s="129">
        <v>-86397.99</v>
      </c>
      <c r="BT117" s="129"/>
      <c r="BU117" s="128">
        <f t="shared" si="22"/>
        <v>-293244.69</v>
      </c>
      <c r="BW117" s="115">
        <f t="shared" si="23"/>
        <v>-85031.289999999979</v>
      </c>
      <c r="BX117" s="117">
        <v>-85031.29</v>
      </c>
      <c r="BY117" s="117"/>
    </row>
    <row r="118" spans="2:83">
      <c r="B118" s="103" t="s">
        <v>397</v>
      </c>
      <c r="C118" s="101" t="s">
        <v>952</v>
      </c>
      <c r="D118" s="118">
        <v>-40150.47</v>
      </c>
      <c r="E118" s="118">
        <v>-47882.58</v>
      </c>
      <c r="F118" s="118">
        <v>-94524.95</v>
      </c>
      <c r="G118" s="127">
        <v>-57631.28</v>
      </c>
      <c r="H118" s="102">
        <f t="shared" si="14"/>
        <v>-240189.28</v>
      </c>
      <c r="K118" s="112" t="s">
        <v>397</v>
      </c>
      <c r="L118" s="111" t="s">
        <v>952</v>
      </c>
      <c r="M118" s="117">
        <v>0</v>
      </c>
      <c r="N118" s="117">
        <v>-60271.67</v>
      </c>
      <c r="O118" s="117">
        <v>-40150.47</v>
      </c>
      <c r="P118" s="117">
        <v>-47882.58</v>
      </c>
      <c r="Q118" s="117">
        <v>-94524.95</v>
      </c>
      <c r="R118" s="117"/>
      <c r="S118" s="117">
        <f t="shared" si="18"/>
        <v>-242829.66999999998</v>
      </c>
      <c r="T118" s="117">
        <v>-303025.4700000005</v>
      </c>
      <c r="U118" s="115">
        <f t="shared" si="19"/>
        <v>60195.800000000512</v>
      </c>
      <c r="Y118" s="115">
        <f t="shared" si="20"/>
        <v>5.8207660913467407E-11</v>
      </c>
      <c r="Z118" s="117">
        <v>-60195.800000000454</v>
      </c>
      <c r="AA118" s="115">
        <f t="shared" si="21"/>
        <v>5.8207660913467407E-11</v>
      </c>
      <c r="AH118" s="79"/>
      <c r="AI118" s="79"/>
      <c r="AJ118" s="79">
        <v>-60614.41</v>
      </c>
      <c r="AK118" s="79">
        <v>-60195.800000000454</v>
      </c>
      <c r="AL118" s="79">
        <f t="shared" si="15"/>
        <v>-60195.800000000454</v>
      </c>
      <c r="AN118" s="79">
        <v>-60614.41</v>
      </c>
      <c r="AO118" s="79">
        <v>-60195.800000000454</v>
      </c>
      <c r="AP118" s="79">
        <v>-60271.67</v>
      </c>
      <c r="AQ118" s="79">
        <v>-40150.47</v>
      </c>
      <c r="AR118" s="79">
        <v>-47882.58</v>
      </c>
      <c r="AS118" s="79">
        <f t="shared" si="16"/>
        <v>-269114.93000000046</v>
      </c>
      <c r="BB118" s="103" t="s">
        <v>397</v>
      </c>
      <c r="BC118" s="101" t="s">
        <v>952</v>
      </c>
      <c r="BD118" s="117">
        <v>-60271.67</v>
      </c>
      <c r="BE118" s="117">
        <v>-40150.47</v>
      </c>
      <c r="BF118" s="117">
        <v>-47882.58</v>
      </c>
      <c r="BG118" s="117">
        <v>-94524.95</v>
      </c>
      <c r="BH118" s="129">
        <v>-57631.28</v>
      </c>
      <c r="BI118" s="128">
        <f t="shared" si="17"/>
        <v>-300460.94999999995</v>
      </c>
      <c r="BM118" s="103" t="s">
        <v>397</v>
      </c>
      <c r="BN118" s="101" t="s">
        <v>952</v>
      </c>
      <c r="BO118" s="117">
        <v>0</v>
      </c>
      <c r="BP118" s="117">
        <v>-40150.47</v>
      </c>
      <c r="BQ118" s="117">
        <v>-47882.58</v>
      </c>
      <c r="BR118" s="117">
        <v>-94524.95</v>
      </c>
      <c r="BS118" s="129">
        <v>-57631.28</v>
      </c>
      <c r="BT118" s="129"/>
      <c r="BU118" s="128">
        <f t="shared" si="22"/>
        <v>-240189.28</v>
      </c>
      <c r="BW118" s="115">
        <f t="shared" si="23"/>
        <v>-60271.669999999955</v>
      </c>
      <c r="BX118" s="117">
        <v>-60271.67</v>
      </c>
      <c r="BY118" s="117"/>
    </row>
    <row r="119" spans="2:83">
      <c r="B119" s="103" t="s">
        <v>399</v>
      </c>
      <c r="C119" s="101" t="s">
        <v>953</v>
      </c>
      <c r="D119" s="118">
        <v>-40476.879999999997</v>
      </c>
      <c r="E119" s="118">
        <v>-48714.44</v>
      </c>
      <c r="F119" s="118">
        <v>-49048.77</v>
      </c>
      <c r="G119" s="127">
        <v>-51091.14</v>
      </c>
      <c r="H119" s="102">
        <f t="shared" si="14"/>
        <v>-189331.22999999998</v>
      </c>
      <c r="K119" s="112" t="s">
        <v>399</v>
      </c>
      <c r="L119" s="111" t="s">
        <v>953</v>
      </c>
      <c r="M119" s="117">
        <v>0</v>
      </c>
      <c r="N119" s="117">
        <v>-42901.83</v>
      </c>
      <c r="O119" s="117">
        <v>-40476.879999999997</v>
      </c>
      <c r="P119" s="117">
        <v>-48714.44</v>
      </c>
      <c r="Q119" s="117">
        <v>-49048.77</v>
      </c>
      <c r="R119" s="117"/>
      <c r="S119" s="117">
        <f t="shared" si="18"/>
        <v>-181141.91999999998</v>
      </c>
      <c r="T119" s="117">
        <v>-215547.30000000005</v>
      </c>
      <c r="U119" s="115">
        <f t="shared" si="19"/>
        <v>34405.380000000063</v>
      </c>
      <c r="Y119" s="115">
        <f t="shared" si="20"/>
        <v>0</v>
      </c>
      <c r="Z119" s="117">
        <v>-34405.380000000048</v>
      </c>
      <c r="AA119" s="115">
        <f t="shared" si="21"/>
        <v>0</v>
      </c>
      <c r="AH119" s="79"/>
      <c r="AI119" s="79"/>
      <c r="AJ119" s="79">
        <v>-46482.65</v>
      </c>
      <c r="AK119" s="79">
        <v>-34405.380000000048</v>
      </c>
      <c r="AL119" s="79">
        <f t="shared" si="15"/>
        <v>-34405.380000000048</v>
      </c>
      <c r="AN119" s="79">
        <v>-46482.65</v>
      </c>
      <c r="AO119" s="79">
        <v>-34405.380000000048</v>
      </c>
      <c r="AP119" s="79">
        <v>-42901.83</v>
      </c>
      <c r="AQ119" s="79">
        <v>-40476.879999999997</v>
      </c>
      <c r="AR119" s="79">
        <v>-48714.44</v>
      </c>
      <c r="AS119" s="79">
        <f t="shared" si="16"/>
        <v>-212981.18000000005</v>
      </c>
      <c r="BB119" s="103" t="s">
        <v>399</v>
      </c>
      <c r="BC119" s="101" t="s">
        <v>953</v>
      </c>
      <c r="BD119" s="117">
        <v>-42901.83</v>
      </c>
      <c r="BE119" s="117">
        <v>-40476.879999999997</v>
      </c>
      <c r="BF119" s="117">
        <v>-48714.44</v>
      </c>
      <c r="BG119" s="117">
        <v>-49048.77</v>
      </c>
      <c r="BH119" s="129">
        <v>-51091.14</v>
      </c>
      <c r="BI119" s="128">
        <f t="shared" si="17"/>
        <v>-232233.06</v>
      </c>
      <c r="BM119" s="103" t="s">
        <v>399</v>
      </c>
      <c r="BN119" s="101" t="s">
        <v>953</v>
      </c>
      <c r="BO119" s="117">
        <v>0</v>
      </c>
      <c r="BP119" s="117">
        <v>-40476.879999999997</v>
      </c>
      <c r="BQ119" s="117">
        <v>-48714.44</v>
      </c>
      <c r="BR119" s="117">
        <v>-49048.77</v>
      </c>
      <c r="BS119" s="129">
        <v>-51091.14</v>
      </c>
      <c r="BT119" s="129"/>
      <c r="BU119" s="128">
        <f t="shared" si="22"/>
        <v>-189331.22999999998</v>
      </c>
      <c r="BW119" s="115">
        <f t="shared" si="23"/>
        <v>-42901.830000000016</v>
      </c>
      <c r="BX119" s="117">
        <v>-42901.83</v>
      </c>
      <c r="BY119" s="117"/>
    </row>
    <row r="120" spans="2:83">
      <c r="B120" s="103" t="s">
        <v>403</v>
      </c>
      <c r="C120" s="101" t="s">
        <v>954</v>
      </c>
      <c r="D120" s="118">
        <v>-32816.44</v>
      </c>
      <c r="E120" s="118">
        <v>-36007.43</v>
      </c>
      <c r="F120" s="118">
        <v>-40246.410000000003</v>
      </c>
      <c r="G120" s="127">
        <v>-15564.15</v>
      </c>
      <c r="H120" s="102">
        <f t="shared" si="14"/>
        <v>-124634.43</v>
      </c>
      <c r="K120" s="112" t="s">
        <v>403</v>
      </c>
      <c r="L120" s="111" t="s">
        <v>954</v>
      </c>
      <c r="M120" s="117">
        <v>0</v>
      </c>
      <c r="N120" s="117">
        <v>-40675.74</v>
      </c>
      <c r="O120" s="117">
        <v>-32816.44</v>
      </c>
      <c r="P120" s="117">
        <v>-36007.43</v>
      </c>
      <c r="Q120" s="117">
        <v>-40246.410000000003</v>
      </c>
      <c r="R120" s="117"/>
      <c r="S120" s="117">
        <f t="shared" si="18"/>
        <v>-149746.01999999999</v>
      </c>
      <c r="T120" s="117">
        <v>-191731.30000000002</v>
      </c>
      <c r="U120" s="115">
        <f t="shared" si="19"/>
        <v>41985.280000000028</v>
      </c>
      <c r="Y120" s="115">
        <f t="shared" si="20"/>
        <v>0</v>
      </c>
      <c r="Z120" s="117">
        <v>-41985.280000000013</v>
      </c>
      <c r="AA120" s="115">
        <f t="shared" si="21"/>
        <v>0</v>
      </c>
      <c r="AH120" s="79"/>
      <c r="AI120" s="79"/>
      <c r="AJ120" s="79">
        <v>-29606.46</v>
      </c>
      <c r="AK120" s="79">
        <v>-41985.280000000013</v>
      </c>
      <c r="AL120" s="79">
        <f t="shared" si="15"/>
        <v>-41985.280000000013</v>
      </c>
      <c r="AN120" s="79">
        <v>-29606.46</v>
      </c>
      <c r="AO120" s="79">
        <v>-41985.280000000013</v>
      </c>
      <c r="AP120" s="79">
        <v>-40675.74</v>
      </c>
      <c r="AQ120" s="79">
        <v>-32816.44</v>
      </c>
      <c r="AR120" s="79">
        <v>-36007.43</v>
      </c>
      <c r="AS120" s="79">
        <f t="shared" si="16"/>
        <v>-181091.35</v>
      </c>
      <c r="BB120" s="103" t="s">
        <v>403</v>
      </c>
      <c r="BC120" s="101" t="s">
        <v>954</v>
      </c>
      <c r="BD120" s="117">
        <v>-40675.74</v>
      </c>
      <c r="BE120" s="117">
        <v>-32816.44</v>
      </c>
      <c r="BF120" s="117">
        <v>-36007.43</v>
      </c>
      <c r="BG120" s="117">
        <v>-40246.410000000003</v>
      </c>
      <c r="BH120" s="129">
        <v>-15564.15</v>
      </c>
      <c r="BI120" s="128">
        <f t="shared" si="17"/>
        <v>-165310.16999999998</v>
      </c>
      <c r="BM120" s="103" t="s">
        <v>403</v>
      </c>
      <c r="BN120" s="101" t="s">
        <v>954</v>
      </c>
      <c r="BO120" s="117">
        <v>0</v>
      </c>
      <c r="BP120" s="117">
        <v>-32816.44</v>
      </c>
      <c r="BQ120" s="117">
        <v>-36007.43</v>
      </c>
      <c r="BR120" s="117">
        <v>-40246.410000000003</v>
      </c>
      <c r="BS120" s="129">
        <v>-15564.15</v>
      </c>
      <c r="BT120" s="129"/>
      <c r="BU120" s="128">
        <f t="shared" si="22"/>
        <v>-124634.43</v>
      </c>
      <c r="BW120" s="115">
        <f t="shared" si="23"/>
        <v>-40675.739999999991</v>
      </c>
      <c r="BX120" s="117">
        <v>-40675.74</v>
      </c>
      <c r="BY120" s="117"/>
    </row>
    <row r="121" spans="2:83">
      <c r="B121" s="103" t="s">
        <v>407</v>
      </c>
      <c r="C121" s="101" t="s">
        <v>955</v>
      </c>
      <c r="D121" s="118">
        <v>-69761.240000000005</v>
      </c>
      <c r="E121" s="118">
        <v>-64116.73</v>
      </c>
      <c r="F121" s="118">
        <v>-96666.95</v>
      </c>
      <c r="G121" s="127">
        <v>-70873.929999999993</v>
      </c>
      <c r="H121" s="102">
        <f t="shared" si="14"/>
        <v>-301418.84999999998</v>
      </c>
      <c r="K121" s="112" t="s">
        <v>407</v>
      </c>
      <c r="L121" s="111" t="s">
        <v>955</v>
      </c>
      <c r="M121" s="117">
        <v>0</v>
      </c>
      <c r="N121" s="117">
        <v>-51122.27</v>
      </c>
      <c r="O121" s="117">
        <v>-69761.240000000005</v>
      </c>
      <c r="P121" s="117">
        <v>-64116.73</v>
      </c>
      <c r="Q121" s="117">
        <v>-96666.95</v>
      </c>
      <c r="R121" s="117"/>
      <c r="S121" s="117">
        <f t="shared" si="18"/>
        <v>-281667.19</v>
      </c>
      <c r="T121" s="117">
        <v>-330073.55999999988</v>
      </c>
      <c r="U121" s="115">
        <f t="shared" si="19"/>
        <v>48406.369999999879</v>
      </c>
      <c r="Y121" s="115">
        <f t="shared" si="20"/>
        <v>0</v>
      </c>
      <c r="Z121" s="117">
        <v>-48406.369999999908</v>
      </c>
      <c r="AA121" s="115">
        <f t="shared" si="21"/>
        <v>0</v>
      </c>
      <c r="AH121" s="79"/>
      <c r="AI121" s="79"/>
      <c r="AJ121" s="79">
        <v>-58006.95</v>
      </c>
      <c r="AK121" s="79">
        <v>-48406.369999999908</v>
      </c>
      <c r="AL121" s="79">
        <f t="shared" si="15"/>
        <v>-48406.369999999908</v>
      </c>
      <c r="AN121" s="79">
        <v>-58006.95</v>
      </c>
      <c r="AO121" s="79">
        <v>-48406.369999999908</v>
      </c>
      <c r="AP121" s="79">
        <v>-51122.27</v>
      </c>
      <c r="AQ121" s="79">
        <v>-69761.240000000005</v>
      </c>
      <c r="AR121" s="79">
        <v>-64116.73</v>
      </c>
      <c r="AS121" s="79">
        <f t="shared" si="16"/>
        <v>-291413.55999999988</v>
      </c>
      <c r="BB121" s="103" t="s">
        <v>407</v>
      </c>
      <c r="BC121" s="101" t="s">
        <v>955</v>
      </c>
      <c r="BD121" s="117">
        <v>-51122.27</v>
      </c>
      <c r="BE121" s="117">
        <v>-69761.240000000005</v>
      </c>
      <c r="BF121" s="117">
        <v>-64116.73</v>
      </c>
      <c r="BG121" s="117">
        <v>-96666.95</v>
      </c>
      <c r="BH121" s="129">
        <v>-70873.929999999993</v>
      </c>
      <c r="BI121" s="128">
        <f t="shared" si="17"/>
        <v>-352541.12</v>
      </c>
      <c r="BM121" s="103" t="s">
        <v>407</v>
      </c>
      <c r="BN121" s="101" t="s">
        <v>955</v>
      </c>
      <c r="BO121" s="117">
        <v>0</v>
      </c>
      <c r="BP121" s="117">
        <v>-69761.240000000005</v>
      </c>
      <c r="BQ121" s="117">
        <v>-64116.73</v>
      </c>
      <c r="BR121" s="117">
        <v>-96666.95</v>
      </c>
      <c r="BS121" s="129">
        <v>-70873.929999999993</v>
      </c>
      <c r="BT121" s="129"/>
      <c r="BU121" s="128">
        <f t="shared" si="22"/>
        <v>-301418.84999999998</v>
      </c>
      <c r="BW121" s="115">
        <f t="shared" si="23"/>
        <v>-51122.270000000019</v>
      </c>
      <c r="BX121" s="117">
        <v>-51122.27</v>
      </c>
      <c r="BY121" s="117"/>
    </row>
    <row r="122" spans="2:83">
      <c r="B122" s="103" t="s">
        <v>409</v>
      </c>
      <c r="C122" s="101" t="s">
        <v>410</v>
      </c>
      <c r="D122" s="118">
        <v>-68568.12</v>
      </c>
      <c r="E122" s="118">
        <v>-75468.75</v>
      </c>
      <c r="F122" s="118">
        <v>-82581.03</v>
      </c>
      <c r="G122" s="127">
        <v>-80287.570000000007</v>
      </c>
      <c r="H122" s="102">
        <f t="shared" si="14"/>
        <v>-306905.46999999997</v>
      </c>
      <c r="K122" s="112" t="s">
        <v>409</v>
      </c>
      <c r="L122" s="111" t="s">
        <v>410</v>
      </c>
      <c r="M122" s="117">
        <v>0</v>
      </c>
      <c r="N122" s="117">
        <v>-67816.94</v>
      </c>
      <c r="O122" s="117">
        <v>-68568.12</v>
      </c>
      <c r="P122" s="117">
        <v>-75468.75</v>
      </c>
      <c r="Q122" s="117">
        <v>-82581.03</v>
      </c>
      <c r="R122" s="117"/>
      <c r="S122" s="117">
        <f t="shared" si="18"/>
        <v>-294434.83999999997</v>
      </c>
      <c r="T122" s="117">
        <v>-357018.62</v>
      </c>
      <c r="U122" s="115">
        <f t="shared" si="19"/>
        <v>62583.780000000028</v>
      </c>
      <c r="Y122" s="115">
        <f t="shared" si="20"/>
        <v>0</v>
      </c>
      <c r="Z122" s="117">
        <v>-62583.780000000028</v>
      </c>
      <c r="AA122" s="115">
        <f t="shared" si="21"/>
        <v>0</v>
      </c>
      <c r="AH122" s="79"/>
      <c r="AI122" s="79"/>
      <c r="AJ122" s="79">
        <v>-58051.43</v>
      </c>
      <c r="AK122" s="79">
        <v>-62583.780000000028</v>
      </c>
      <c r="AL122" s="79">
        <f t="shared" si="15"/>
        <v>-62583.780000000028</v>
      </c>
      <c r="AN122" s="79">
        <v>-58051.43</v>
      </c>
      <c r="AO122" s="79">
        <v>-62583.780000000028</v>
      </c>
      <c r="AP122" s="79">
        <v>-67816.94</v>
      </c>
      <c r="AQ122" s="79">
        <v>-68568.12</v>
      </c>
      <c r="AR122" s="79">
        <v>-75468.75</v>
      </c>
      <c r="AS122" s="79">
        <f t="shared" si="16"/>
        <v>-332489.02</v>
      </c>
      <c r="BB122" s="103" t="s">
        <v>409</v>
      </c>
      <c r="BC122" s="101" t="s">
        <v>410</v>
      </c>
      <c r="BD122" s="117">
        <v>-67816.94</v>
      </c>
      <c r="BE122" s="117">
        <v>-68568.12</v>
      </c>
      <c r="BF122" s="117">
        <v>-75468.75</v>
      </c>
      <c r="BG122" s="117">
        <v>-82581.03</v>
      </c>
      <c r="BH122" s="129">
        <v>-80287.570000000007</v>
      </c>
      <c r="BI122" s="128">
        <f t="shared" si="17"/>
        <v>-374722.41</v>
      </c>
      <c r="BM122" s="103" t="s">
        <v>409</v>
      </c>
      <c r="BN122" s="101" t="s">
        <v>410</v>
      </c>
      <c r="BO122" s="117">
        <v>0</v>
      </c>
      <c r="BP122" s="117">
        <v>-68568.12</v>
      </c>
      <c r="BQ122" s="117">
        <v>-75468.75</v>
      </c>
      <c r="BR122" s="117">
        <v>-82581.03</v>
      </c>
      <c r="BS122" s="129">
        <v>-80287.570000000007</v>
      </c>
      <c r="BT122" s="129"/>
      <c r="BU122" s="128">
        <f t="shared" si="22"/>
        <v>-306905.46999999997</v>
      </c>
      <c r="BW122" s="115">
        <f t="shared" si="23"/>
        <v>-67816.94</v>
      </c>
      <c r="BX122" s="117">
        <v>-67816.94</v>
      </c>
      <c r="BY122" s="117"/>
    </row>
    <row r="123" spans="2:83">
      <c r="B123" s="103" t="s">
        <v>413</v>
      </c>
      <c r="C123" s="101" t="s">
        <v>956</v>
      </c>
      <c r="D123" s="118">
        <v>-61785.24</v>
      </c>
      <c r="E123" s="118">
        <v>-26223.759999999998</v>
      </c>
      <c r="F123" s="118">
        <v>0</v>
      </c>
      <c r="G123" s="127">
        <v>0</v>
      </c>
      <c r="H123" s="102">
        <f t="shared" si="14"/>
        <v>-88009</v>
      </c>
      <c r="K123" s="112" t="s">
        <v>413</v>
      </c>
      <c r="L123" s="111" t="s">
        <v>956</v>
      </c>
      <c r="M123" s="117">
        <v>0</v>
      </c>
      <c r="N123" s="117">
        <v>-34908.61</v>
      </c>
      <c r="O123" s="117">
        <v>-61785.24</v>
      </c>
      <c r="P123" s="117">
        <v>-26223.759999999998</v>
      </c>
      <c r="Q123" s="117">
        <v>0</v>
      </c>
      <c r="R123" s="117"/>
      <c r="S123" s="117">
        <f t="shared" si="18"/>
        <v>-122917.61</v>
      </c>
      <c r="T123" s="117">
        <v>-155311.61000000031</v>
      </c>
      <c r="U123" s="115">
        <f t="shared" si="19"/>
        <v>32394.000000000306</v>
      </c>
      <c r="Y123" s="115">
        <f t="shared" si="20"/>
        <v>0</v>
      </c>
      <c r="Z123" s="117">
        <v>-32394.000000000291</v>
      </c>
      <c r="AA123" s="115">
        <f t="shared" si="21"/>
        <v>0</v>
      </c>
      <c r="AH123" s="79"/>
      <c r="AI123" s="79"/>
      <c r="AJ123" s="79">
        <v>-35394.379999999997</v>
      </c>
      <c r="AK123" s="79">
        <v>-32394.000000000291</v>
      </c>
      <c r="AL123" s="79">
        <f t="shared" si="15"/>
        <v>-32394.000000000291</v>
      </c>
      <c r="AN123" s="79">
        <v>-35394.379999999997</v>
      </c>
      <c r="AO123" s="79">
        <v>-32394.000000000291</v>
      </c>
      <c r="AP123" s="79">
        <v>-34908.61</v>
      </c>
      <c r="AQ123" s="79">
        <v>-61785.24</v>
      </c>
      <c r="AR123" s="79">
        <v>-26223.759999999998</v>
      </c>
      <c r="AS123" s="79">
        <f t="shared" si="16"/>
        <v>-190705.99000000031</v>
      </c>
      <c r="BB123" s="103" t="s">
        <v>413</v>
      </c>
      <c r="BC123" s="101" t="s">
        <v>956</v>
      </c>
      <c r="BD123" s="117">
        <v>-34908.61</v>
      </c>
      <c r="BE123" s="117">
        <v>-61785.24</v>
      </c>
      <c r="BF123" s="117">
        <v>-26223.759999999998</v>
      </c>
      <c r="BG123" s="117">
        <v>0</v>
      </c>
      <c r="BH123" s="129">
        <v>21674.67</v>
      </c>
      <c r="BI123" s="128">
        <f t="shared" si="17"/>
        <v>-101242.94</v>
      </c>
      <c r="BM123" s="103" t="s">
        <v>413</v>
      </c>
      <c r="BN123" s="101" t="s">
        <v>956</v>
      </c>
      <c r="BO123" s="117">
        <v>0</v>
      </c>
      <c r="BP123" s="117">
        <v>-61785.24</v>
      </c>
      <c r="BQ123" s="117">
        <v>-26223.759999999998</v>
      </c>
      <c r="BR123" s="117">
        <v>0</v>
      </c>
      <c r="BS123" s="134">
        <v>0</v>
      </c>
      <c r="BT123" s="129"/>
      <c r="BU123" s="128">
        <f t="shared" si="22"/>
        <v>-88009</v>
      </c>
      <c r="BW123" s="137">
        <f t="shared" si="23"/>
        <v>-13233.940000000002</v>
      </c>
      <c r="BX123" s="135">
        <v>-34908.61</v>
      </c>
      <c r="BY123" s="117"/>
      <c r="CB123" s="134">
        <v>21674.67</v>
      </c>
      <c r="CC123" s="130">
        <f>+BO123+BS123</f>
        <v>0</v>
      </c>
      <c r="CD123" s="137">
        <f>+BX123+CB123</f>
        <v>-13233.940000000002</v>
      </c>
      <c r="CE123" s="137">
        <f>+BW123-CD123</f>
        <v>0</v>
      </c>
    </row>
    <row r="124" spans="2:83">
      <c r="B124" s="103" t="s">
        <v>415</v>
      </c>
      <c r="C124" s="101" t="s">
        <v>957</v>
      </c>
      <c r="D124" s="118">
        <v>-48572.58</v>
      </c>
      <c r="E124" s="118">
        <v>-108782.43</v>
      </c>
      <c r="F124" s="118">
        <v>-81017.259999999995</v>
      </c>
      <c r="G124" s="127">
        <v>-53966.14</v>
      </c>
      <c r="H124" s="102">
        <f t="shared" si="14"/>
        <v>-292338.41000000003</v>
      </c>
      <c r="K124" s="112" t="s">
        <v>415</v>
      </c>
      <c r="L124" s="111" t="s">
        <v>957</v>
      </c>
      <c r="M124" s="117">
        <v>0</v>
      </c>
      <c r="N124" s="117">
        <v>-67102.850000000006</v>
      </c>
      <c r="O124" s="117">
        <v>-48572.58</v>
      </c>
      <c r="P124" s="117">
        <v>-108782.43</v>
      </c>
      <c r="Q124" s="117">
        <v>-81017.259999999995</v>
      </c>
      <c r="R124" s="117"/>
      <c r="S124" s="117">
        <f t="shared" si="18"/>
        <v>-305475.12</v>
      </c>
      <c r="T124" s="117">
        <v>-385553.71999999986</v>
      </c>
      <c r="U124" s="115">
        <f t="shared" si="19"/>
        <v>80078.59999999986</v>
      </c>
      <c r="Y124" s="115">
        <f t="shared" si="20"/>
        <v>0</v>
      </c>
      <c r="Z124" s="117">
        <v>-80078.59999999986</v>
      </c>
      <c r="AA124" s="115">
        <f t="shared" si="21"/>
        <v>0</v>
      </c>
      <c r="AH124" s="79"/>
      <c r="AI124" s="79"/>
      <c r="AJ124" s="79">
        <v>-55500.28</v>
      </c>
      <c r="AK124" s="79">
        <v>-80078.59999999986</v>
      </c>
      <c r="AL124" s="79">
        <f t="shared" si="15"/>
        <v>-80078.59999999986</v>
      </c>
      <c r="AN124" s="79">
        <v>-55500.28</v>
      </c>
      <c r="AO124" s="79">
        <v>-80078.59999999986</v>
      </c>
      <c r="AP124" s="79">
        <v>-67102.850000000006</v>
      </c>
      <c r="AQ124" s="79">
        <v>-48572.58</v>
      </c>
      <c r="AR124" s="79">
        <v>-108782.43</v>
      </c>
      <c r="AS124" s="79">
        <f t="shared" si="16"/>
        <v>-360036.73999999987</v>
      </c>
      <c r="BB124" s="103" t="s">
        <v>415</v>
      </c>
      <c r="BC124" s="101" t="s">
        <v>957</v>
      </c>
      <c r="BD124" s="117">
        <v>-67102.850000000006</v>
      </c>
      <c r="BE124" s="117">
        <v>-48572.58</v>
      </c>
      <c r="BF124" s="117">
        <v>-108782.43</v>
      </c>
      <c r="BG124" s="117">
        <v>-81017.259999999995</v>
      </c>
      <c r="BH124" s="129">
        <v>-53966.14</v>
      </c>
      <c r="BI124" s="128">
        <f t="shared" si="17"/>
        <v>-359441.26</v>
      </c>
      <c r="BM124" s="103" t="s">
        <v>415</v>
      </c>
      <c r="BN124" s="101" t="s">
        <v>957</v>
      </c>
      <c r="BO124" s="117">
        <v>0</v>
      </c>
      <c r="BP124" s="117">
        <v>-48572.58</v>
      </c>
      <c r="BQ124" s="117">
        <v>-108782.43</v>
      </c>
      <c r="BR124" s="117">
        <v>-81017.259999999995</v>
      </c>
      <c r="BS124" s="129">
        <v>-53966.14</v>
      </c>
      <c r="BT124" s="129"/>
      <c r="BU124" s="128">
        <f t="shared" si="22"/>
        <v>-292338.41000000003</v>
      </c>
      <c r="BW124" s="115">
        <f t="shared" si="23"/>
        <v>-67102.849999999977</v>
      </c>
      <c r="BX124" s="117">
        <v>-67102.850000000006</v>
      </c>
      <c r="BY124" s="117"/>
    </row>
    <row r="125" spans="2:83">
      <c r="B125" s="103" t="s">
        <v>417</v>
      </c>
      <c r="C125" s="101" t="s">
        <v>958</v>
      </c>
      <c r="D125" s="118">
        <v>-40144.550000000003</v>
      </c>
      <c r="E125" s="118">
        <v>-51742.89</v>
      </c>
      <c r="F125" s="118">
        <v>-60819.86</v>
      </c>
      <c r="G125" s="127">
        <v>-104667.85</v>
      </c>
      <c r="H125" s="102">
        <f t="shared" si="14"/>
        <v>-257375.15</v>
      </c>
      <c r="K125" s="112" t="s">
        <v>417</v>
      </c>
      <c r="L125" s="111" t="s">
        <v>958</v>
      </c>
      <c r="M125" s="117">
        <v>0</v>
      </c>
      <c r="N125" s="117">
        <v>-52142.51</v>
      </c>
      <c r="O125" s="117">
        <v>-40144.550000000003</v>
      </c>
      <c r="P125" s="117">
        <v>-51742.89</v>
      </c>
      <c r="Q125" s="117">
        <v>-60819.86</v>
      </c>
      <c r="R125" s="117"/>
      <c r="S125" s="117">
        <f t="shared" si="18"/>
        <v>-204849.81</v>
      </c>
      <c r="T125" s="117">
        <v>-276879.45000000013</v>
      </c>
      <c r="U125" s="115">
        <f t="shared" si="19"/>
        <v>72029.64000000013</v>
      </c>
      <c r="Y125" s="115">
        <f t="shared" si="20"/>
        <v>0</v>
      </c>
      <c r="Z125" s="117">
        <v>-72029.640000000101</v>
      </c>
      <c r="AA125" s="115">
        <f t="shared" si="21"/>
        <v>0</v>
      </c>
      <c r="AH125" s="79"/>
      <c r="AI125" s="79"/>
      <c r="AJ125" s="79">
        <v>-65553.88</v>
      </c>
      <c r="AK125" s="79">
        <v>-72029.640000000101</v>
      </c>
      <c r="AL125" s="79">
        <f t="shared" si="15"/>
        <v>-72029.640000000101</v>
      </c>
      <c r="AN125" s="79">
        <v>-65553.88</v>
      </c>
      <c r="AO125" s="79">
        <v>-72029.640000000101</v>
      </c>
      <c r="AP125" s="79">
        <v>-52142.51</v>
      </c>
      <c r="AQ125" s="79">
        <v>-40144.550000000003</v>
      </c>
      <c r="AR125" s="79">
        <v>-51742.89</v>
      </c>
      <c r="AS125" s="79">
        <f t="shared" si="16"/>
        <v>-281613.47000000015</v>
      </c>
      <c r="BB125" s="103" t="s">
        <v>417</v>
      </c>
      <c r="BC125" s="101" t="s">
        <v>958</v>
      </c>
      <c r="BD125" s="117">
        <v>-52142.51</v>
      </c>
      <c r="BE125" s="117">
        <v>-40144.550000000003</v>
      </c>
      <c r="BF125" s="117">
        <v>-51742.89</v>
      </c>
      <c r="BG125" s="117">
        <v>-60819.86</v>
      </c>
      <c r="BH125" s="129">
        <v>-104667.85</v>
      </c>
      <c r="BI125" s="128">
        <f t="shared" si="17"/>
        <v>-309517.66000000003</v>
      </c>
      <c r="BM125" s="103" t="s">
        <v>417</v>
      </c>
      <c r="BN125" s="101" t="s">
        <v>958</v>
      </c>
      <c r="BO125" s="117">
        <v>0</v>
      </c>
      <c r="BP125" s="117">
        <v>-40144.550000000003</v>
      </c>
      <c r="BQ125" s="117">
        <v>-51742.89</v>
      </c>
      <c r="BR125" s="117">
        <v>-60819.86</v>
      </c>
      <c r="BS125" s="129">
        <v>-104667.85</v>
      </c>
      <c r="BT125" s="129"/>
      <c r="BU125" s="128">
        <f t="shared" si="22"/>
        <v>-257375.15</v>
      </c>
      <c r="BW125" s="115">
        <f t="shared" si="23"/>
        <v>-52142.510000000038</v>
      </c>
      <c r="BX125" s="117">
        <v>-52142.51</v>
      </c>
      <c r="BY125" s="117"/>
    </row>
    <row r="126" spans="2:83">
      <c r="B126" s="103" t="s">
        <v>419</v>
      </c>
      <c r="C126" s="101" t="s">
        <v>959</v>
      </c>
      <c r="D126" s="118">
        <v>-16285.46</v>
      </c>
      <c r="E126" s="118">
        <v>-44383.74</v>
      </c>
      <c r="F126" s="118">
        <v>-15848.59</v>
      </c>
      <c r="G126" s="127">
        <v>-28221.81</v>
      </c>
      <c r="H126" s="102">
        <f t="shared" si="14"/>
        <v>-104739.59999999999</v>
      </c>
      <c r="K126" s="112" t="s">
        <v>419</v>
      </c>
      <c r="L126" s="111" t="s">
        <v>959</v>
      </c>
      <c r="M126" s="117">
        <v>0</v>
      </c>
      <c r="N126" s="117">
        <v>-27859.24</v>
      </c>
      <c r="O126" s="117">
        <v>-16285.46</v>
      </c>
      <c r="P126" s="117">
        <v>-44383.74</v>
      </c>
      <c r="Q126" s="117">
        <v>-15848.59</v>
      </c>
      <c r="R126" s="117"/>
      <c r="S126" s="117">
        <f t="shared" si="18"/>
        <v>-104377.03</v>
      </c>
      <c r="T126" s="117">
        <v>-122591.22000000006</v>
      </c>
      <c r="U126" s="115">
        <f t="shared" si="19"/>
        <v>18214.190000000061</v>
      </c>
      <c r="Y126" s="115">
        <f t="shared" si="20"/>
        <v>0</v>
      </c>
      <c r="Z126" s="117">
        <v>-18214.190000000061</v>
      </c>
      <c r="AA126" s="115">
        <f t="shared" si="21"/>
        <v>0</v>
      </c>
      <c r="AH126" s="79"/>
      <c r="AI126" s="79"/>
      <c r="AJ126" s="79">
        <v>-18952.349999999999</v>
      </c>
      <c r="AK126" s="79">
        <v>-18214.190000000061</v>
      </c>
      <c r="AL126" s="79">
        <f t="shared" si="15"/>
        <v>-18214.190000000061</v>
      </c>
      <c r="AN126" s="79">
        <v>-18952.349999999999</v>
      </c>
      <c r="AO126" s="79">
        <v>-18214.190000000061</v>
      </c>
      <c r="AP126" s="79">
        <v>-27859.24</v>
      </c>
      <c r="AQ126" s="79">
        <v>-16285.46</v>
      </c>
      <c r="AR126" s="79">
        <v>-44383.74</v>
      </c>
      <c r="AS126" s="79">
        <f t="shared" si="16"/>
        <v>-125694.98000000004</v>
      </c>
      <c r="BB126" s="103" t="s">
        <v>419</v>
      </c>
      <c r="BC126" s="101" t="s">
        <v>959</v>
      </c>
      <c r="BD126" s="117">
        <v>-27859.24</v>
      </c>
      <c r="BE126" s="117">
        <v>-16285.46</v>
      </c>
      <c r="BF126" s="117">
        <v>-44383.74</v>
      </c>
      <c r="BG126" s="117">
        <v>-15848.59</v>
      </c>
      <c r="BH126" s="129">
        <v>-28221.81</v>
      </c>
      <c r="BI126" s="128">
        <f t="shared" si="17"/>
        <v>-132598.84</v>
      </c>
      <c r="BM126" s="103" t="s">
        <v>419</v>
      </c>
      <c r="BN126" s="101" t="s">
        <v>959</v>
      </c>
      <c r="BO126" s="117">
        <v>0</v>
      </c>
      <c r="BP126" s="117">
        <v>-16285.46</v>
      </c>
      <c r="BQ126" s="117">
        <v>-44383.74</v>
      </c>
      <c r="BR126" s="117">
        <v>-15848.59</v>
      </c>
      <c r="BS126" s="129">
        <v>-28221.81</v>
      </c>
      <c r="BT126" s="129"/>
      <c r="BU126" s="128">
        <f t="shared" si="22"/>
        <v>-104739.59999999999</v>
      </c>
      <c r="BW126" s="115">
        <f t="shared" si="23"/>
        <v>-27859.240000000005</v>
      </c>
      <c r="BX126" s="117">
        <v>-27859.24</v>
      </c>
      <c r="BY126" s="117"/>
    </row>
    <row r="127" spans="2:83">
      <c r="B127" s="103" t="s">
        <v>423</v>
      </c>
      <c r="C127" s="101" t="s">
        <v>960</v>
      </c>
      <c r="D127" s="118">
        <v>-21671.1</v>
      </c>
      <c r="E127" s="118">
        <v>-1680.7</v>
      </c>
      <c r="F127" s="118">
        <v>-6043.92</v>
      </c>
      <c r="G127" s="129">
        <v>0</v>
      </c>
      <c r="H127" s="102">
        <f t="shared" si="14"/>
        <v>-29395.72</v>
      </c>
      <c r="K127" s="112" t="s">
        <v>423</v>
      </c>
      <c r="L127" s="111" t="s">
        <v>960</v>
      </c>
      <c r="M127" s="117">
        <v>0</v>
      </c>
      <c r="N127" s="117">
        <v>-9085.24</v>
      </c>
      <c r="O127" s="117">
        <v>-21671.1</v>
      </c>
      <c r="P127" s="117">
        <v>-1680.7</v>
      </c>
      <c r="Q127" s="117">
        <v>-6043.92</v>
      </c>
      <c r="R127" s="117"/>
      <c r="S127" s="117">
        <f t="shared" si="18"/>
        <v>-38480.959999999999</v>
      </c>
      <c r="T127" s="117">
        <v>-53578.169999999925</v>
      </c>
      <c r="U127" s="115">
        <f t="shared" si="19"/>
        <v>15097.209999999926</v>
      </c>
      <c r="Y127" s="115">
        <f t="shared" si="20"/>
        <v>0</v>
      </c>
      <c r="Z127" s="117">
        <v>-15097.209999999934</v>
      </c>
      <c r="AA127" s="115">
        <f t="shared" si="21"/>
        <v>0</v>
      </c>
      <c r="AH127" s="79"/>
      <c r="AI127" s="79"/>
      <c r="AJ127" s="79">
        <v>-14174.36</v>
      </c>
      <c r="AK127" s="79">
        <v>-15097.209999999934</v>
      </c>
      <c r="AL127" s="79">
        <f t="shared" si="15"/>
        <v>-15097.209999999934</v>
      </c>
      <c r="AN127" s="79">
        <v>-14174.36</v>
      </c>
      <c r="AO127" s="79">
        <v>-15097.209999999934</v>
      </c>
      <c r="AP127" s="79">
        <v>-9085.24</v>
      </c>
      <c r="AQ127" s="79">
        <v>-21671.1</v>
      </c>
      <c r="AR127" s="79">
        <v>-1680.7</v>
      </c>
      <c r="AS127" s="79">
        <f t="shared" si="16"/>
        <v>-61708.609999999928</v>
      </c>
      <c r="BB127" s="103" t="s">
        <v>423</v>
      </c>
      <c r="BC127" s="101" t="s">
        <v>960</v>
      </c>
      <c r="BD127" s="117">
        <v>-9085.24</v>
      </c>
      <c r="BE127" s="117">
        <v>-21671.1</v>
      </c>
      <c r="BF127" s="117">
        <v>-1680.7</v>
      </c>
      <c r="BG127" s="117">
        <v>-6043.92</v>
      </c>
      <c r="BH127" s="129">
        <v>2335.61</v>
      </c>
      <c r="BI127" s="128">
        <f t="shared" si="17"/>
        <v>-36145.35</v>
      </c>
      <c r="BM127" s="103" t="s">
        <v>423</v>
      </c>
      <c r="BN127" s="101" t="s">
        <v>960</v>
      </c>
      <c r="BO127" s="117">
        <v>0</v>
      </c>
      <c r="BP127" s="117">
        <v>-21671.1</v>
      </c>
      <c r="BQ127" s="117">
        <v>-1680.7</v>
      </c>
      <c r="BR127" s="117">
        <v>-6043.92</v>
      </c>
      <c r="BS127" s="136">
        <v>0</v>
      </c>
      <c r="BT127" s="129"/>
      <c r="BU127" s="128">
        <f t="shared" si="22"/>
        <v>-29395.72</v>
      </c>
      <c r="BW127" s="137">
        <f t="shared" si="23"/>
        <v>-6749.6299999999974</v>
      </c>
      <c r="BX127" s="131">
        <v>-9085.24</v>
      </c>
      <c r="BY127" s="117"/>
      <c r="CB127" s="134">
        <v>2335.61</v>
      </c>
      <c r="CC127" s="130">
        <f>+BO127+BS127</f>
        <v>0</v>
      </c>
      <c r="CD127" s="137">
        <f>+BX127+CB127</f>
        <v>-6749.6299999999992</v>
      </c>
      <c r="CE127" s="137">
        <f>+BW127-CD127</f>
        <v>0</v>
      </c>
    </row>
    <row r="128" spans="2:83">
      <c r="B128" s="103" t="s">
        <v>425</v>
      </c>
      <c r="C128" s="101" t="s">
        <v>961</v>
      </c>
      <c r="D128" s="118">
        <v>-82810.73</v>
      </c>
      <c r="E128" s="118">
        <v>-62219.83</v>
      </c>
      <c r="F128" s="118">
        <v>-79764.490000000005</v>
      </c>
      <c r="G128" s="127">
        <v>-69018.490000000005</v>
      </c>
      <c r="H128" s="102">
        <f t="shared" si="14"/>
        <v>-293813.53999999998</v>
      </c>
      <c r="K128" s="112" t="s">
        <v>425</v>
      </c>
      <c r="L128" s="111" t="s">
        <v>961</v>
      </c>
      <c r="M128" s="117">
        <v>0</v>
      </c>
      <c r="N128" s="117">
        <v>-54738.07</v>
      </c>
      <c r="O128" s="117">
        <v>-82810.73</v>
      </c>
      <c r="P128" s="117">
        <v>-62219.83</v>
      </c>
      <c r="Q128" s="117">
        <v>-79764.490000000005</v>
      </c>
      <c r="R128" s="117"/>
      <c r="S128" s="117">
        <f t="shared" si="18"/>
        <v>-279533.12</v>
      </c>
      <c r="T128" s="117">
        <v>-339777.43</v>
      </c>
      <c r="U128" s="115">
        <f t="shared" si="19"/>
        <v>60244.31</v>
      </c>
      <c r="Y128" s="115">
        <f t="shared" si="20"/>
        <v>0</v>
      </c>
      <c r="Z128" s="117">
        <v>-60244.309999999969</v>
      </c>
      <c r="AA128" s="115">
        <f t="shared" si="21"/>
        <v>0</v>
      </c>
      <c r="AH128" s="79"/>
      <c r="AI128" s="79"/>
      <c r="AJ128" s="79">
        <v>-48515.16</v>
      </c>
      <c r="AK128" s="79">
        <v>-60244.309999999969</v>
      </c>
      <c r="AL128" s="79">
        <f t="shared" si="15"/>
        <v>-60244.309999999969</v>
      </c>
      <c r="AN128" s="79">
        <v>-48515.16</v>
      </c>
      <c r="AO128" s="79">
        <v>-60244.309999999969</v>
      </c>
      <c r="AP128" s="79">
        <v>-54738.07</v>
      </c>
      <c r="AQ128" s="79">
        <v>-82810.73</v>
      </c>
      <c r="AR128" s="79">
        <v>-62219.83</v>
      </c>
      <c r="AS128" s="79">
        <f t="shared" si="16"/>
        <v>-308528.09999999998</v>
      </c>
      <c r="BB128" s="103" t="s">
        <v>425</v>
      </c>
      <c r="BC128" s="101" t="s">
        <v>961</v>
      </c>
      <c r="BD128" s="117">
        <v>-54738.07</v>
      </c>
      <c r="BE128" s="117">
        <v>-82810.73</v>
      </c>
      <c r="BF128" s="117">
        <v>-62219.83</v>
      </c>
      <c r="BG128" s="117">
        <v>-79764.490000000005</v>
      </c>
      <c r="BH128" s="129">
        <v>-69018.490000000005</v>
      </c>
      <c r="BI128" s="128">
        <f t="shared" si="17"/>
        <v>-348551.61</v>
      </c>
      <c r="BM128" s="103" t="s">
        <v>425</v>
      </c>
      <c r="BN128" s="101" t="s">
        <v>961</v>
      </c>
      <c r="BO128" s="117">
        <v>0</v>
      </c>
      <c r="BP128" s="117">
        <v>-82810.73</v>
      </c>
      <c r="BQ128" s="117">
        <v>-62219.83</v>
      </c>
      <c r="BR128" s="117">
        <v>-79764.490000000005</v>
      </c>
      <c r="BS128" s="129">
        <v>-69018.490000000005</v>
      </c>
      <c r="BT128" s="129"/>
      <c r="BU128" s="128">
        <f t="shared" si="22"/>
        <v>-293813.53999999998</v>
      </c>
      <c r="BW128" s="115">
        <f t="shared" si="23"/>
        <v>-54738.070000000007</v>
      </c>
      <c r="BX128" s="117">
        <v>-54738.07</v>
      </c>
      <c r="BY128" s="117"/>
    </row>
    <row r="129" spans="2:83">
      <c r="B129" s="103" t="s">
        <v>427</v>
      </c>
      <c r="C129" s="101" t="s">
        <v>962</v>
      </c>
      <c r="D129" s="118">
        <v>-51658.61</v>
      </c>
      <c r="E129" s="118">
        <v>-40040.71</v>
      </c>
      <c r="F129" s="118">
        <v>-48940.2</v>
      </c>
      <c r="G129" s="127">
        <v>-28616.43</v>
      </c>
      <c r="H129" s="102">
        <f t="shared" si="14"/>
        <v>-169255.95</v>
      </c>
      <c r="K129" s="112" t="s">
        <v>427</v>
      </c>
      <c r="L129" s="111" t="s">
        <v>962</v>
      </c>
      <c r="M129" s="117">
        <v>0</v>
      </c>
      <c r="N129" s="117">
        <v>-24873.599999999999</v>
      </c>
      <c r="O129" s="117">
        <v>-51658.61</v>
      </c>
      <c r="P129" s="117">
        <v>-40040.71</v>
      </c>
      <c r="Q129" s="117">
        <v>-48940.2</v>
      </c>
      <c r="R129" s="117"/>
      <c r="S129" s="117">
        <f t="shared" si="18"/>
        <v>-165513.12</v>
      </c>
      <c r="T129" s="117">
        <v>-205301.23000000016</v>
      </c>
      <c r="U129" s="115">
        <f t="shared" si="19"/>
        <v>39788.110000000161</v>
      </c>
      <c r="Y129" s="115">
        <f t="shared" si="20"/>
        <v>0</v>
      </c>
      <c r="Z129" s="117">
        <v>-39788.110000000161</v>
      </c>
      <c r="AA129" s="115">
        <f t="shared" si="21"/>
        <v>0</v>
      </c>
      <c r="AH129" s="79"/>
      <c r="AI129" s="79"/>
      <c r="AJ129" s="79">
        <v>-53538.52</v>
      </c>
      <c r="AK129" s="79">
        <v>-39788.110000000161</v>
      </c>
      <c r="AL129" s="79">
        <f t="shared" si="15"/>
        <v>-39788.110000000161</v>
      </c>
      <c r="AN129" s="79">
        <v>-53538.52</v>
      </c>
      <c r="AO129" s="79">
        <v>-39788.110000000161</v>
      </c>
      <c r="AP129" s="79">
        <v>-24873.599999999999</v>
      </c>
      <c r="AQ129" s="79">
        <v>-51658.61</v>
      </c>
      <c r="AR129" s="79">
        <v>-40040.71</v>
      </c>
      <c r="AS129" s="79">
        <f t="shared" si="16"/>
        <v>-209899.55000000013</v>
      </c>
      <c r="BB129" s="103" t="s">
        <v>427</v>
      </c>
      <c r="BC129" s="101" t="s">
        <v>962</v>
      </c>
      <c r="BD129" s="117">
        <v>-24873.599999999999</v>
      </c>
      <c r="BE129" s="117">
        <v>-51658.61</v>
      </c>
      <c r="BF129" s="117">
        <v>-40040.71</v>
      </c>
      <c r="BG129" s="117">
        <v>-48940.2</v>
      </c>
      <c r="BH129" s="129">
        <v>-28616.43</v>
      </c>
      <c r="BI129" s="128">
        <f t="shared" si="17"/>
        <v>-194129.55</v>
      </c>
      <c r="BM129" s="103" t="s">
        <v>427</v>
      </c>
      <c r="BN129" s="101" t="s">
        <v>962</v>
      </c>
      <c r="BO129" s="117">
        <v>0</v>
      </c>
      <c r="BP129" s="117">
        <v>-51658.61</v>
      </c>
      <c r="BQ129" s="117">
        <v>-40040.71</v>
      </c>
      <c r="BR129" s="117">
        <v>-48940.2</v>
      </c>
      <c r="BS129" s="129">
        <v>-28616.43</v>
      </c>
      <c r="BT129" s="129"/>
      <c r="BU129" s="128">
        <f t="shared" si="22"/>
        <v>-169255.95</v>
      </c>
      <c r="BW129" s="115">
        <f t="shared" si="23"/>
        <v>-24873.599999999977</v>
      </c>
      <c r="BX129" s="117">
        <v>-24873.599999999999</v>
      </c>
      <c r="BY129" s="117"/>
    </row>
    <row r="130" spans="2:83">
      <c r="B130" s="103" t="s">
        <v>429</v>
      </c>
      <c r="C130" s="101" t="s">
        <v>963</v>
      </c>
      <c r="D130" s="118">
        <v>-2622.25</v>
      </c>
      <c r="E130" s="118">
        <v>-23822.85</v>
      </c>
      <c r="F130" s="118">
        <v>-22839.8</v>
      </c>
      <c r="G130" s="127">
        <v>-39849.599999999999</v>
      </c>
      <c r="H130" s="102">
        <f t="shared" si="14"/>
        <v>-89134.5</v>
      </c>
      <c r="K130" s="112" t="s">
        <v>429</v>
      </c>
      <c r="L130" s="111" t="s">
        <v>963</v>
      </c>
      <c r="M130" s="117">
        <v>0</v>
      </c>
      <c r="N130" s="117">
        <v>10384.77</v>
      </c>
      <c r="O130" s="117">
        <v>-13007.02</v>
      </c>
      <c r="P130" s="117">
        <v>-23822.85</v>
      </c>
      <c r="Q130" s="117">
        <v>-22839.8</v>
      </c>
      <c r="R130" s="117"/>
      <c r="S130" s="117">
        <f t="shared" si="18"/>
        <v>-49284.899999999994</v>
      </c>
      <c r="T130" s="117">
        <v>-49284.899999999994</v>
      </c>
      <c r="U130" s="115">
        <f t="shared" si="19"/>
        <v>0</v>
      </c>
      <c r="W130" s="115">
        <f>+M130+N130</f>
        <v>10384.77</v>
      </c>
      <c r="Y130" s="115">
        <f t="shared" si="20"/>
        <v>11684.81</v>
      </c>
      <c r="Z130" s="117">
        <v>11684.81</v>
      </c>
      <c r="AA130" s="115">
        <f t="shared" si="21"/>
        <v>11684.81</v>
      </c>
      <c r="AH130" s="79"/>
      <c r="AI130" s="79"/>
      <c r="AJ130" s="79">
        <v>6989.13</v>
      </c>
      <c r="AK130" s="79">
        <v>4695.6799999998766</v>
      </c>
      <c r="AL130" s="79">
        <f t="shared" si="15"/>
        <v>11684.809999999878</v>
      </c>
      <c r="AN130" s="79">
        <v>6989.13</v>
      </c>
      <c r="AO130" s="79">
        <v>4695.6799999998766</v>
      </c>
      <c r="AP130" s="79">
        <v>-1300.04</v>
      </c>
      <c r="AQ130" s="79">
        <v>-13007.02</v>
      </c>
      <c r="AR130" s="79">
        <v>-23822.85</v>
      </c>
      <c r="AS130" s="79">
        <f t="shared" si="16"/>
        <v>-26445.100000000122</v>
      </c>
      <c r="BB130" s="103" t="s">
        <v>429</v>
      </c>
      <c r="BC130" s="101" t="s">
        <v>963</v>
      </c>
      <c r="BD130" s="117">
        <v>10384.77</v>
      </c>
      <c r="BE130" s="117">
        <v>-13007.02</v>
      </c>
      <c r="BF130" s="117">
        <v>-23822.85</v>
      </c>
      <c r="BG130" s="117">
        <v>-22839.8</v>
      </c>
      <c r="BH130" s="129">
        <v>-39849.599999999999</v>
      </c>
      <c r="BI130" s="128">
        <f t="shared" si="17"/>
        <v>-89134.5</v>
      </c>
      <c r="BM130" s="103" t="s">
        <v>429</v>
      </c>
      <c r="BN130" s="101" t="s">
        <v>963</v>
      </c>
      <c r="BO130" s="117">
        <v>0</v>
      </c>
      <c r="BP130" s="131">
        <v>-2622.25</v>
      </c>
      <c r="BQ130" s="117">
        <v>-23822.85</v>
      </c>
      <c r="BR130" s="117">
        <v>-22839.8</v>
      </c>
      <c r="BS130" s="129">
        <v>-39849.599999999999</v>
      </c>
      <c r="BT130" s="129"/>
      <c r="BU130" s="128">
        <f t="shared" si="22"/>
        <v>-89134.5</v>
      </c>
      <c r="BW130" s="115">
        <f t="shared" si="23"/>
        <v>0</v>
      </c>
      <c r="BX130" s="131">
        <v>10384.77</v>
      </c>
      <c r="BY130" s="131">
        <v>-13007.02</v>
      </c>
      <c r="CC130" s="130">
        <f>+BO130+BP130</f>
        <v>-2622.25</v>
      </c>
      <c r="CD130" s="115">
        <f>+BX130+BY130</f>
        <v>-2622.25</v>
      </c>
      <c r="CE130" s="115">
        <f>+CC130-CD130</f>
        <v>0</v>
      </c>
    </row>
    <row r="131" spans="2:83">
      <c r="B131" s="103" t="s">
        <v>431</v>
      </c>
      <c r="C131" s="101" t="s">
        <v>964</v>
      </c>
      <c r="D131" s="118">
        <v>0</v>
      </c>
      <c r="E131" s="118">
        <v>-11334.63</v>
      </c>
      <c r="F131" s="118">
        <v>-33550.36</v>
      </c>
      <c r="G131" s="127">
        <v>-30453.35</v>
      </c>
      <c r="H131" s="102">
        <f t="shared" si="14"/>
        <v>-75338.34</v>
      </c>
      <c r="K131" s="112" t="s">
        <v>431</v>
      </c>
      <c r="L131" s="111" t="s">
        <v>964</v>
      </c>
      <c r="M131" s="117">
        <v>0</v>
      </c>
      <c r="N131" s="117">
        <v>-2694.33</v>
      </c>
      <c r="O131" s="117">
        <v>0</v>
      </c>
      <c r="P131" s="117">
        <v>-11334.63</v>
      </c>
      <c r="Q131" s="117">
        <v>-33550.36</v>
      </c>
      <c r="R131" s="117"/>
      <c r="S131" s="117">
        <f t="shared" si="18"/>
        <v>-47579.32</v>
      </c>
      <c r="T131" s="117">
        <v>-55333.41</v>
      </c>
      <c r="U131" s="115">
        <f t="shared" si="19"/>
        <v>7754.0900000000038</v>
      </c>
      <c r="Y131" s="115">
        <f t="shared" si="20"/>
        <v>-1482.3399999999965</v>
      </c>
      <c r="Z131" s="117">
        <v>-9236.43</v>
      </c>
      <c r="AA131" s="115">
        <f t="shared" si="21"/>
        <v>-1482.3399999999965</v>
      </c>
      <c r="AB131" s="117">
        <v>1482.34</v>
      </c>
      <c r="AH131" s="79"/>
      <c r="AI131" s="79"/>
      <c r="AJ131" s="79">
        <v>-5405.65</v>
      </c>
      <c r="AK131" s="79">
        <v>-9236.4300000000076</v>
      </c>
      <c r="AL131" s="79">
        <f t="shared" si="15"/>
        <v>-9236.4300000000076</v>
      </c>
      <c r="AN131" s="79">
        <v>-5405.65</v>
      </c>
      <c r="AO131" s="79">
        <v>-9236.4300000000076</v>
      </c>
      <c r="AP131" s="79">
        <v>-2694.33</v>
      </c>
      <c r="AQ131" s="79">
        <v>6887.99</v>
      </c>
      <c r="AR131" s="79">
        <v>-11334.63</v>
      </c>
      <c r="AS131" s="79">
        <f t="shared" si="16"/>
        <v>-21783.050000000007</v>
      </c>
      <c r="BB131" s="103" t="s">
        <v>431</v>
      </c>
      <c r="BC131" s="101" t="s">
        <v>964</v>
      </c>
      <c r="BD131" s="117">
        <v>-2694.33</v>
      </c>
      <c r="BE131" s="117">
        <v>0</v>
      </c>
      <c r="BF131" s="117">
        <v>-11334.63</v>
      </c>
      <c r="BG131" s="117">
        <v>-33550.36</v>
      </c>
      <c r="BH131" s="129">
        <v>-30453.35</v>
      </c>
      <c r="BI131" s="128">
        <f t="shared" si="17"/>
        <v>-78032.67</v>
      </c>
      <c r="BM131" s="103" t="s">
        <v>431</v>
      </c>
      <c r="BN131" s="101" t="s">
        <v>964</v>
      </c>
      <c r="BO131" s="117">
        <v>0</v>
      </c>
      <c r="BP131" s="117">
        <v>0</v>
      </c>
      <c r="BQ131" s="117">
        <v>-11334.63</v>
      </c>
      <c r="BR131" s="117">
        <v>-33550.36</v>
      </c>
      <c r="BS131" s="129">
        <v>-30453.35</v>
      </c>
      <c r="BT131" s="129"/>
      <c r="BU131" s="128">
        <f t="shared" si="22"/>
        <v>-75338.34</v>
      </c>
      <c r="BW131" s="115">
        <f t="shared" si="23"/>
        <v>-2694.3300000000017</v>
      </c>
      <c r="BX131" s="117">
        <v>-2694.33</v>
      </c>
      <c r="BY131" s="117"/>
    </row>
    <row r="132" spans="2:83">
      <c r="B132" s="103" t="s">
        <v>433</v>
      </c>
      <c r="C132" s="101" t="s">
        <v>965</v>
      </c>
      <c r="D132" s="118">
        <v>-38173.83</v>
      </c>
      <c r="E132" s="118">
        <v>-71244.820000000007</v>
      </c>
      <c r="F132" s="118">
        <v>-18273.79</v>
      </c>
      <c r="G132" s="127">
        <v>-18477.11</v>
      </c>
      <c r="H132" s="102">
        <f t="shared" si="14"/>
        <v>-146169.54999999999</v>
      </c>
      <c r="K132" s="112" t="s">
        <v>433</v>
      </c>
      <c r="L132" s="111" t="s">
        <v>965</v>
      </c>
      <c r="M132" s="117">
        <v>0</v>
      </c>
      <c r="N132" s="117">
        <v>-29506.92</v>
      </c>
      <c r="O132" s="117">
        <v>-38173.83</v>
      </c>
      <c r="P132" s="117">
        <v>-71244.820000000007</v>
      </c>
      <c r="Q132" s="117">
        <v>-18273.79</v>
      </c>
      <c r="R132" s="117"/>
      <c r="S132" s="117">
        <f t="shared" si="18"/>
        <v>-157199.36000000002</v>
      </c>
      <c r="T132" s="117">
        <v>-188557.63000000015</v>
      </c>
      <c r="U132" s="115">
        <f t="shared" si="19"/>
        <v>31358.270000000135</v>
      </c>
      <c r="Y132" s="115">
        <f t="shared" si="20"/>
        <v>0</v>
      </c>
      <c r="Z132" s="117">
        <v>-31358.270000000135</v>
      </c>
      <c r="AA132" s="115">
        <f t="shared" si="21"/>
        <v>0</v>
      </c>
      <c r="AH132" s="79"/>
      <c r="AI132" s="79"/>
      <c r="AJ132" s="79">
        <v>-73796.36</v>
      </c>
      <c r="AK132" s="79">
        <v>-31358.270000000135</v>
      </c>
      <c r="AL132" s="79">
        <f t="shared" si="15"/>
        <v>-31358.270000000135</v>
      </c>
      <c r="AN132" s="79">
        <v>-73796.36</v>
      </c>
      <c r="AO132" s="79">
        <v>-31358.270000000135</v>
      </c>
      <c r="AP132" s="79">
        <v>-29506.92</v>
      </c>
      <c r="AQ132" s="79">
        <v>-38173.83</v>
      </c>
      <c r="AR132" s="79">
        <v>-71244.820000000007</v>
      </c>
      <c r="AS132" s="79">
        <f t="shared" si="16"/>
        <v>-244080.20000000013</v>
      </c>
      <c r="BB132" s="103" t="s">
        <v>433</v>
      </c>
      <c r="BC132" s="101" t="s">
        <v>965</v>
      </c>
      <c r="BD132" s="117">
        <v>-29506.92</v>
      </c>
      <c r="BE132" s="117">
        <v>-38173.83</v>
      </c>
      <c r="BF132" s="117">
        <v>-71244.820000000007</v>
      </c>
      <c r="BG132" s="117">
        <v>-18273.79</v>
      </c>
      <c r="BH132" s="129">
        <v>-18477.11</v>
      </c>
      <c r="BI132" s="128">
        <f t="shared" si="17"/>
        <v>-175676.47000000003</v>
      </c>
      <c r="BM132" s="103" t="s">
        <v>433</v>
      </c>
      <c r="BN132" s="101" t="s">
        <v>965</v>
      </c>
      <c r="BO132" s="117">
        <v>0</v>
      </c>
      <c r="BP132" s="117">
        <v>-38173.83</v>
      </c>
      <c r="BQ132" s="117">
        <v>-71244.820000000007</v>
      </c>
      <c r="BR132" s="117">
        <v>-18273.79</v>
      </c>
      <c r="BS132" s="129">
        <v>-18477.11</v>
      </c>
      <c r="BT132" s="129"/>
      <c r="BU132" s="128">
        <f t="shared" si="22"/>
        <v>-146169.54999999999</v>
      </c>
      <c r="BW132" s="115">
        <f t="shared" si="23"/>
        <v>-29506.920000000042</v>
      </c>
      <c r="BX132" s="117">
        <v>-29506.92</v>
      </c>
      <c r="BY132" s="117"/>
    </row>
    <row r="133" spans="2:83">
      <c r="B133" s="103" t="s">
        <v>435</v>
      </c>
      <c r="C133" s="101" t="s">
        <v>966</v>
      </c>
      <c r="D133" s="118">
        <v>0</v>
      </c>
      <c r="E133" s="118">
        <v>11580.42</v>
      </c>
      <c r="F133" s="118">
        <v>11977.22</v>
      </c>
      <c r="G133" s="127">
        <v>30693.4</v>
      </c>
      <c r="H133" s="102">
        <f t="shared" ref="H133:H196" si="25">SUM(D133:G133)</f>
        <v>54251.040000000001</v>
      </c>
      <c r="K133" s="112" t="s">
        <v>435</v>
      </c>
      <c r="L133" s="111" t="s">
        <v>966</v>
      </c>
      <c r="M133" s="117">
        <v>0</v>
      </c>
      <c r="N133" s="117">
        <v>0</v>
      </c>
      <c r="O133" s="117">
        <v>0</v>
      </c>
      <c r="P133" s="117">
        <v>11580.42</v>
      </c>
      <c r="Q133" s="117">
        <v>11977.22</v>
      </c>
      <c r="R133" s="117"/>
      <c r="S133" s="117">
        <f t="shared" si="18"/>
        <v>23557.64</v>
      </c>
      <c r="T133" s="117">
        <v>23557.64</v>
      </c>
      <c r="U133" s="115">
        <f t="shared" si="19"/>
        <v>0</v>
      </c>
      <c r="Y133" s="115">
        <f t="shared" si="20"/>
        <v>0</v>
      </c>
      <c r="Z133" s="117">
        <v>0</v>
      </c>
      <c r="AA133" s="115">
        <f t="shared" si="21"/>
        <v>0</v>
      </c>
      <c r="AH133" s="82"/>
      <c r="AI133" s="79"/>
      <c r="AJ133" s="79">
        <v>-30789.759999999998</v>
      </c>
      <c r="AK133" s="79">
        <v>3799.1600000000908</v>
      </c>
      <c r="AL133" s="79">
        <f t="shared" ref="AL133:AL196" si="26">IF(AJ133&gt;0,+AJ133+AK133,AK133)</f>
        <v>3799.1600000000908</v>
      </c>
      <c r="AN133" s="79">
        <v>-30789.759999999998</v>
      </c>
      <c r="AO133" s="79">
        <v>3799.1600000000908</v>
      </c>
      <c r="AP133" s="79">
        <v>15227.38</v>
      </c>
      <c r="AQ133" s="79">
        <v>7504.06</v>
      </c>
      <c r="AR133" s="79">
        <v>15839.58</v>
      </c>
      <c r="AS133" s="79">
        <f t="shared" ref="AS133:AS196" si="27">SUM(AN133:AR133)</f>
        <v>11580.420000000093</v>
      </c>
      <c r="AT133" s="87"/>
      <c r="AU133" s="79">
        <f>+AN133+AO133</f>
        <v>-26990.599999999908</v>
      </c>
      <c r="BB133" s="103" t="s">
        <v>435</v>
      </c>
      <c r="BC133" s="101" t="s">
        <v>966</v>
      </c>
      <c r="BD133" s="117">
        <v>0</v>
      </c>
      <c r="BE133" s="117">
        <v>0</v>
      </c>
      <c r="BF133" s="117">
        <v>11580.42</v>
      </c>
      <c r="BG133" s="117">
        <v>11977.22</v>
      </c>
      <c r="BH133" s="129">
        <v>30693.4</v>
      </c>
      <c r="BI133" s="128">
        <f t="shared" ref="BI133:BI196" si="28">SUM(BD133:BH133)</f>
        <v>54251.040000000001</v>
      </c>
      <c r="BM133" s="103" t="s">
        <v>435</v>
      </c>
      <c r="BN133" s="101" t="s">
        <v>966</v>
      </c>
      <c r="BO133" s="117">
        <v>0</v>
      </c>
      <c r="BP133" s="117">
        <v>0</v>
      </c>
      <c r="BQ133" s="117">
        <v>11580.42</v>
      </c>
      <c r="BR133" s="117">
        <v>11977.22</v>
      </c>
      <c r="BS133" s="129">
        <v>30693.4</v>
      </c>
      <c r="BT133" s="129"/>
      <c r="BU133" s="128">
        <f t="shared" si="22"/>
        <v>54251.040000000001</v>
      </c>
      <c r="BW133" s="115">
        <f t="shared" si="23"/>
        <v>0</v>
      </c>
      <c r="BX133" s="117">
        <v>0</v>
      </c>
      <c r="BY133" s="117"/>
    </row>
    <row r="134" spans="2:83">
      <c r="B134" s="103" t="s">
        <v>437</v>
      </c>
      <c r="C134" s="101" t="s">
        <v>967</v>
      </c>
      <c r="D134" s="118">
        <v>0</v>
      </c>
      <c r="E134" s="118">
        <v>-4847.88</v>
      </c>
      <c r="F134" s="118">
        <v>-20944.8</v>
      </c>
      <c r="G134" s="127">
        <v>-12940.73</v>
      </c>
      <c r="H134" s="102">
        <f t="shared" si="25"/>
        <v>-38733.410000000003</v>
      </c>
      <c r="K134" s="112" t="s">
        <v>437</v>
      </c>
      <c r="L134" s="111" t="s">
        <v>967</v>
      </c>
      <c r="M134" s="117">
        <v>0</v>
      </c>
      <c r="N134" s="117">
        <v>-15656.71</v>
      </c>
      <c r="O134" s="117">
        <v>0</v>
      </c>
      <c r="P134" s="117">
        <v>-4847.88</v>
      </c>
      <c r="Q134" s="117">
        <v>-20944.8</v>
      </c>
      <c r="R134" s="117"/>
      <c r="S134" s="117">
        <f t="shared" ref="S134:S197" si="29">SUM(M134:R134)</f>
        <v>-41449.39</v>
      </c>
      <c r="T134" s="117">
        <v>-54092.060000000158</v>
      </c>
      <c r="U134" s="115">
        <f t="shared" ref="U134:U197" si="30">+S134-T134</f>
        <v>12642.670000000158</v>
      </c>
      <c r="Y134" s="115">
        <f t="shared" ref="Y134:Y197" si="31">+U134+Z134</f>
        <v>0</v>
      </c>
      <c r="Z134" s="117">
        <v>-12642.670000000158</v>
      </c>
      <c r="AA134" s="115">
        <f t="shared" ref="AA134:AA197" si="32">+U134+Z134</f>
        <v>0</v>
      </c>
      <c r="AH134" s="79"/>
      <c r="AI134" s="79"/>
      <c r="AJ134" s="79">
        <v>-11944.97</v>
      </c>
      <c r="AK134" s="79">
        <v>-12642.670000000158</v>
      </c>
      <c r="AL134" s="79">
        <f t="shared" si="26"/>
        <v>-12642.670000000158</v>
      </c>
      <c r="AN134" s="79">
        <v>-11944.97</v>
      </c>
      <c r="AO134" s="79">
        <v>-12642.670000000158</v>
      </c>
      <c r="AP134" s="79">
        <v>-15656.71</v>
      </c>
      <c r="AQ134" s="79">
        <v>5116.54</v>
      </c>
      <c r="AR134" s="79">
        <v>-4847.88</v>
      </c>
      <c r="AS134" s="79">
        <f t="shared" si="27"/>
        <v>-39975.690000000155</v>
      </c>
      <c r="BB134" s="103" t="s">
        <v>437</v>
      </c>
      <c r="BC134" s="101" t="s">
        <v>967</v>
      </c>
      <c r="BD134" s="117">
        <v>-15656.71</v>
      </c>
      <c r="BE134" s="117">
        <v>0</v>
      </c>
      <c r="BF134" s="117">
        <v>-4847.88</v>
      </c>
      <c r="BG134" s="117">
        <v>-20944.8</v>
      </c>
      <c r="BH134" s="129">
        <v>-12940.73</v>
      </c>
      <c r="BI134" s="128">
        <f t="shared" si="28"/>
        <v>-54390.119999999995</v>
      </c>
      <c r="BM134" s="103" t="s">
        <v>437</v>
      </c>
      <c r="BN134" s="101" t="s">
        <v>967</v>
      </c>
      <c r="BO134" s="117">
        <v>0</v>
      </c>
      <c r="BP134" s="117">
        <v>0</v>
      </c>
      <c r="BQ134" s="117">
        <v>-4847.88</v>
      </c>
      <c r="BR134" s="117">
        <v>-20944.8</v>
      </c>
      <c r="BS134" s="129">
        <v>-12940.73</v>
      </c>
      <c r="BT134" s="129"/>
      <c r="BU134" s="128">
        <f t="shared" ref="BU134:BU197" si="33">SUM(BP134:BT134)</f>
        <v>-38733.410000000003</v>
      </c>
      <c r="BW134" s="115">
        <f t="shared" ref="BW134:BW197" si="34">+BI134-BU134</f>
        <v>-15656.709999999992</v>
      </c>
      <c r="BX134" s="117">
        <v>-15656.71</v>
      </c>
      <c r="BY134" s="117"/>
    </row>
    <row r="135" spans="2:83">
      <c r="B135" s="103" t="s">
        <v>439</v>
      </c>
      <c r="C135" s="101" t="s">
        <v>968</v>
      </c>
      <c r="D135" s="118">
        <v>-96514.58</v>
      </c>
      <c r="E135" s="118">
        <v>-167572.15</v>
      </c>
      <c r="F135" s="118">
        <v>-156797.75</v>
      </c>
      <c r="G135" s="127">
        <v>-211007.07</v>
      </c>
      <c r="H135" s="102">
        <f t="shared" si="25"/>
        <v>-631891.55000000005</v>
      </c>
      <c r="K135" s="112" t="s">
        <v>439</v>
      </c>
      <c r="L135" s="111" t="s">
        <v>968</v>
      </c>
      <c r="M135" s="117">
        <v>0</v>
      </c>
      <c r="N135" s="117">
        <v>-120140.72</v>
      </c>
      <c r="O135" s="117">
        <v>-96514.58</v>
      </c>
      <c r="P135" s="117">
        <v>-167572.15</v>
      </c>
      <c r="Q135" s="117">
        <v>-156797.75</v>
      </c>
      <c r="R135" s="117"/>
      <c r="S135" s="117">
        <f t="shared" si="29"/>
        <v>-541025.19999999995</v>
      </c>
      <c r="T135" s="117">
        <v>-645434.57000000041</v>
      </c>
      <c r="U135" s="115">
        <f t="shared" si="30"/>
        <v>104409.37000000046</v>
      </c>
      <c r="Y135" s="115">
        <f t="shared" si="31"/>
        <v>0</v>
      </c>
      <c r="Z135" s="117">
        <v>-104409.37000000046</v>
      </c>
      <c r="AA135" s="115">
        <f t="shared" si="32"/>
        <v>0</v>
      </c>
      <c r="AH135" s="79"/>
      <c r="AI135" s="79"/>
      <c r="AJ135" s="79">
        <v>-182350.66</v>
      </c>
      <c r="AK135" s="79">
        <v>-104409.37000000046</v>
      </c>
      <c r="AL135" s="79">
        <f t="shared" si="26"/>
        <v>-104409.37000000046</v>
      </c>
      <c r="AN135" s="79">
        <v>-182350.66</v>
      </c>
      <c r="AO135" s="79">
        <v>-104409.37000000046</v>
      </c>
      <c r="AP135" s="79">
        <v>-120140.72</v>
      </c>
      <c r="AQ135" s="79">
        <v>-96514.58</v>
      </c>
      <c r="AR135" s="79">
        <v>-167572.15</v>
      </c>
      <c r="AS135" s="79">
        <f t="shared" si="27"/>
        <v>-670987.48000000045</v>
      </c>
      <c r="BB135" s="103" t="s">
        <v>439</v>
      </c>
      <c r="BC135" s="101" t="s">
        <v>968</v>
      </c>
      <c r="BD135" s="117">
        <v>-120140.72</v>
      </c>
      <c r="BE135" s="117">
        <v>-96514.58</v>
      </c>
      <c r="BF135" s="117">
        <v>-167572.15</v>
      </c>
      <c r="BG135" s="117">
        <v>-156797.75</v>
      </c>
      <c r="BH135" s="129">
        <v>-211007.07</v>
      </c>
      <c r="BI135" s="128">
        <f t="shared" si="28"/>
        <v>-752032.27</v>
      </c>
      <c r="BM135" s="103" t="s">
        <v>439</v>
      </c>
      <c r="BN135" s="101" t="s">
        <v>968</v>
      </c>
      <c r="BO135" s="117">
        <v>0</v>
      </c>
      <c r="BP135" s="117">
        <v>-96514.58</v>
      </c>
      <c r="BQ135" s="117">
        <v>-167572.15</v>
      </c>
      <c r="BR135" s="117">
        <v>-156797.75</v>
      </c>
      <c r="BS135" s="129">
        <v>-211007.07</v>
      </c>
      <c r="BT135" s="129"/>
      <c r="BU135" s="128">
        <f t="shared" si="33"/>
        <v>-631891.55000000005</v>
      </c>
      <c r="BW135" s="115">
        <f t="shared" si="34"/>
        <v>-120140.71999999997</v>
      </c>
      <c r="BX135" s="117">
        <v>-120140.72</v>
      </c>
      <c r="BY135" s="117"/>
    </row>
    <row r="136" spans="2:83">
      <c r="B136" s="103" t="s">
        <v>441</v>
      </c>
      <c r="C136" s="101" t="s">
        <v>969</v>
      </c>
      <c r="D136" s="118">
        <v>-32614.69</v>
      </c>
      <c r="E136" s="118">
        <v>-49802.61</v>
      </c>
      <c r="F136" s="118">
        <v>-71338.320000000007</v>
      </c>
      <c r="G136" s="127">
        <v>-39817.39</v>
      </c>
      <c r="H136" s="102">
        <f t="shared" si="25"/>
        <v>-193573.01</v>
      </c>
      <c r="K136" s="112" t="s">
        <v>441</v>
      </c>
      <c r="L136" s="111" t="s">
        <v>969</v>
      </c>
      <c r="M136" s="117">
        <v>0</v>
      </c>
      <c r="N136" s="117">
        <v>-42841.11</v>
      </c>
      <c r="O136" s="117">
        <v>-32614.69</v>
      </c>
      <c r="P136" s="117">
        <v>-49802.61</v>
      </c>
      <c r="Q136" s="117">
        <v>-71338.320000000007</v>
      </c>
      <c r="R136" s="117"/>
      <c r="S136" s="117">
        <f t="shared" si="29"/>
        <v>-196596.73</v>
      </c>
      <c r="T136" s="117">
        <v>-238056.70000000007</v>
      </c>
      <c r="U136" s="115">
        <f t="shared" si="30"/>
        <v>41459.970000000059</v>
      </c>
      <c r="Y136" s="115">
        <f t="shared" si="31"/>
        <v>0</v>
      </c>
      <c r="Z136" s="117">
        <v>-41459.970000000059</v>
      </c>
      <c r="AA136" s="115">
        <f t="shared" si="32"/>
        <v>0</v>
      </c>
      <c r="AH136" s="79"/>
      <c r="AI136" s="79"/>
      <c r="AJ136" s="79">
        <v>-50317.919999999998</v>
      </c>
      <c r="AK136" s="79">
        <v>-41459.970000000059</v>
      </c>
      <c r="AL136" s="79">
        <f t="shared" si="26"/>
        <v>-41459.970000000059</v>
      </c>
      <c r="AN136" s="79">
        <v>-50317.919999999998</v>
      </c>
      <c r="AO136" s="79">
        <v>-41459.970000000059</v>
      </c>
      <c r="AP136" s="79">
        <v>-42841.11</v>
      </c>
      <c r="AQ136" s="79">
        <v>-32614.69</v>
      </c>
      <c r="AR136" s="79">
        <v>-49802.61</v>
      </c>
      <c r="AS136" s="79">
        <f t="shared" si="27"/>
        <v>-217036.30000000005</v>
      </c>
      <c r="BB136" s="103" t="s">
        <v>441</v>
      </c>
      <c r="BC136" s="101" t="s">
        <v>969</v>
      </c>
      <c r="BD136" s="117">
        <v>-42841.11</v>
      </c>
      <c r="BE136" s="117">
        <v>-32614.69</v>
      </c>
      <c r="BF136" s="117">
        <v>-49802.61</v>
      </c>
      <c r="BG136" s="117">
        <v>-71338.320000000007</v>
      </c>
      <c r="BH136" s="129">
        <v>-39817.39</v>
      </c>
      <c r="BI136" s="128">
        <f t="shared" si="28"/>
        <v>-236414.12</v>
      </c>
      <c r="BM136" s="103" t="s">
        <v>441</v>
      </c>
      <c r="BN136" s="101" t="s">
        <v>969</v>
      </c>
      <c r="BO136" s="117">
        <v>0</v>
      </c>
      <c r="BP136" s="117">
        <v>-32614.69</v>
      </c>
      <c r="BQ136" s="117">
        <v>-49802.61</v>
      </c>
      <c r="BR136" s="117">
        <v>-71338.320000000007</v>
      </c>
      <c r="BS136" s="129">
        <v>-39817.39</v>
      </c>
      <c r="BT136" s="129"/>
      <c r="BU136" s="128">
        <f t="shared" si="33"/>
        <v>-193573.01</v>
      </c>
      <c r="BW136" s="115">
        <f t="shared" si="34"/>
        <v>-42841.109999999986</v>
      </c>
      <c r="BX136" s="117">
        <v>-42841.11</v>
      </c>
      <c r="BY136" s="117"/>
    </row>
    <row r="137" spans="2:83">
      <c r="B137" s="103" t="s">
        <v>443</v>
      </c>
      <c r="C137" s="101" t="s">
        <v>970</v>
      </c>
      <c r="D137" s="118">
        <v>-280859.03000000003</v>
      </c>
      <c r="E137" s="118">
        <v>-199811.04</v>
      </c>
      <c r="F137" s="118">
        <v>-444726.73</v>
      </c>
      <c r="G137" s="127">
        <v>-168966.64</v>
      </c>
      <c r="H137" s="102">
        <f t="shared" si="25"/>
        <v>-1094363.44</v>
      </c>
      <c r="K137" s="112" t="s">
        <v>443</v>
      </c>
      <c r="L137" s="111" t="s">
        <v>970</v>
      </c>
      <c r="M137" s="117">
        <v>0</v>
      </c>
      <c r="N137" s="117">
        <v>-63170.47</v>
      </c>
      <c r="O137" s="117">
        <v>-280859.03000000003</v>
      </c>
      <c r="P137" s="117">
        <v>-199811.04</v>
      </c>
      <c r="Q137" s="117">
        <v>-444726.73</v>
      </c>
      <c r="R137" s="117"/>
      <c r="S137" s="117">
        <f t="shared" si="29"/>
        <v>-988567.27</v>
      </c>
      <c r="T137" s="117">
        <v>-1116126.1600000004</v>
      </c>
      <c r="U137" s="115">
        <f t="shared" si="30"/>
        <v>127558.89000000036</v>
      </c>
      <c r="Y137" s="115">
        <f t="shared" si="31"/>
        <v>0</v>
      </c>
      <c r="Z137" s="117">
        <v>-127558.89000000036</v>
      </c>
      <c r="AA137" s="115">
        <f t="shared" si="32"/>
        <v>0</v>
      </c>
      <c r="AH137" s="79"/>
      <c r="AI137" s="79"/>
      <c r="AJ137" s="79">
        <v>-143899.78</v>
      </c>
      <c r="AK137" s="79">
        <v>-127558.89000000036</v>
      </c>
      <c r="AL137" s="79">
        <f t="shared" si="26"/>
        <v>-127558.89000000036</v>
      </c>
      <c r="AN137" s="79">
        <v>-143899.78</v>
      </c>
      <c r="AO137" s="79">
        <v>-127558.89000000036</v>
      </c>
      <c r="AP137" s="79">
        <v>-63170.47</v>
      </c>
      <c r="AQ137" s="79">
        <v>-280859.03000000003</v>
      </c>
      <c r="AR137" s="79">
        <v>-199811.04</v>
      </c>
      <c r="AS137" s="79">
        <f t="shared" si="27"/>
        <v>-815299.21000000043</v>
      </c>
      <c r="BB137" s="103" t="s">
        <v>443</v>
      </c>
      <c r="BC137" s="101" t="s">
        <v>970</v>
      </c>
      <c r="BD137" s="117">
        <v>-63170.47</v>
      </c>
      <c r="BE137" s="117">
        <v>-280859.03000000003</v>
      </c>
      <c r="BF137" s="117">
        <v>-199811.04</v>
      </c>
      <c r="BG137" s="117">
        <v>-444726.73</v>
      </c>
      <c r="BH137" s="129">
        <v>-168966.64</v>
      </c>
      <c r="BI137" s="128">
        <f t="shared" si="28"/>
        <v>-1157533.9100000001</v>
      </c>
      <c r="BM137" s="103" t="s">
        <v>443</v>
      </c>
      <c r="BN137" s="101" t="s">
        <v>970</v>
      </c>
      <c r="BO137" s="117">
        <v>0</v>
      </c>
      <c r="BP137" s="117">
        <v>-280859.03000000003</v>
      </c>
      <c r="BQ137" s="117">
        <v>-199811.04</v>
      </c>
      <c r="BR137" s="117">
        <v>-444726.73</v>
      </c>
      <c r="BS137" s="129">
        <v>-168966.64</v>
      </c>
      <c r="BT137" s="129"/>
      <c r="BU137" s="128">
        <f t="shared" si="33"/>
        <v>-1094363.44</v>
      </c>
      <c r="BW137" s="115">
        <f t="shared" si="34"/>
        <v>-63170.470000000205</v>
      </c>
      <c r="BX137" s="117">
        <v>-63170.47</v>
      </c>
      <c r="BY137" s="117"/>
    </row>
    <row r="138" spans="2:83">
      <c r="B138" s="103" t="s">
        <v>445</v>
      </c>
      <c r="C138" s="101" t="s">
        <v>971</v>
      </c>
      <c r="D138" s="118">
        <v>-45514.21</v>
      </c>
      <c r="E138" s="118">
        <v>-44276.02</v>
      </c>
      <c r="F138" s="118">
        <v>-41221.279999999999</v>
      </c>
      <c r="G138" s="127">
        <v>-37170.410000000003</v>
      </c>
      <c r="H138" s="102">
        <f t="shared" si="25"/>
        <v>-168181.91999999998</v>
      </c>
      <c r="K138" s="112" t="s">
        <v>445</v>
      </c>
      <c r="L138" s="111" t="s">
        <v>971</v>
      </c>
      <c r="M138" s="117">
        <v>0</v>
      </c>
      <c r="N138" s="117">
        <v>-37670.65</v>
      </c>
      <c r="O138" s="117">
        <v>-45514.21</v>
      </c>
      <c r="P138" s="117">
        <v>-44276.02</v>
      </c>
      <c r="Q138" s="117">
        <v>-41221.279999999999</v>
      </c>
      <c r="R138" s="117"/>
      <c r="S138" s="117">
        <f t="shared" si="29"/>
        <v>-168682.16</v>
      </c>
      <c r="T138" s="117">
        <v>-211952.02999999994</v>
      </c>
      <c r="U138" s="115">
        <f t="shared" si="30"/>
        <v>43269.869999999937</v>
      </c>
      <c r="Y138" s="115">
        <f t="shared" si="31"/>
        <v>0</v>
      </c>
      <c r="Z138" s="117">
        <v>-43269.869999999966</v>
      </c>
      <c r="AA138" s="115">
        <f t="shared" si="32"/>
        <v>0</v>
      </c>
      <c r="AH138" s="79"/>
      <c r="AI138" s="79"/>
      <c r="AJ138" s="79">
        <v>-34019.629999999997</v>
      </c>
      <c r="AK138" s="79">
        <v>-43269.869999999966</v>
      </c>
      <c r="AL138" s="79">
        <f t="shared" si="26"/>
        <v>-43269.869999999966</v>
      </c>
      <c r="AN138" s="79">
        <v>-34019.629999999997</v>
      </c>
      <c r="AO138" s="79">
        <v>-43269.869999999966</v>
      </c>
      <c r="AP138" s="79">
        <v>-37670.65</v>
      </c>
      <c r="AQ138" s="79">
        <v>-45514.21</v>
      </c>
      <c r="AR138" s="79">
        <v>-44276.02</v>
      </c>
      <c r="AS138" s="79">
        <f t="shared" si="27"/>
        <v>-204750.37999999995</v>
      </c>
      <c r="BB138" s="103" t="s">
        <v>445</v>
      </c>
      <c r="BC138" s="101" t="s">
        <v>971</v>
      </c>
      <c r="BD138" s="117">
        <v>-37670.65</v>
      </c>
      <c r="BE138" s="117">
        <v>-45514.21</v>
      </c>
      <c r="BF138" s="117">
        <v>-44276.02</v>
      </c>
      <c r="BG138" s="117">
        <v>-41221.279999999999</v>
      </c>
      <c r="BH138" s="129">
        <v>-37170.410000000003</v>
      </c>
      <c r="BI138" s="128">
        <f t="shared" si="28"/>
        <v>-205852.57</v>
      </c>
      <c r="BM138" s="103" t="s">
        <v>445</v>
      </c>
      <c r="BN138" s="101" t="s">
        <v>971</v>
      </c>
      <c r="BO138" s="117">
        <v>0</v>
      </c>
      <c r="BP138" s="117">
        <v>-45514.21</v>
      </c>
      <c r="BQ138" s="117">
        <v>-44276.02</v>
      </c>
      <c r="BR138" s="117">
        <v>-41221.279999999999</v>
      </c>
      <c r="BS138" s="129">
        <v>-37170.410000000003</v>
      </c>
      <c r="BT138" s="129"/>
      <c r="BU138" s="128">
        <f t="shared" si="33"/>
        <v>-168181.91999999998</v>
      </c>
      <c r="BW138" s="115">
        <f t="shared" si="34"/>
        <v>-37670.650000000023</v>
      </c>
      <c r="BX138" s="117">
        <v>-37670.65</v>
      </c>
      <c r="BY138" s="117"/>
    </row>
    <row r="139" spans="2:83">
      <c r="B139" s="103" t="s">
        <v>447</v>
      </c>
      <c r="C139" s="101" t="s">
        <v>972</v>
      </c>
      <c r="D139" s="118">
        <v>-31572.79</v>
      </c>
      <c r="E139" s="118">
        <v>-55485.93</v>
      </c>
      <c r="F139" s="118">
        <v>-62595.35</v>
      </c>
      <c r="G139" s="127">
        <v>-58623.13</v>
      </c>
      <c r="H139" s="102">
        <f t="shared" si="25"/>
        <v>-208277.2</v>
      </c>
      <c r="K139" s="112" t="s">
        <v>447</v>
      </c>
      <c r="L139" s="111" t="s">
        <v>972</v>
      </c>
      <c r="M139" s="117">
        <v>0</v>
      </c>
      <c r="N139" s="117">
        <v>-29175.46</v>
      </c>
      <c r="O139" s="117">
        <v>-31572.79</v>
      </c>
      <c r="P139" s="117">
        <v>-55485.93</v>
      </c>
      <c r="Q139" s="117">
        <v>-62595.35</v>
      </c>
      <c r="R139" s="117"/>
      <c r="S139" s="117">
        <f t="shared" si="29"/>
        <v>-178829.53</v>
      </c>
      <c r="T139" s="117">
        <v>-224359.70999999996</v>
      </c>
      <c r="U139" s="115">
        <f t="shared" si="30"/>
        <v>45530.179999999964</v>
      </c>
      <c r="Y139" s="115">
        <f t="shared" si="31"/>
        <v>0</v>
      </c>
      <c r="Z139" s="117">
        <v>-45530.179999999964</v>
      </c>
      <c r="AA139" s="115">
        <f t="shared" si="32"/>
        <v>0</v>
      </c>
      <c r="AH139" s="79"/>
      <c r="AI139" s="79"/>
      <c r="AJ139" s="79">
        <v>-64353.26</v>
      </c>
      <c r="AK139" s="79">
        <v>-45530.179999999964</v>
      </c>
      <c r="AL139" s="79">
        <f t="shared" si="26"/>
        <v>-45530.179999999964</v>
      </c>
      <c r="AN139" s="79">
        <v>-64353.26</v>
      </c>
      <c r="AO139" s="79">
        <v>-45530.179999999964</v>
      </c>
      <c r="AP139" s="79">
        <v>-29175.46</v>
      </c>
      <c r="AQ139" s="79">
        <v>-31572.79</v>
      </c>
      <c r="AR139" s="79">
        <v>-55485.93</v>
      </c>
      <c r="AS139" s="79">
        <f t="shared" si="27"/>
        <v>-226117.61999999997</v>
      </c>
      <c r="BB139" s="103" t="s">
        <v>447</v>
      </c>
      <c r="BC139" s="101" t="s">
        <v>972</v>
      </c>
      <c r="BD139" s="117">
        <v>-29175.46</v>
      </c>
      <c r="BE139" s="117">
        <v>-31572.79</v>
      </c>
      <c r="BF139" s="117">
        <v>-55485.93</v>
      </c>
      <c r="BG139" s="117">
        <v>-62595.35</v>
      </c>
      <c r="BH139" s="129">
        <v>-58623.13</v>
      </c>
      <c r="BI139" s="128">
        <f t="shared" si="28"/>
        <v>-237452.66</v>
      </c>
      <c r="BM139" s="103" t="s">
        <v>447</v>
      </c>
      <c r="BN139" s="101" t="s">
        <v>972</v>
      </c>
      <c r="BO139" s="117">
        <v>0</v>
      </c>
      <c r="BP139" s="117">
        <v>-31572.79</v>
      </c>
      <c r="BQ139" s="117">
        <v>-55485.93</v>
      </c>
      <c r="BR139" s="117">
        <v>-62595.35</v>
      </c>
      <c r="BS139" s="129">
        <v>-58623.13</v>
      </c>
      <c r="BT139" s="129"/>
      <c r="BU139" s="128">
        <f t="shared" si="33"/>
        <v>-208277.2</v>
      </c>
      <c r="BW139" s="115">
        <f t="shared" si="34"/>
        <v>-29175.459999999992</v>
      </c>
      <c r="BX139" s="117">
        <v>-29175.46</v>
      </c>
      <c r="BY139" s="117"/>
    </row>
    <row r="140" spans="2:83">
      <c r="B140" s="103" t="s">
        <v>449</v>
      </c>
      <c r="C140" s="101" t="s">
        <v>973</v>
      </c>
      <c r="D140" s="118">
        <v>-47328.44</v>
      </c>
      <c r="E140" s="118">
        <v>-43465.29</v>
      </c>
      <c r="F140" s="118">
        <v>-39220.53</v>
      </c>
      <c r="G140" s="127">
        <v>-52986.559999999998</v>
      </c>
      <c r="H140" s="102">
        <f t="shared" si="25"/>
        <v>-183000.82</v>
      </c>
      <c r="K140" s="112" t="s">
        <v>449</v>
      </c>
      <c r="L140" s="111" t="s">
        <v>973</v>
      </c>
      <c r="M140" s="117">
        <v>0</v>
      </c>
      <c r="N140" s="117">
        <v>-41807.53</v>
      </c>
      <c r="O140" s="117">
        <v>-47328.44</v>
      </c>
      <c r="P140" s="117">
        <v>-43465.29</v>
      </c>
      <c r="Q140" s="117">
        <v>-39220.53</v>
      </c>
      <c r="R140" s="117"/>
      <c r="S140" s="117">
        <f t="shared" si="29"/>
        <v>-171821.79</v>
      </c>
      <c r="T140" s="117">
        <v>-214651.69999999995</v>
      </c>
      <c r="U140" s="115">
        <f t="shared" si="30"/>
        <v>42829.909999999945</v>
      </c>
      <c r="Y140" s="115">
        <f t="shared" si="31"/>
        <v>0</v>
      </c>
      <c r="Z140" s="117">
        <v>-42829.90999999996</v>
      </c>
      <c r="AA140" s="115">
        <f t="shared" si="32"/>
        <v>0</v>
      </c>
      <c r="AH140" s="79"/>
      <c r="AI140" s="79"/>
      <c r="AJ140" s="79">
        <v>-38636.01</v>
      </c>
      <c r="AK140" s="79">
        <v>-42829.90999999996</v>
      </c>
      <c r="AL140" s="79">
        <f t="shared" si="26"/>
        <v>-42829.90999999996</v>
      </c>
      <c r="AN140" s="79">
        <v>-38636.01</v>
      </c>
      <c r="AO140" s="79">
        <v>-42829.90999999996</v>
      </c>
      <c r="AP140" s="79">
        <v>-41807.53</v>
      </c>
      <c r="AQ140" s="79">
        <v>-47328.44</v>
      </c>
      <c r="AR140" s="79">
        <v>-43465.29</v>
      </c>
      <c r="AS140" s="79">
        <f t="shared" si="27"/>
        <v>-214067.17999999996</v>
      </c>
      <c r="BB140" s="103" t="s">
        <v>449</v>
      </c>
      <c r="BC140" s="101" t="s">
        <v>973</v>
      </c>
      <c r="BD140" s="117">
        <v>-41807.53</v>
      </c>
      <c r="BE140" s="117">
        <v>-47328.44</v>
      </c>
      <c r="BF140" s="117">
        <v>-43465.29</v>
      </c>
      <c r="BG140" s="117">
        <v>-39220.53</v>
      </c>
      <c r="BH140" s="129">
        <v>-52986.559999999998</v>
      </c>
      <c r="BI140" s="128">
        <f t="shared" si="28"/>
        <v>-224808.35</v>
      </c>
      <c r="BM140" s="103" t="s">
        <v>449</v>
      </c>
      <c r="BN140" s="101" t="s">
        <v>973</v>
      </c>
      <c r="BO140" s="117">
        <v>0</v>
      </c>
      <c r="BP140" s="117">
        <v>-47328.44</v>
      </c>
      <c r="BQ140" s="117">
        <v>-43465.29</v>
      </c>
      <c r="BR140" s="117">
        <v>-39220.53</v>
      </c>
      <c r="BS140" s="129">
        <v>-52986.559999999998</v>
      </c>
      <c r="BT140" s="129"/>
      <c r="BU140" s="128">
        <f t="shared" si="33"/>
        <v>-183000.82</v>
      </c>
      <c r="BW140" s="115">
        <f t="shared" si="34"/>
        <v>-41807.53</v>
      </c>
      <c r="BX140" s="117">
        <v>-41807.53</v>
      </c>
      <c r="BY140" s="117"/>
    </row>
    <row r="141" spans="2:83">
      <c r="B141" s="103" t="s">
        <v>451</v>
      </c>
      <c r="C141" s="101" t="s">
        <v>974</v>
      </c>
      <c r="D141" s="118">
        <v>-40742.949999999997</v>
      </c>
      <c r="E141" s="118">
        <v>-39169.67</v>
      </c>
      <c r="F141" s="118">
        <v>-41807.53</v>
      </c>
      <c r="G141" s="127">
        <v>-44799.49</v>
      </c>
      <c r="H141" s="102">
        <f t="shared" si="25"/>
        <v>-166519.63999999998</v>
      </c>
      <c r="K141" s="112" t="s">
        <v>451</v>
      </c>
      <c r="L141" s="111" t="s">
        <v>974</v>
      </c>
      <c r="M141" s="117">
        <v>0</v>
      </c>
      <c r="N141" s="117">
        <v>-37956.81</v>
      </c>
      <c r="O141" s="117">
        <v>-40742.949999999997</v>
      </c>
      <c r="P141" s="117">
        <v>-39169.67</v>
      </c>
      <c r="Q141" s="117">
        <v>-41807.53</v>
      </c>
      <c r="R141" s="117"/>
      <c r="S141" s="117">
        <f t="shared" si="29"/>
        <v>-159676.96</v>
      </c>
      <c r="T141" s="117">
        <v>-190056.9899999999</v>
      </c>
      <c r="U141" s="115">
        <f t="shared" si="30"/>
        <v>30380.029999999912</v>
      </c>
      <c r="Y141" s="115">
        <f t="shared" si="31"/>
        <v>0</v>
      </c>
      <c r="Z141" s="117">
        <v>-30380.029999999897</v>
      </c>
      <c r="AA141" s="115">
        <f t="shared" si="32"/>
        <v>0</v>
      </c>
      <c r="AH141" s="79"/>
      <c r="AI141" s="79"/>
      <c r="AJ141" s="79">
        <v>-28725.74</v>
      </c>
      <c r="AK141" s="79">
        <v>-30380.029999999897</v>
      </c>
      <c r="AL141" s="79">
        <f t="shared" si="26"/>
        <v>-30380.029999999897</v>
      </c>
      <c r="AN141" s="79">
        <v>-28725.74</v>
      </c>
      <c r="AO141" s="79">
        <v>-30380.029999999897</v>
      </c>
      <c r="AP141" s="79">
        <v>-37956.81</v>
      </c>
      <c r="AQ141" s="79">
        <v>-40742.949999999997</v>
      </c>
      <c r="AR141" s="79">
        <v>-39169.67</v>
      </c>
      <c r="AS141" s="79">
        <f t="shared" si="27"/>
        <v>-176975.1999999999</v>
      </c>
      <c r="BB141" s="103" t="s">
        <v>451</v>
      </c>
      <c r="BC141" s="101" t="s">
        <v>974</v>
      </c>
      <c r="BD141" s="117">
        <v>-37956.81</v>
      </c>
      <c r="BE141" s="117">
        <v>-40742.949999999997</v>
      </c>
      <c r="BF141" s="117">
        <v>-39169.67</v>
      </c>
      <c r="BG141" s="117">
        <v>-41807.53</v>
      </c>
      <c r="BH141" s="129">
        <v>-44799.49</v>
      </c>
      <c r="BI141" s="128">
        <f t="shared" si="28"/>
        <v>-204476.44999999998</v>
      </c>
      <c r="BM141" s="103" t="s">
        <v>451</v>
      </c>
      <c r="BN141" s="101" t="s">
        <v>974</v>
      </c>
      <c r="BO141" s="117">
        <v>0</v>
      </c>
      <c r="BP141" s="117">
        <v>-40742.949999999997</v>
      </c>
      <c r="BQ141" s="117">
        <v>-39169.67</v>
      </c>
      <c r="BR141" s="117">
        <v>-41807.53</v>
      </c>
      <c r="BS141" s="129">
        <v>-44799.49</v>
      </c>
      <c r="BT141" s="129"/>
      <c r="BU141" s="128">
        <f t="shared" si="33"/>
        <v>-166519.63999999998</v>
      </c>
      <c r="BW141" s="115">
        <f t="shared" si="34"/>
        <v>-37956.81</v>
      </c>
      <c r="BX141" s="117">
        <v>-37956.81</v>
      </c>
      <c r="BY141" s="117"/>
    </row>
    <row r="142" spans="2:83">
      <c r="B142" s="103" t="s">
        <v>453</v>
      </c>
      <c r="C142" s="101" t="s">
        <v>975</v>
      </c>
      <c r="D142" s="118">
        <v>-51849.13</v>
      </c>
      <c r="E142" s="118">
        <v>-41917.15</v>
      </c>
      <c r="F142" s="118">
        <v>-41133.72</v>
      </c>
      <c r="G142" s="127">
        <v>-40831.480000000003</v>
      </c>
      <c r="H142" s="102">
        <f t="shared" si="25"/>
        <v>-175731.48</v>
      </c>
      <c r="K142" s="112" t="s">
        <v>453</v>
      </c>
      <c r="L142" s="111" t="s">
        <v>975</v>
      </c>
      <c r="M142" s="117">
        <v>0</v>
      </c>
      <c r="N142" s="117">
        <v>-29654.81</v>
      </c>
      <c r="O142" s="117">
        <v>-51849.13</v>
      </c>
      <c r="P142" s="117">
        <v>-41917.15</v>
      </c>
      <c r="Q142" s="117">
        <v>-41133.72</v>
      </c>
      <c r="R142" s="117"/>
      <c r="S142" s="117">
        <f t="shared" si="29"/>
        <v>-164554.81</v>
      </c>
      <c r="T142" s="117">
        <v>-201428.49999999988</v>
      </c>
      <c r="U142" s="115">
        <f t="shared" si="30"/>
        <v>36873.689999999886</v>
      </c>
      <c r="Y142" s="115">
        <f t="shared" si="31"/>
        <v>0</v>
      </c>
      <c r="Z142" s="117">
        <v>-36873.689999999886</v>
      </c>
      <c r="AA142" s="115">
        <f t="shared" si="32"/>
        <v>0</v>
      </c>
      <c r="AH142" s="79"/>
      <c r="AI142" s="79"/>
      <c r="AJ142" s="79">
        <v>-19904.86</v>
      </c>
      <c r="AK142" s="79">
        <v>-36873.689999999886</v>
      </c>
      <c r="AL142" s="79">
        <f t="shared" si="26"/>
        <v>-36873.689999999886</v>
      </c>
      <c r="AN142" s="79">
        <v>-19904.86</v>
      </c>
      <c r="AO142" s="79">
        <v>-36873.689999999886</v>
      </c>
      <c r="AP142" s="79">
        <v>-29654.81</v>
      </c>
      <c r="AQ142" s="79">
        <v>-51849.13</v>
      </c>
      <c r="AR142" s="79">
        <v>-41917.15</v>
      </c>
      <c r="AS142" s="79">
        <f t="shared" si="27"/>
        <v>-180199.63999999987</v>
      </c>
      <c r="BB142" s="103" t="s">
        <v>453</v>
      </c>
      <c r="BC142" s="101" t="s">
        <v>975</v>
      </c>
      <c r="BD142" s="117">
        <v>-29654.81</v>
      </c>
      <c r="BE142" s="117">
        <v>-51849.13</v>
      </c>
      <c r="BF142" s="117">
        <v>-41917.15</v>
      </c>
      <c r="BG142" s="117">
        <v>-41133.72</v>
      </c>
      <c r="BH142" s="129">
        <v>-40831.480000000003</v>
      </c>
      <c r="BI142" s="128">
        <f t="shared" si="28"/>
        <v>-205386.29</v>
      </c>
      <c r="BM142" s="103" t="s">
        <v>453</v>
      </c>
      <c r="BN142" s="101" t="s">
        <v>975</v>
      </c>
      <c r="BO142" s="117">
        <v>0</v>
      </c>
      <c r="BP142" s="117">
        <v>-51849.13</v>
      </c>
      <c r="BQ142" s="117">
        <v>-41917.15</v>
      </c>
      <c r="BR142" s="117">
        <v>-41133.72</v>
      </c>
      <c r="BS142" s="129">
        <v>-40831.480000000003</v>
      </c>
      <c r="BT142" s="129"/>
      <c r="BU142" s="128">
        <f t="shared" si="33"/>
        <v>-175731.48</v>
      </c>
      <c r="BW142" s="115">
        <f t="shared" si="34"/>
        <v>-29654.809999999998</v>
      </c>
      <c r="BX142" s="117">
        <v>-29654.81</v>
      </c>
      <c r="BY142" s="117"/>
    </row>
    <row r="143" spans="2:83">
      <c r="B143" s="103" t="s">
        <v>455</v>
      </c>
      <c r="C143" s="101" t="s">
        <v>976</v>
      </c>
      <c r="D143" s="118">
        <v>-49539.42</v>
      </c>
      <c r="E143" s="118">
        <v>-53858</v>
      </c>
      <c r="F143" s="118">
        <v>-59649.19</v>
      </c>
      <c r="G143" s="127">
        <v>-47443.29</v>
      </c>
      <c r="H143" s="102">
        <f t="shared" si="25"/>
        <v>-210489.9</v>
      </c>
      <c r="K143" s="112" t="s">
        <v>455</v>
      </c>
      <c r="L143" s="111" t="s">
        <v>976</v>
      </c>
      <c r="M143" s="117">
        <v>0</v>
      </c>
      <c r="N143" s="117">
        <v>-44638.23</v>
      </c>
      <c r="O143" s="117">
        <v>-49539.42</v>
      </c>
      <c r="P143" s="117">
        <v>-53858</v>
      </c>
      <c r="Q143" s="117">
        <v>-59649.19</v>
      </c>
      <c r="R143" s="117"/>
      <c r="S143" s="117">
        <f t="shared" si="29"/>
        <v>-207684.84</v>
      </c>
      <c r="T143" s="117">
        <v>-262261.89999999991</v>
      </c>
      <c r="U143" s="115">
        <f t="shared" si="30"/>
        <v>54577.05999999991</v>
      </c>
      <c r="Y143" s="115">
        <f t="shared" si="31"/>
        <v>0</v>
      </c>
      <c r="Z143" s="117">
        <v>-54577.05999999991</v>
      </c>
      <c r="AA143" s="115">
        <f t="shared" si="32"/>
        <v>0</v>
      </c>
      <c r="AH143" s="79"/>
      <c r="AI143" s="79"/>
      <c r="AJ143" s="79">
        <v>-51874.93</v>
      </c>
      <c r="AK143" s="79">
        <v>-54577.05999999991</v>
      </c>
      <c r="AL143" s="79">
        <f t="shared" si="26"/>
        <v>-54577.05999999991</v>
      </c>
      <c r="AN143" s="79">
        <v>-51874.93</v>
      </c>
      <c r="AO143" s="79">
        <v>-54577.05999999991</v>
      </c>
      <c r="AP143" s="79">
        <v>-44638.23</v>
      </c>
      <c r="AQ143" s="79">
        <v>-49539.42</v>
      </c>
      <c r="AR143" s="79">
        <v>-53858</v>
      </c>
      <c r="AS143" s="79">
        <f t="shared" si="27"/>
        <v>-254487.6399999999</v>
      </c>
      <c r="BB143" s="103" t="s">
        <v>455</v>
      </c>
      <c r="BC143" s="101" t="s">
        <v>976</v>
      </c>
      <c r="BD143" s="117">
        <v>-44638.23</v>
      </c>
      <c r="BE143" s="117">
        <v>-49539.42</v>
      </c>
      <c r="BF143" s="117">
        <v>-53858</v>
      </c>
      <c r="BG143" s="117">
        <v>-59649.19</v>
      </c>
      <c r="BH143" s="129">
        <v>-47443.29</v>
      </c>
      <c r="BI143" s="128">
        <f t="shared" si="28"/>
        <v>-255128.13</v>
      </c>
      <c r="BM143" s="103" t="s">
        <v>455</v>
      </c>
      <c r="BN143" s="101" t="s">
        <v>976</v>
      </c>
      <c r="BO143" s="117">
        <v>0</v>
      </c>
      <c r="BP143" s="117">
        <v>-49539.42</v>
      </c>
      <c r="BQ143" s="117">
        <v>-53858</v>
      </c>
      <c r="BR143" s="117">
        <v>-59649.19</v>
      </c>
      <c r="BS143" s="129">
        <v>-47443.29</v>
      </c>
      <c r="BT143" s="129"/>
      <c r="BU143" s="128">
        <f t="shared" si="33"/>
        <v>-210489.9</v>
      </c>
      <c r="BW143" s="115">
        <f t="shared" si="34"/>
        <v>-44638.23000000001</v>
      </c>
      <c r="BX143" s="117">
        <v>-44638.23</v>
      </c>
      <c r="BY143" s="117"/>
    </row>
    <row r="144" spans="2:83">
      <c r="B144" s="103" t="s">
        <v>457</v>
      </c>
      <c r="C144" s="101" t="s">
        <v>977</v>
      </c>
      <c r="D144" s="118">
        <v>-53204.35</v>
      </c>
      <c r="E144" s="118">
        <v>-73295.09</v>
      </c>
      <c r="F144" s="118">
        <v>-79682.25</v>
      </c>
      <c r="G144" s="127">
        <v>-107227.87</v>
      </c>
      <c r="H144" s="102">
        <f t="shared" si="25"/>
        <v>-313409.56</v>
      </c>
      <c r="K144" s="112" t="s">
        <v>457</v>
      </c>
      <c r="L144" s="111" t="s">
        <v>977</v>
      </c>
      <c r="M144" s="117">
        <v>0</v>
      </c>
      <c r="N144" s="117">
        <v>-73458.210000000006</v>
      </c>
      <c r="O144" s="117">
        <v>-53204.35</v>
      </c>
      <c r="P144" s="117">
        <v>-73295.09</v>
      </c>
      <c r="Q144" s="117">
        <v>-79682.25</v>
      </c>
      <c r="R144" s="117"/>
      <c r="S144" s="117">
        <f t="shared" si="29"/>
        <v>-279639.90000000002</v>
      </c>
      <c r="T144" s="117">
        <v>-343212.12000000011</v>
      </c>
      <c r="U144" s="115">
        <f t="shared" si="30"/>
        <v>63572.220000000088</v>
      </c>
      <c r="Y144" s="115">
        <f t="shared" si="31"/>
        <v>0</v>
      </c>
      <c r="Z144" s="117">
        <v>-63572.220000000103</v>
      </c>
      <c r="AA144" s="115">
        <f t="shared" si="32"/>
        <v>0</v>
      </c>
      <c r="AH144" s="79"/>
      <c r="AI144" s="79"/>
      <c r="AJ144" s="79">
        <v>-60197.42</v>
      </c>
      <c r="AK144" s="79">
        <v>-63572.220000000103</v>
      </c>
      <c r="AL144" s="79">
        <f t="shared" si="26"/>
        <v>-63572.220000000103</v>
      </c>
      <c r="AN144" s="79">
        <v>-60197.42</v>
      </c>
      <c r="AO144" s="79">
        <v>-63572.220000000103</v>
      </c>
      <c r="AP144" s="79">
        <v>-73458.210000000006</v>
      </c>
      <c r="AQ144" s="79">
        <v>-53204.35</v>
      </c>
      <c r="AR144" s="79">
        <v>-73295.09</v>
      </c>
      <c r="AS144" s="79">
        <f t="shared" si="27"/>
        <v>-323727.2900000001</v>
      </c>
      <c r="BB144" s="103" t="s">
        <v>457</v>
      </c>
      <c r="BC144" s="101" t="s">
        <v>977</v>
      </c>
      <c r="BD144" s="117">
        <v>-73458.210000000006</v>
      </c>
      <c r="BE144" s="117">
        <v>-53204.35</v>
      </c>
      <c r="BF144" s="117">
        <v>-73295.09</v>
      </c>
      <c r="BG144" s="117">
        <v>-79682.25</v>
      </c>
      <c r="BH144" s="129">
        <v>-107227.87</v>
      </c>
      <c r="BI144" s="128">
        <f t="shared" si="28"/>
        <v>-386867.77</v>
      </c>
      <c r="BM144" s="103" t="s">
        <v>457</v>
      </c>
      <c r="BN144" s="101" t="s">
        <v>977</v>
      </c>
      <c r="BO144" s="117">
        <v>0</v>
      </c>
      <c r="BP144" s="117">
        <v>-53204.35</v>
      </c>
      <c r="BQ144" s="117">
        <v>-73295.09</v>
      </c>
      <c r="BR144" s="117">
        <v>-79682.25</v>
      </c>
      <c r="BS144" s="129">
        <v>-107227.87</v>
      </c>
      <c r="BT144" s="129"/>
      <c r="BU144" s="128">
        <f t="shared" si="33"/>
        <v>-313409.56</v>
      </c>
      <c r="BW144" s="115">
        <f t="shared" si="34"/>
        <v>-73458.210000000021</v>
      </c>
      <c r="BX144" s="117">
        <v>-73458.210000000006</v>
      </c>
      <c r="BY144" s="117"/>
    </row>
    <row r="145" spans="2:83">
      <c r="B145" s="103" t="s">
        <v>459</v>
      </c>
      <c r="C145" s="101" t="s">
        <v>978</v>
      </c>
      <c r="D145" s="118">
        <v>-36071.910000000003</v>
      </c>
      <c r="E145" s="118">
        <v>-48148.57</v>
      </c>
      <c r="F145" s="118">
        <v>-40245.360000000001</v>
      </c>
      <c r="G145" s="127">
        <v>-27297.91</v>
      </c>
      <c r="H145" s="102">
        <f t="shared" si="25"/>
        <v>-151763.75</v>
      </c>
      <c r="K145" s="112" t="s">
        <v>459</v>
      </c>
      <c r="L145" s="111" t="s">
        <v>978</v>
      </c>
      <c r="M145" s="117">
        <v>0</v>
      </c>
      <c r="N145" s="117">
        <v>-27941.279999999999</v>
      </c>
      <c r="O145" s="117">
        <v>-36071.910000000003</v>
      </c>
      <c r="P145" s="117">
        <v>-48148.57</v>
      </c>
      <c r="Q145" s="117">
        <v>-40245.360000000001</v>
      </c>
      <c r="R145" s="117"/>
      <c r="S145" s="117">
        <f t="shared" si="29"/>
        <v>-152407.12</v>
      </c>
      <c r="T145" s="117">
        <v>-182708.94</v>
      </c>
      <c r="U145" s="115">
        <f t="shared" si="30"/>
        <v>30301.820000000007</v>
      </c>
      <c r="Y145" s="115">
        <f t="shared" si="31"/>
        <v>0</v>
      </c>
      <c r="Z145" s="117">
        <v>-30301.82</v>
      </c>
      <c r="AA145" s="115">
        <f t="shared" si="32"/>
        <v>0</v>
      </c>
      <c r="AH145" s="79"/>
      <c r="AI145" s="79"/>
      <c r="AJ145" s="79">
        <v>383.47</v>
      </c>
      <c r="AK145" s="79">
        <v>-30685.289999999892</v>
      </c>
      <c r="AL145" s="79">
        <f t="shared" si="26"/>
        <v>-30301.819999999891</v>
      </c>
      <c r="AN145" s="79">
        <v>383.47</v>
      </c>
      <c r="AO145" s="79">
        <v>-30685.289999999892</v>
      </c>
      <c r="AP145" s="79">
        <v>-27941.279999999999</v>
      </c>
      <c r="AQ145" s="79">
        <v>-36071.910000000003</v>
      </c>
      <c r="AR145" s="79">
        <v>-48148.57</v>
      </c>
      <c r="AS145" s="79">
        <f t="shared" si="27"/>
        <v>-142463.5799999999</v>
      </c>
      <c r="BB145" s="103" t="s">
        <v>459</v>
      </c>
      <c r="BC145" s="101" t="s">
        <v>978</v>
      </c>
      <c r="BD145" s="117">
        <v>-27941.279999999999</v>
      </c>
      <c r="BE145" s="117">
        <v>-36071.910000000003</v>
      </c>
      <c r="BF145" s="117">
        <v>-48148.57</v>
      </c>
      <c r="BG145" s="117">
        <v>-40245.360000000001</v>
      </c>
      <c r="BH145" s="129">
        <v>-27297.91</v>
      </c>
      <c r="BI145" s="128">
        <f t="shared" si="28"/>
        <v>-179705.03</v>
      </c>
      <c r="BM145" s="103" t="s">
        <v>459</v>
      </c>
      <c r="BN145" s="101" t="s">
        <v>978</v>
      </c>
      <c r="BO145" s="117">
        <v>0</v>
      </c>
      <c r="BP145" s="117">
        <v>-36071.910000000003</v>
      </c>
      <c r="BQ145" s="117">
        <v>-48148.57</v>
      </c>
      <c r="BR145" s="117">
        <v>-40245.360000000001</v>
      </c>
      <c r="BS145" s="129">
        <v>-27297.91</v>
      </c>
      <c r="BT145" s="129"/>
      <c r="BU145" s="128">
        <f t="shared" si="33"/>
        <v>-151763.75</v>
      </c>
      <c r="BW145" s="115">
        <f t="shared" si="34"/>
        <v>-27941.279999999999</v>
      </c>
      <c r="BX145" s="117">
        <v>-27941.279999999999</v>
      </c>
      <c r="BY145" s="117"/>
    </row>
    <row r="146" spans="2:83">
      <c r="B146" s="103" t="s">
        <v>461</v>
      </c>
      <c r="C146" s="101" t="s">
        <v>979</v>
      </c>
      <c r="D146" s="118">
        <v>-14902.67</v>
      </c>
      <c r="E146" s="118">
        <v>-6601.11</v>
      </c>
      <c r="F146" s="118">
        <v>-8219.5400000000009</v>
      </c>
      <c r="G146" s="127">
        <v>-13400.81</v>
      </c>
      <c r="H146" s="102">
        <f t="shared" si="25"/>
        <v>-43124.13</v>
      </c>
      <c r="K146" s="112" t="s">
        <v>461</v>
      </c>
      <c r="L146" s="111" t="s">
        <v>979</v>
      </c>
      <c r="M146" s="117">
        <v>0</v>
      </c>
      <c r="N146" s="117">
        <v>-23506.09</v>
      </c>
      <c r="O146" s="117">
        <v>-14902.67</v>
      </c>
      <c r="P146" s="117">
        <v>-6601.11</v>
      </c>
      <c r="Q146" s="117">
        <v>-8219.5400000000009</v>
      </c>
      <c r="R146" s="117"/>
      <c r="S146" s="117">
        <f t="shared" si="29"/>
        <v>-53229.41</v>
      </c>
      <c r="T146" s="117">
        <v>-74241.490000000049</v>
      </c>
      <c r="U146" s="115">
        <f t="shared" si="30"/>
        <v>21012.080000000045</v>
      </c>
      <c r="Y146" s="115">
        <f t="shared" si="31"/>
        <v>0</v>
      </c>
      <c r="Z146" s="117">
        <v>-21012.080000000045</v>
      </c>
      <c r="AA146" s="115">
        <f t="shared" si="32"/>
        <v>0</v>
      </c>
      <c r="AH146" s="79"/>
      <c r="AI146" s="79"/>
      <c r="AJ146" s="79">
        <v>-18230.580000000002</v>
      </c>
      <c r="AK146" s="79">
        <v>-21012.080000000045</v>
      </c>
      <c r="AL146" s="79">
        <f t="shared" si="26"/>
        <v>-21012.080000000045</v>
      </c>
      <c r="AN146" s="79">
        <v>-18230.580000000002</v>
      </c>
      <c r="AO146" s="79">
        <v>-21012.080000000045</v>
      </c>
      <c r="AP146" s="79">
        <v>-23506.09</v>
      </c>
      <c r="AQ146" s="79">
        <v>-14902.67</v>
      </c>
      <c r="AR146" s="79">
        <v>-6601.11</v>
      </c>
      <c r="AS146" s="79">
        <f t="shared" si="27"/>
        <v>-84252.530000000042</v>
      </c>
      <c r="BB146" s="103" t="s">
        <v>461</v>
      </c>
      <c r="BC146" s="101" t="s">
        <v>979</v>
      </c>
      <c r="BD146" s="117">
        <v>-23506.09</v>
      </c>
      <c r="BE146" s="117">
        <v>-14902.67</v>
      </c>
      <c r="BF146" s="117">
        <v>-6601.11</v>
      </c>
      <c r="BG146" s="117">
        <v>-8219.5400000000009</v>
      </c>
      <c r="BH146" s="129">
        <v>-13400.81</v>
      </c>
      <c r="BI146" s="128">
        <f t="shared" si="28"/>
        <v>-66630.22</v>
      </c>
      <c r="BM146" s="103" t="s">
        <v>461</v>
      </c>
      <c r="BN146" s="101" t="s">
        <v>979</v>
      </c>
      <c r="BO146" s="117">
        <v>0</v>
      </c>
      <c r="BP146" s="117">
        <v>-14902.67</v>
      </c>
      <c r="BQ146" s="117">
        <v>-6601.11</v>
      </c>
      <c r="BR146" s="117">
        <v>-8219.5400000000009</v>
      </c>
      <c r="BS146" s="129">
        <v>-13400.81</v>
      </c>
      <c r="BT146" s="129"/>
      <c r="BU146" s="128">
        <f t="shared" si="33"/>
        <v>-43124.13</v>
      </c>
      <c r="BW146" s="115">
        <f t="shared" si="34"/>
        <v>-23506.090000000004</v>
      </c>
      <c r="BX146" s="117">
        <v>-23506.09</v>
      </c>
      <c r="BY146" s="117"/>
    </row>
    <row r="147" spans="2:83">
      <c r="B147" s="103" t="s">
        <v>463</v>
      </c>
      <c r="C147" s="101" t="s">
        <v>980</v>
      </c>
      <c r="D147" s="118">
        <v>-13577.24</v>
      </c>
      <c r="E147" s="118">
        <v>-11453.95</v>
      </c>
      <c r="F147" s="118">
        <v>-4865.45</v>
      </c>
      <c r="G147" s="127">
        <v>-17677.84</v>
      </c>
      <c r="H147" s="102">
        <f t="shared" si="25"/>
        <v>-47574.48</v>
      </c>
      <c r="K147" s="112" t="s">
        <v>463</v>
      </c>
      <c r="L147" s="111" t="s">
        <v>980</v>
      </c>
      <c r="M147" s="117">
        <v>0</v>
      </c>
      <c r="N147" s="117">
        <v>-10074.06</v>
      </c>
      <c r="O147" s="117">
        <v>-13577.24</v>
      </c>
      <c r="P147" s="117">
        <v>-11453.95</v>
      </c>
      <c r="Q147" s="117">
        <v>-4865.45</v>
      </c>
      <c r="R147" s="117"/>
      <c r="S147" s="117">
        <f t="shared" si="29"/>
        <v>-39970.699999999997</v>
      </c>
      <c r="T147" s="117">
        <v>-48847.559999999983</v>
      </c>
      <c r="U147" s="115">
        <f t="shared" si="30"/>
        <v>8876.859999999986</v>
      </c>
      <c r="Y147" s="115">
        <f t="shared" si="31"/>
        <v>0</v>
      </c>
      <c r="Z147" s="117">
        <v>-8876.859999999986</v>
      </c>
      <c r="AA147" s="115">
        <f t="shared" si="32"/>
        <v>0</v>
      </c>
      <c r="AH147" s="79"/>
      <c r="AI147" s="79"/>
      <c r="AJ147" s="79">
        <v>-9898.35</v>
      </c>
      <c r="AK147" s="79">
        <v>-8876.859999999986</v>
      </c>
      <c r="AL147" s="79">
        <f t="shared" si="26"/>
        <v>-8876.859999999986</v>
      </c>
      <c r="AN147" s="79">
        <v>-9898.35</v>
      </c>
      <c r="AO147" s="79">
        <v>-8876.859999999986</v>
      </c>
      <c r="AP147" s="79">
        <v>-10074.06</v>
      </c>
      <c r="AQ147" s="79">
        <v>-13577.24</v>
      </c>
      <c r="AR147" s="79">
        <v>-11453.95</v>
      </c>
      <c r="AS147" s="79">
        <f t="shared" si="27"/>
        <v>-53880.459999999977</v>
      </c>
      <c r="BB147" s="103" t="s">
        <v>463</v>
      </c>
      <c r="BC147" s="101" t="s">
        <v>980</v>
      </c>
      <c r="BD147" s="117">
        <v>-10074.06</v>
      </c>
      <c r="BE147" s="117">
        <v>-13577.24</v>
      </c>
      <c r="BF147" s="117">
        <v>-11453.95</v>
      </c>
      <c r="BG147" s="117">
        <v>-4865.45</v>
      </c>
      <c r="BH147" s="129">
        <v>-17677.84</v>
      </c>
      <c r="BI147" s="128">
        <f t="shared" si="28"/>
        <v>-57648.539999999994</v>
      </c>
      <c r="BM147" s="103" t="s">
        <v>463</v>
      </c>
      <c r="BN147" s="101" t="s">
        <v>980</v>
      </c>
      <c r="BO147" s="117">
        <v>0</v>
      </c>
      <c r="BP147" s="117">
        <v>-13577.24</v>
      </c>
      <c r="BQ147" s="117">
        <v>-11453.95</v>
      </c>
      <c r="BR147" s="117">
        <v>-4865.45</v>
      </c>
      <c r="BS147" s="129">
        <v>-17677.84</v>
      </c>
      <c r="BT147" s="129"/>
      <c r="BU147" s="128">
        <f t="shared" si="33"/>
        <v>-47574.48</v>
      </c>
      <c r="BW147" s="115">
        <f t="shared" si="34"/>
        <v>-10074.05999999999</v>
      </c>
      <c r="BX147" s="117">
        <v>-10074.06</v>
      </c>
      <c r="BY147" s="117"/>
    </row>
    <row r="148" spans="2:83">
      <c r="B148" s="103" t="s">
        <v>465</v>
      </c>
      <c r="C148" s="101" t="s">
        <v>981</v>
      </c>
      <c r="D148" s="118">
        <v>435924.58</v>
      </c>
      <c r="E148" s="118">
        <v>30400.15</v>
      </c>
      <c r="F148" s="118">
        <v>161798.45000000001</v>
      </c>
      <c r="G148" s="127">
        <v>83726.55</v>
      </c>
      <c r="H148" s="102">
        <f t="shared" si="25"/>
        <v>711849.7300000001</v>
      </c>
      <c r="K148" s="112" t="s">
        <v>465</v>
      </c>
      <c r="L148" s="111" t="s">
        <v>981</v>
      </c>
      <c r="M148" s="117">
        <v>0</v>
      </c>
      <c r="N148" s="117">
        <v>316680.19</v>
      </c>
      <c r="O148" s="117">
        <v>119244.39</v>
      </c>
      <c r="P148" s="117">
        <v>30400.15</v>
      </c>
      <c r="Q148" s="117">
        <v>161798.45000000001</v>
      </c>
      <c r="R148" s="117"/>
      <c r="S148" s="117">
        <f t="shared" si="29"/>
        <v>628123.18000000005</v>
      </c>
      <c r="T148" s="117">
        <v>628123.18000000005</v>
      </c>
      <c r="U148" s="115">
        <f t="shared" si="30"/>
        <v>0</v>
      </c>
      <c r="W148" s="115">
        <f>+M148+N148</f>
        <v>316680.19</v>
      </c>
      <c r="Y148" s="115">
        <f t="shared" si="31"/>
        <v>235457.66</v>
      </c>
      <c r="Z148" s="117">
        <v>235457.66</v>
      </c>
      <c r="AA148" s="115">
        <f t="shared" si="32"/>
        <v>235457.66</v>
      </c>
      <c r="AH148" s="79"/>
      <c r="AI148" s="79"/>
      <c r="AJ148" s="79">
        <v>142437.59</v>
      </c>
      <c r="AK148" s="79">
        <v>93020.070000001462</v>
      </c>
      <c r="AL148" s="79">
        <f t="shared" si="26"/>
        <v>235457.66000000146</v>
      </c>
      <c r="AN148" s="79">
        <v>142437.59</v>
      </c>
      <c r="AO148" s="79">
        <v>93020.070000001462</v>
      </c>
      <c r="AP148" s="79">
        <v>81222.53</v>
      </c>
      <c r="AQ148" s="79">
        <v>119244.39</v>
      </c>
      <c r="AR148" s="79">
        <v>30400.15</v>
      </c>
      <c r="AS148" s="79">
        <f t="shared" si="27"/>
        <v>466324.73000000149</v>
      </c>
      <c r="BB148" s="103" t="s">
        <v>465</v>
      </c>
      <c r="BC148" s="101" t="s">
        <v>981</v>
      </c>
      <c r="BD148" s="117">
        <v>316680.19</v>
      </c>
      <c r="BE148" s="117">
        <v>119244.39</v>
      </c>
      <c r="BF148" s="117">
        <v>30400.15</v>
      </c>
      <c r="BG148" s="117">
        <v>161798.45000000001</v>
      </c>
      <c r="BH148" s="129">
        <v>83726.55</v>
      </c>
      <c r="BI148" s="128">
        <f t="shared" si="28"/>
        <v>711849.7300000001</v>
      </c>
      <c r="BM148" s="103" t="s">
        <v>465</v>
      </c>
      <c r="BN148" s="101" t="s">
        <v>981</v>
      </c>
      <c r="BO148" s="117">
        <v>0</v>
      </c>
      <c r="BP148" s="131">
        <v>435924.58</v>
      </c>
      <c r="BQ148" s="117">
        <v>30400.15</v>
      </c>
      <c r="BR148" s="117">
        <v>161798.45000000001</v>
      </c>
      <c r="BS148" s="129">
        <v>83726.55</v>
      </c>
      <c r="BT148" s="129"/>
      <c r="BU148" s="128">
        <f t="shared" si="33"/>
        <v>711849.7300000001</v>
      </c>
      <c r="BW148" s="115">
        <f t="shared" si="34"/>
        <v>0</v>
      </c>
      <c r="BX148" s="131">
        <v>316680.19</v>
      </c>
      <c r="BY148" s="131">
        <v>119244.39</v>
      </c>
      <c r="CC148" s="130">
        <f>+BO148+BP148</f>
        <v>435924.58</v>
      </c>
      <c r="CD148" s="115">
        <f>+BX148+BY148</f>
        <v>435924.58</v>
      </c>
      <c r="CE148" s="115">
        <f>+CC148-CD148</f>
        <v>0</v>
      </c>
    </row>
    <row r="149" spans="2:83">
      <c r="B149" s="103" t="s">
        <v>467</v>
      </c>
      <c r="C149" s="101" t="s">
        <v>982</v>
      </c>
      <c r="D149" s="118">
        <v>-73643.41</v>
      </c>
      <c r="E149" s="118">
        <v>-87531.5</v>
      </c>
      <c r="F149" s="118">
        <v>-78899.12</v>
      </c>
      <c r="G149" s="127">
        <v>-83410.66</v>
      </c>
      <c r="H149" s="102">
        <f t="shared" si="25"/>
        <v>-323484.69</v>
      </c>
      <c r="K149" s="112" t="s">
        <v>467</v>
      </c>
      <c r="L149" s="111" t="s">
        <v>982</v>
      </c>
      <c r="M149" s="117">
        <v>0</v>
      </c>
      <c r="N149" s="117">
        <v>-75141.100000000006</v>
      </c>
      <c r="O149" s="117">
        <v>-73643.41</v>
      </c>
      <c r="P149" s="117">
        <v>-87531.5</v>
      </c>
      <c r="Q149" s="117">
        <v>-78899.12</v>
      </c>
      <c r="R149" s="117"/>
      <c r="S149" s="117">
        <f t="shared" si="29"/>
        <v>-315215.13</v>
      </c>
      <c r="T149" s="117">
        <v>-378189.74999999988</v>
      </c>
      <c r="U149" s="115">
        <f t="shared" si="30"/>
        <v>62974.619999999879</v>
      </c>
      <c r="Y149" s="115">
        <f t="shared" si="31"/>
        <v>0</v>
      </c>
      <c r="Z149" s="117">
        <v>-62974.619999999908</v>
      </c>
      <c r="AA149" s="115">
        <f t="shared" si="32"/>
        <v>0</v>
      </c>
      <c r="AH149" s="79"/>
      <c r="AI149" s="79"/>
      <c r="AJ149" s="79">
        <v>-79901.119999999995</v>
      </c>
      <c r="AK149" s="79">
        <v>-62974.619999999908</v>
      </c>
      <c r="AL149" s="79">
        <f t="shared" si="26"/>
        <v>-62974.619999999908</v>
      </c>
      <c r="AN149" s="79">
        <v>-79901.119999999995</v>
      </c>
      <c r="AO149" s="79">
        <v>-62974.619999999908</v>
      </c>
      <c r="AP149" s="79">
        <v>-75141.100000000006</v>
      </c>
      <c r="AQ149" s="79">
        <v>-73643.41</v>
      </c>
      <c r="AR149" s="79">
        <v>-87531.5</v>
      </c>
      <c r="AS149" s="79">
        <f t="shared" si="27"/>
        <v>-379191.74999999988</v>
      </c>
      <c r="BB149" s="103" t="s">
        <v>467</v>
      </c>
      <c r="BC149" s="101" t="s">
        <v>982</v>
      </c>
      <c r="BD149" s="117">
        <v>-75141.100000000006</v>
      </c>
      <c r="BE149" s="117">
        <v>-73643.41</v>
      </c>
      <c r="BF149" s="117">
        <v>-87531.5</v>
      </c>
      <c r="BG149" s="117">
        <v>-78899.12</v>
      </c>
      <c r="BH149" s="129">
        <v>-83410.66</v>
      </c>
      <c r="BI149" s="128">
        <f t="shared" si="28"/>
        <v>-398625.79000000004</v>
      </c>
      <c r="BM149" s="103" t="s">
        <v>467</v>
      </c>
      <c r="BN149" s="101" t="s">
        <v>982</v>
      </c>
      <c r="BO149" s="117">
        <v>0</v>
      </c>
      <c r="BP149" s="117">
        <v>-73643.41</v>
      </c>
      <c r="BQ149" s="117">
        <v>-87531.5</v>
      </c>
      <c r="BR149" s="117">
        <v>-78899.12</v>
      </c>
      <c r="BS149" s="129">
        <v>-83410.66</v>
      </c>
      <c r="BT149" s="129"/>
      <c r="BU149" s="128">
        <f t="shared" si="33"/>
        <v>-323484.69</v>
      </c>
      <c r="BW149" s="115">
        <f t="shared" si="34"/>
        <v>-75141.100000000035</v>
      </c>
      <c r="BX149" s="117">
        <v>-75141.100000000006</v>
      </c>
      <c r="BY149" s="117"/>
    </row>
    <row r="150" spans="2:83">
      <c r="B150" s="103" t="s">
        <v>469</v>
      </c>
      <c r="C150" s="101" t="s">
        <v>983</v>
      </c>
      <c r="D150" s="118">
        <v>-40998.46</v>
      </c>
      <c r="E150" s="118">
        <v>-15194.26</v>
      </c>
      <c r="F150" s="118">
        <v>-37363.85</v>
      </c>
      <c r="G150" s="127">
        <v>-31046.31</v>
      </c>
      <c r="H150" s="102">
        <f t="shared" si="25"/>
        <v>-124602.88</v>
      </c>
      <c r="K150" s="112" t="s">
        <v>469</v>
      </c>
      <c r="L150" s="111" t="s">
        <v>983</v>
      </c>
      <c r="M150" s="117">
        <v>0</v>
      </c>
      <c r="N150" s="117">
        <v>-17531.3</v>
      </c>
      <c r="O150" s="117">
        <v>-40998.46</v>
      </c>
      <c r="P150" s="117">
        <v>-15194.26</v>
      </c>
      <c r="Q150" s="117">
        <v>-37363.85</v>
      </c>
      <c r="R150" s="117"/>
      <c r="S150" s="117">
        <f t="shared" si="29"/>
        <v>-111087.87</v>
      </c>
      <c r="T150" s="117">
        <v>-134261.05000000016</v>
      </c>
      <c r="U150" s="115">
        <f t="shared" si="30"/>
        <v>23173.180000000168</v>
      </c>
      <c r="Y150" s="115">
        <f t="shared" si="31"/>
        <v>0</v>
      </c>
      <c r="Z150" s="117">
        <v>-23173.180000000168</v>
      </c>
      <c r="AA150" s="115">
        <f t="shared" si="32"/>
        <v>0</v>
      </c>
      <c r="AH150" s="79"/>
      <c r="AI150" s="79"/>
      <c r="AJ150" s="79">
        <v>-23534.68</v>
      </c>
      <c r="AK150" s="79">
        <v>-23173.180000000168</v>
      </c>
      <c r="AL150" s="79">
        <f t="shared" si="26"/>
        <v>-23173.180000000168</v>
      </c>
      <c r="AN150" s="79">
        <v>-23534.68</v>
      </c>
      <c r="AO150" s="79">
        <v>-23173.180000000168</v>
      </c>
      <c r="AP150" s="79">
        <v>-17531.3</v>
      </c>
      <c r="AQ150" s="79">
        <v>-40998.46</v>
      </c>
      <c r="AR150" s="79">
        <v>-15194.26</v>
      </c>
      <c r="AS150" s="79">
        <f t="shared" si="27"/>
        <v>-120431.88000000016</v>
      </c>
      <c r="BB150" s="103" t="s">
        <v>469</v>
      </c>
      <c r="BC150" s="101" t="s">
        <v>983</v>
      </c>
      <c r="BD150" s="117">
        <v>-17531.3</v>
      </c>
      <c r="BE150" s="117">
        <v>-40998.46</v>
      </c>
      <c r="BF150" s="117">
        <v>-15194.26</v>
      </c>
      <c r="BG150" s="117">
        <v>-37363.85</v>
      </c>
      <c r="BH150" s="129">
        <v>-31046.31</v>
      </c>
      <c r="BI150" s="128">
        <f t="shared" si="28"/>
        <v>-142134.18</v>
      </c>
      <c r="BM150" s="103" t="s">
        <v>469</v>
      </c>
      <c r="BN150" s="101" t="s">
        <v>983</v>
      </c>
      <c r="BO150" s="117">
        <v>0</v>
      </c>
      <c r="BP150" s="117">
        <v>-40998.46</v>
      </c>
      <c r="BQ150" s="117">
        <v>-15194.26</v>
      </c>
      <c r="BR150" s="117">
        <v>-37363.85</v>
      </c>
      <c r="BS150" s="129">
        <v>-31046.31</v>
      </c>
      <c r="BT150" s="129"/>
      <c r="BU150" s="128">
        <f t="shared" si="33"/>
        <v>-124602.88</v>
      </c>
      <c r="BW150" s="115">
        <f t="shared" si="34"/>
        <v>-17531.299999999988</v>
      </c>
      <c r="BX150" s="117">
        <v>-17531.3</v>
      </c>
      <c r="BY150" s="117"/>
    </row>
    <row r="151" spans="2:83">
      <c r="B151" s="103" t="s">
        <v>471</v>
      </c>
      <c r="C151" s="101" t="s">
        <v>984</v>
      </c>
      <c r="D151" s="118">
        <v>0</v>
      </c>
      <c r="E151" s="118">
        <v>0</v>
      </c>
      <c r="F151" s="118">
        <v>-70097.31</v>
      </c>
      <c r="G151" s="127">
        <v>-104466.6</v>
      </c>
      <c r="H151" s="102">
        <f t="shared" si="25"/>
        <v>-174563.91</v>
      </c>
      <c r="K151" s="112" t="s">
        <v>471</v>
      </c>
      <c r="L151" s="111" t="s">
        <v>984</v>
      </c>
      <c r="M151" s="117">
        <v>0</v>
      </c>
      <c r="N151" s="117">
        <v>-23328.6</v>
      </c>
      <c r="O151" s="117">
        <v>0</v>
      </c>
      <c r="P151" s="117">
        <v>0</v>
      </c>
      <c r="Q151" s="117">
        <v>-70097.31</v>
      </c>
      <c r="R151" s="117"/>
      <c r="S151" s="117">
        <f t="shared" si="29"/>
        <v>-93425.91</v>
      </c>
      <c r="T151" s="117">
        <v>-136609.43000000025</v>
      </c>
      <c r="U151" s="115">
        <f t="shared" si="30"/>
        <v>43183.520000000251</v>
      </c>
      <c r="Y151" s="115">
        <f t="shared" si="31"/>
        <v>0</v>
      </c>
      <c r="Z151" s="117">
        <v>-43183.520000000251</v>
      </c>
      <c r="AA151" s="115">
        <f t="shared" si="32"/>
        <v>0</v>
      </c>
      <c r="AH151" s="79"/>
      <c r="AI151" s="79"/>
      <c r="AJ151" s="79">
        <v>-67333.460000000006</v>
      </c>
      <c r="AK151" s="79">
        <v>-43183.520000000251</v>
      </c>
      <c r="AL151" s="79">
        <f t="shared" si="26"/>
        <v>-43183.520000000251</v>
      </c>
      <c r="AN151" s="79">
        <v>-67333.460000000006</v>
      </c>
      <c r="AO151" s="79">
        <v>-43183.520000000251</v>
      </c>
      <c r="AP151" s="79">
        <v>-23328.6</v>
      </c>
      <c r="AQ151" s="79">
        <v>11025.4</v>
      </c>
      <c r="AR151" s="79">
        <v>16244.65</v>
      </c>
      <c r="AS151" s="79">
        <f t="shared" si="27"/>
        <v>-106575.53000000026</v>
      </c>
      <c r="BB151" s="103" t="s">
        <v>471</v>
      </c>
      <c r="BC151" s="101" t="s">
        <v>984</v>
      </c>
      <c r="BD151" s="117">
        <v>-23328.6</v>
      </c>
      <c r="BE151" s="117">
        <v>0</v>
      </c>
      <c r="BF151" s="117">
        <v>0</v>
      </c>
      <c r="BG151" s="117">
        <v>-70097.31</v>
      </c>
      <c r="BH151" s="129">
        <v>-104466.6</v>
      </c>
      <c r="BI151" s="128">
        <f t="shared" si="28"/>
        <v>-197892.51</v>
      </c>
      <c r="BM151" s="103" t="s">
        <v>471</v>
      </c>
      <c r="BN151" s="101" t="s">
        <v>984</v>
      </c>
      <c r="BO151" s="117">
        <v>0</v>
      </c>
      <c r="BP151" s="117">
        <v>0</v>
      </c>
      <c r="BQ151" s="117">
        <v>0</v>
      </c>
      <c r="BR151" s="117">
        <v>-70097.31</v>
      </c>
      <c r="BS151" s="129">
        <v>-104466.6</v>
      </c>
      <c r="BT151" s="129"/>
      <c r="BU151" s="128">
        <f t="shared" si="33"/>
        <v>-174563.91</v>
      </c>
      <c r="BW151" s="115">
        <f t="shared" si="34"/>
        <v>-23328.600000000006</v>
      </c>
      <c r="BX151" s="117">
        <v>-23328.6</v>
      </c>
      <c r="BY151" s="117"/>
    </row>
    <row r="152" spans="2:83">
      <c r="B152" s="103" t="s">
        <v>473</v>
      </c>
      <c r="C152" s="101" t="s">
        <v>985</v>
      </c>
      <c r="D152" s="118">
        <v>-49708.34</v>
      </c>
      <c r="E152" s="118">
        <v>-53720.04</v>
      </c>
      <c r="F152" s="118">
        <v>-49517.17</v>
      </c>
      <c r="G152" s="127">
        <v>-37114.959999999999</v>
      </c>
      <c r="H152" s="102">
        <f t="shared" si="25"/>
        <v>-190060.50999999998</v>
      </c>
      <c r="K152" s="112" t="s">
        <v>473</v>
      </c>
      <c r="L152" s="111" t="s">
        <v>985</v>
      </c>
      <c r="M152" s="117">
        <v>0</v>
      </c>
      <c r="N152" s="117">
        <v>-27453.34</v>
      </c>
      <c r="O152" s="117">
        <v>-49708.34</v>
      </c>
      <c r="P152" s="117">
        <v>-53720.04</v>
      </c>
      <c r="Q152" s="117">
        <v>-49517.17</v>
      </c>
      <c r="R152" s="117"/>
      <c r="S152" s="117">
        <f t="shared" si="29"/>
        <v>-180398.89</v>
      </c>
      <c r="T152" s="117">
        <v>-212207.69</v>
      </c>
      <c r="U152" s="115">
        <f t="shared" si="30"/>
        <v>31808.799999999988</v>
      </c>
      <c r="Y152" s="115">
        <f t="shared" si="31"/>
        <v>-2.9103830456733704E-11</v>
      </c>
      <c r="Z152" s="117">
        <v>-31808.800000000017</v>
      </c>
      <c r="AA152" s="115">
        <f t="shared" si="32"/>
        <v>-2.9103830456733704E-11</v>
      </c>
      <c r="AH152" s="79"/>
      <c r="AI152" s="79"/>
      <c r="AJ152" s="79">
        <v>-21629.88</v>
      </c>
      <c r="AK152" s="79">
        <v>-31808.800000000017</v>
      </c>
      <c r="AL152" s="79">
        <f t="shared" si="26"/>
        <v>-31808.800000000017</v>
      </c>
      <c r="AN152" s="79">
        <v>-21629.88</v>
      </c>
      <c r="AO152" s="79">
        <v>-31808.800000000017</v>
      </c>
      <c r="AP152" s="79">
        <v>-27453.34</v>
      </c>
      <c r="AQ152" s="79">
        <v>-49708.34</v>
      </c>
      <c r="AR152" s="79">
        <v>-53720.04</v>
      </c>
      <c r="AS152" s="79">
        <f t="shared" si="27"/>
        <v>-184320.40000000002</v>
      </c>
      <c r="BB152" s="103" t="s">
        <v>473</v>
      </c>
      <c r="BC152" s="101" t="s">
        <v>985</v>
      </c>
      <c r="BD152" s="117">
        <v>-27453.34</v>
      </c>
      <c r="BE152" s="117">
        <v>-49708.34</v>
      </c>
      <c r="BF152" s="117">
        <v>-53720.04</v>
      </c>
      <c r="BG152" s="117">
        <v>-49517.17</v>
      </c>
      <c r="BH152" s="129">
        <v>-37114.959999999999</v>
      </c>
      <c r="BI152" s="128">
        <f t="shared" si="28"/>
        <v>-217513.85</v>
      </c>
      <c r="BM152" s="103" t="s">
        <v>473</v>
      </c>
      <c r="BN152" s="101" t="s">
        <v>985</v>
      </c>
      <c r="BO152" s="117">
        <v>0</v>
      </c>
      <c r="BP152" s="117">
        <v>-49708.34</v>
      </c>
      <c r="BQ152" s="117">
        <v>-53720.04</v>
      </c>
      <c r="BR152" s="117">
        <v>-49517.17</v>
      </c>
      <c r="BS152" s="129">
        <v>-37114.959999999999</v>
      </c>
      <c r="BT152" s="129"/>
      <c r="BU152" s="128">
        <f t="shared" si="33"/>
        <v>-190060.50999999998</v>
      </c>
      <c r="BW152" s="115">
        <f t="shared" si="34"/>
        <v>-27453.340000000026</v>
      </c>
      <c r="BX152" s="117">
        <v>-27453.34</v>
      </c>
      <c r="BY152" s="117"/>
    </row>
    <row r="153" spans="2:83">
      <c r="B153" s="103" t="s">
        <v>475</v>
      </c>
      <c r="C153" s="101" t="s">
        <v>986</v>
      </c>
      <c r="D153" s="118">
        <v>-95599.49</v>
      </c>
      <c r="E153" s="118">
        <v>-70832.34</v>
      </c>
      <c r="F153" s="118">
        <v>-75669.45</v>
      </c>
      <c r="G153" s="127">
        <v>-114361.25</v>
      </c>
      <c r="H153" s="102">
        <f t="shared" si="25"/>
        <v>-356462.53</v>
      </c>
      <c r="K153" s="112" t="s">
        <v>475</v>
      </c>
      <c r="L153" s="111" t="s">
        <v>986</v>
      </c>
      <c r="M153" s="117">
        <v>0</v>
      </c>
      <c r="N153" s="117">
        <v>-91108.45</v>
      </c>
      <c r="O153" s="117">
        <v>-95599.49</v>
      </c>
      <c r="P153" s="117">
        <v>-70832.34</v>
      </c>
      <c r="Q153" s="117">
        <v>-75669.45</v>
      </c>
      <c r="R153" s="117"/>
      <c r="S153" s="117">
        <f t="shared" si="29"/>
        <v>-333209.73</v>
      </c>
      <c r="T153" s="117">
        <v>-414009.94</v>
      </c>
      <c r="U153" s="115">
        <f t="shared" si="30"/>
        <v>80800.210000000021</v>
      </c>
      <c r="Y153" s="115">
        <f t="shared" si="31"/>
        <v>0</v>
      </c>
      <c r="Z153" s="117">
        <v>-80800.21000000005</v>
      </c>
      <c r="AA153" s="115">
        <f t="shared" si="32"/>
        <v>0</v>
      </c>
      <c r="AH153" s="79"/>
      <c r="AI153" s="79"/>
      <c r="AJ153" s="79">
        <v>-94301.19</v>
      </c>
      <c r="AK153" s="79">
        <v>-80800.21000000005</v>
      </c>
      <c r="AL153" s="79">
        <f t="shared" si="26"/>
        <v>-80800.21000000005</v>
      </c>
      <c r="AN153" s="79">
        <v>-94301.19</v>
      </c>
      <c r="AO153" s="79">
        <v>-80800.21000000005</v>
      </c>
      <c r="AP153" s="79">
        <v>-91108.45</v>
      </c>
      <c r="AQ153" s="79">
        <v>-95599.49</v>
      </c>
      <c r="AR153" s="79">
        <v>-70832.34</v>
      </c>
      <c r="AS153" s="79">
        <f t="shared" si="27"/>
        <v>-432641.68000000005</v>
      </c>
      <c r="BB153" s="103" t="s">
        <v>475</v>
      </c>
      <c r="BC153" s="101" t="s">
        <v>986</v>
      </c>
      <c r="BD153" s="117">
        <v>-91108.45</v>
      </c>
      <c r="BE153" s="117">
        <v>-95599.49</v>
      </c>
      <c r="BF153" s="117">
        <v>-70832.34</v>
      </c>
      <c r="BG153" s="117">
        <v>-75669.45</v>
      </c>
      <c r="BH153" s="129">
        <v>-114361.25</v>
      </c>
      <c r="BI153" s="128">
        <f t="shared" si="28"/>
        <v>-447570.98</v>
      </c>
      <c r="BM153" s="103" t="s">
        <v>475</v>
      </c>
      <c r="BN153" s="101" t="s">
        <v>986</v>
      </c>
      <c r="BO153" s="117">
        <v>0</v>
      </c>
      <c r="BP153" s="117">
        <v>-95599.49</v>
      </c>
      <c r="BQ153" s="117">
        <v>-70832.34</v>
      </c>
      <c r="BR153" s="117">
        <v>-75669.45</v>
      </c>
      <c r="BS153" s="129">
        <v>-114361.25</v>
      </c>
      <c r="BT153" s="129"/>
      <c r="BU153" s="128">
        <f t="shared" si="33"/>
        <v>-356462.53</v>
      </c>
      <c r="BW153" s="115">
        <f t="shared" si="34"/>
        <v>-91108.449999999953</v>
      </c>
      <c r="BX153" s="117">
        <v>-91108.45</v>
      </c>
      <c r="BY153" s="117"/>
    </row>
    <row r="154" spans="2:83">
      <c r="B154" s="103" t="s">
        <v>477</v>
      </c>
      <c r="C154" s="101" t="s">
        <v>987</v>
      </c>
      <c r="D154" s="118">
        <v>0</v>
      </c>
      <c r="E154" s="118">
        <v>0</v>
      </c>
      <c r="F154" s="118">
        <v>-36920.31</v>
      </c>
      <c r="G154" s="127">
        <v>-53061.67</v>
      </c>
      <c r="H154" s="102">
        <f t="shared" si="25"/>
        <v>-89981.98</v>
      </c>
      <c r="K154" s="112" t="s">
        <v>477</v>
      </c>
      <c r="L154" s="111" t="s">
        <v>987</v>
      </c>
      <c r="M154" s="117">
        <v>0</v>
      </c>
      <c r="N154" s="117">
        <v>0</v>
      </c>
      <c r="O154" s="117">
        <v>0</v>
      </c>
      <c r="P154" s="117">
        <v>0</v>
      </c>
      <c r="Q154" s="117">
        <v>-36920.31</v>
      </c>
      <c r="R154" s="117"/>
      <c r="S154" s="117">
        <f t="shared" si="29"/>
        <v>-36920.31</v>
      </c>
      <c r="T154" s="117">
        <v>-81355.649999999994</v>
      </c>
      <c r="U154" s="115">
        <f t="shared" si="30"/>
        <v>44435.34</v>
      </c>
      <c r="Y154" s="115">
        <f t="shared" si="31"/>
        <v>-40522.160000000003</v>
      </c>
      <c r="Z154" s="117">
        <v>-84957.5</v>
      </c>
      <c r="AA154" s="115">
        <f t="shared" si="32"/>
        <v>-40522.160000000003</v>
      </c>
      <c r="AB154" s="115">
        <f>SUM(AC154:AE154)</f>
        <v>40522.159999999996</v>
      </c>
      <c r="AC154" s="117">
        <v>10174.25</v>
      </c>
      <c r="AD154" s="117">
        <v>27699.67</v>
      </c>
      <c r="AE154" s="117">
        <v>2648.24</v>
      </c>
      <c r="AH154" s="79"/>
      <c r="AI154" s="79"/>
      <c r="AJ154" s="79">
        <v>6364.72</v>
      </c>
      <c r="AK154" s="79">
        <v>-91322.219999999972</v>
      </c>
      <c r="AL154" s="79">
        <f t="shared" si="26"/>
        <v>-84957.499999999971</v>
      </c>
      <c r="AN154" s="79">
        <v>6364.72</v>
      </c>
      <c r="AO154" s="79">
        <v>-91322.219999999972</v>
      </c>
      <c r="AP154" s="79">
        <v>10174.25</v>
      </c>
      <c r="AQ154" s="79">
        <v>27699.67</v>
      </c>
      <c r="AR154" s="79">
        <v>2648.24</v>
      </c>
      <c r="AS154" s="79">
        <f t="shared" si="27"/>
        <v>-44435.339999999975</v>
      </c>
      <c r="BB154" s="103" t="s">
        <v>477</v>
      </c>
      <c r="BC154" s="101" t="s">
        <v>987</v>
      </c>
      <c r="BD154" s="117">
        <v>0</v>
      </c>
      <c r="BE154" s="117">
        <v>0</v>
      </c>
      <c r="BF154" s="117">
        <v>0</v>
      </c>
      <c r="BG154" s="117">
        <v>-36920.31</v>
      </c>
      <c r="BH154" s="129">
        <v>-53061.67</v>
      </c>
      <c r="BI154" s="128">
        <f t="shared" si="28"/>
        <v>-89981.98</v>
      </c>
      <c r="BM154" s="103" t="s">
        <v>477</v>
      </c>
      <c r="BN154" s="101" t="s">
        <v>987</v>
      </c>
      <c r="BO154" s="117">
        <v>0</v>
      </c>
      <c r="BP154" s="117">
        <v>0</v>
      </c>
      <c r="BQ154" s="117">
        <v>0</v>
      </c>
      <c r="BR154" s="117">
        <v>-36920.31</v>
      </c>
      <c r="BS154" s="129">
        <v>-53061.67</v>
      </c>
      <c r="BT154" s="129"/>
      <c r="BU154" s="128">
        <f t="shared" si="33"/>
        <v>-89981.98</v>
      </c>
      <c r="BW154" s="115">
        <f t="shared" si="34"/>
        <v>0</v>
      </c>
      <c r="BX154" s="117">
        <v>0</v>
      </c>
      <c r="BY154" s="117"/>
    </row>
    <row r="155" spans="2:83">
      <c r="B155" s="103" t="s">
        <v>479</v>
      </c>
      <c r="C155" s="101" t="s">
        <v>988</v>
      </c>
      <c r="D155" s="118">
        <v>-44165.08</v>
      </c>
      <c r="E155" s="118">
        <v>-71277.06</v>
      </c>
      <c r="F155" s="118">
        <v>-110388.12</v>
      </c>
      <c r="G155" s="127">
        <v>-108302.16</v>
      </c>
      <c r="H155" s="102">
        <f t="shared" si="25"/>
        <v>-334132.42000000004</v>
      </c>
      <c r="K155" s="112" t="s">
        <v>479</v>
      </c>
      <c r="L155" s="111" t="s">
        <v>988</v>
      </c>
      <c r="M155" s="117">
        <v>0</v>
      </c>
      <c r="N155" s="117">
        <v>-43151.65</v>
      </c>
      <c r="O155" s="117">
        <v>-44165.08</v>
      </c>
      <c r="P155" s="117">
        <v>-71277.06</v>
      </c>
      <c r="Q155" s="117">
        <v>-110388.12</v>
      </c>
      <c r="R155" s="117"/>
      <c r="S155" s="117">
        <f t="shared" si="29"/>
        <v>-268981.91000000003</v>
      </c>
      <c r="T155" s="117">
        <v>-331623.41000000015</v>
      </c>
      <c r="U155" s="115">
        <f t="shared" si="30"/>
        <v>62641.500000000116</v>
      </c>
      <c r="Y155" s="115">
        <f t="shared" si="31"/>
        <v>-5.8207660913467407E-11</v>
      </c>
      <c r="Z155" s="117">
        <v>-62641.500000000175</v>
      </c>
      <c r="AA155" s="115">
        <f t="shared" si="32"/>
        <v>-5.8207660913467407E-11</v>
      </c>
      <c r="AH155" s="79"/>
      <c r="AI155" s="79"/>
      <c r="AJ155" s="79">
        <v>-57708.44</v>
      </c>
      <c r="AK155" s="79">
        <v>-62641.500000000175</v>
      </c>
      <c r="AL155" s="79">
        <f t="shared" si="26"/>
        <v>-62641.500000000175</v>
      </c>
      <c r="AN155" s="79">
        <v>-57708.44</v>
      </c>
      <c r="AO155" s="79">
        <v>-62641.500000000175</v>
      </c>
      <c r="AP155" s="79">
        <v>-43151.65</v>
      </c>
      <c r="AQ155" s="79">
        <v>-44165.08</v>
      </c>
      <c r="AR155" s="79">
        <v>-71277.06</v>
      </c>
      <c r="AS155" s="79">
        <f t="shared" si="27"/>
        <v>-278943.73000000016</v>
      </c>
      <c r="BB155" s="103" t="s">
        <v>479</v>
      </c>
      <c r="BC155" s="101" t="s">
        <v>988</v>
      </c>
      <c r="BD155" s="117">
        <v>-43151.65</v>
      </c>
      <c r="BE155" s="117">
        <v>-44165.08</v>
      </c>
      <c r="BF155" s="117">
        <v>-71277.06</v>
      </c>
      <c r="BG155" s="117">
        <v>-110388.12</v>
      </c>
      <c r="BH155" s="129">
        <v>-108302.16</v>
      </c>
      <c r="BI155" s="128">
        <f t="shared" si="28"/>
        <v>-377284.07000000007</v>
      </c>
      <c r="BM155" s="103" t="s">
        <v>479</v>
      </c>
      <c r="BN155" s="101" t="s">
        <v>988</v>
      </c>
      <c r="BO155" s="117">
        <v>0</v>
      </c>
      <c r="BP155" s="117">
        <v>-44165.08</v>
      </c>
      <c r="BQ155" s="117">
        <v>-71277.06</v>
      </c>
      <c r="BR155" s="117">
        <v>-110388.12</v>
      </c>
      <c r="BS155" s="129">
        <v>-108302.16</v>
      </c>
      <c r="BT155" s="129"/>
      <c r="BU155" s="128">
        <f t="shared" si="33"/>
        <v>-334132.42000000004</v>
      </c>
      <c r="BW155" s="115">
        <f t="shared" si="34"/>
        <v>-43151.650000000023</v>
      </c>
      <c r="BX155" s="117">
        <v>-43151.65</v>
      </c>
      <c r="BY155" s="117"/>
    </row>
    <row r="156" spans="2:83">
      <c r="B156" s="103" t="s">
        <v>481</v>
      </c>
      <c r="C156" s="101" t="s">
        <v>989</v>
      </c>
      <c r="D156" s="118">
        <v>-33015.26</v>
      </c>
      <c r="E156" s="118">
        <v>-13792.21</v>
      </c>
      <c r="F156" s="118">
        <v>-27770.09</v>
      </c>
      <c r="G156" s="127">
        <v>-44694.03</v>
      </c>
      <c r="H156" s="102">
        <f t="shared" si="25"/>
        <v>-119271.59</v>
      </c>
      <c r="K156" s="112" t="s">
        <v>481</v>
      </c>
      <c r="L156" s="111" t="s">
        <v>989</v>
      </c>
      <c r="M156" s="117">
        <v>0</v>
      </c>
      <c r="N156" s="117">
        <v>-5524.88</v>
      </c>
      <c r="O156" s="117">
        <v>-33015.26</v>
      </c>
      <c r="P156" s="117">
        <v>-13792.21</v>
      </c>
      <c r="Q156" s="117">
        <v>-27770.09</v>
      </c>
      <c r="R156" s="117"/>
      <c r="S156" s="117">
        <f t="shared" si="29"/>
        <v>-80102.44</v>
      </c>
      <c r="T156" s="117">
        <v>-93455.349999999744</v>
      </c>
      <c r="U156" s="115">
        <f t="shared" si="30"/>
        <v>13352.909999999742</v>
      </c>
      <c r="Y156" s="115">
        <f t="shared" si="31"/>
        <v>0</v>
      </c>
      <c r="Z156" s="117">
        <v>-13352.909999999742</v>
      </c>
      <c r="AA156" s="115">
        <f t="shared" si="32"/>
        <v>0</v>
      </c>
      <c r="AH156" s="79"/>
      <c r="AI156" s="79"/>
      <c r="AJ156" s="79">
        <v>-20322.509999999998</v>
      </c>
      <c r="AK156" s="79">
        <v>-13352.909999999742</v>
      </c>
      <c r="AL156" s="79">
        <f t="shared" si="26"/>
        <v>-13352.909999999742</v>
      </c>
      <c r="AN156" s="79">
        <v>-20322.509999999998</v>
      </c>
      <c r="AO156" s="79">
        <v>-13352.909999999742</v>
      </c>
      <c r="AP156" s="79">
        <v>-5524.88</v>
      </c>
      <c r="AQ156" s="79">
        <v>-33015.26</v>
      </c>
      <c r="AR156" s="79">
        <v>-13792.21</v>
      </c>
      <c r="AS156" s="79">
        <f t="shared" si="27"/>
        <v>-86007.769999999728</v>
      </c>
      <c r="BB156" s="103" t="s">
        <v>481</v>
      </c>
      <c r="BC156" s="101" t="s">
        <v>989</v>
      </c>
      <c r="BD156" s="117">
        <v>-5524.88</v>
      </c>
      <c r="BE156" s="117">
        <v>-33015.26</v>
      </c>
      <c r="BF156" s="117">
        <v>-13792.21</v>
      </c>
      <c r="BG156" s="117">
        <v>-27770.09</v>
      </c>
      <c r="BH156" s="129">
        <v>-44694.03</v>
      </c>
      <c r="BI156" s="128">
        <f t="shared" si="28"/>
        <v>-124796.47</v>
      </c>
      <c r="BM156" s="103" t="s">
        <v>481</v>
      </c>
      <c r="BN156" s="101" t="s">
        <v>989</v>
      </c>
      <c r="BO156" s="117">
        <v>0</v>
      </c>
      <c r="BP156" s="117">
        <v>-33015.26</v>
      </c>
      <c r="BQ156" s="117">
        <v>-13792.21</v>
      </c>
      <c r="BR156" s="117">
        <v>-27770.09</v>
      </c>
      <c r="BS156" s="129">
        <v>-44694.03</v>
      </c>
      <c r="BT156" s="129"/>
      <c r="BU156" s="128">
        <f t="shared" si="33"/>
        <v>-119271.59</v>
      </c>
      <c r="BW156" s="115">
        <f t="shared" si="34"/>
        <v>-5524.8800000000047</v>
      </c>
      <c r="BX156" s="117">
        <v>-5524.88</v>
      </c>
      <c r="BY156" s="117"/>
    </row>
    <row r="157" spans="2:83">
      <c r="B157" s="103" t="s">
        <v>483</v>
      </c>
      <c r="C157" s="101" t="s">
        <v>990</v>
      </c>
      <c r="D157" s="118">
        <v>-43232.51</v>
      </c>
      <c r="E157" s="118">
        <v>-40358.07</v>
      </c>
      <c r="F157" s="118">
        <v>-45081.16</v>
      </c>
      <c r="G157" s="127">
        <v>-61891.19</v>
      </c>
      <c r="H157" s="102">
        <f t="shared" si="25"/>
        <v>-190562.93</v>
      </c>
      <c r="K157" s="112" t="s">
        <v>483</v>
      </c>
      <c r="L157" s="111" t="s">
        <v>990</v>
      </c>
      <c r="M157" s="117">
        <v>0</v>
      </c>
      <c r="N157" s="117">
        <v>-40930.99</v>
      </c>
      <c r="O157" s="117">
        <v>-43232.51</v>
      </c>
      <c r="P157" s="117">
        <v>-40358.07</v>
      </c>
      <c r="Q157" s="117">
        <v>-45081.16</v>
      </c>
      <c r="R157" s="117"/>
      <c r="S157" s="117">
        <f t="shared" si="29"/>
        <v>-169602.73</v>
      </c>
      <c r="T157" s="117">
        <v>-211212.57999999993</v>
      </c>
      <c r="U157" s="115">
        <f t="shared" si="30"/>
        <v>41609.849999999919</v>
      </c>
      <c r="Y157" s="115">
        <f t="shared" si="31"/>
        <v>0</v>
      </c>
      <c r="Z157" s="117">
        <v>-41609.849999999919</v>
      </c>
      <c r="AA157" s="115">
        <f t="shared" si="32"/>
        <v>0</v>
      </c>
      <c r="AH157" s="79"/>
      <c r="AI157" s="79"/>
      <c r="AJ157" s="79">
        <v>-34324.11</v>
      </c>
      <c r="AK157" s="79">
        <v>-41609.849999999919</v>
      </c>
      <c r="AL157" s="79">
        <f t="shared" si="26"/>
        <v>-41609.849999999919</v>
      </c>
      <c r="AN157" s="79">
        <v>-34324.11</v>
      </c>
      <c r="AO157" s="79">
        <v>-41609.849999999919</v>
      </c>
      <c r="AP157" s="79">
        <v>-40930.99</v>
      </c>
      <c r="AQ157" s="79">
        <v>-43232.51</v>
      </c>
      <c r="AR157" s="79">
        <v>-40358.07</v>
      </c>
      <c r="AS157" s="79">
        <f t="shared" si="27"/>
        <v>-200455.52999999994</v>
      </c>
      <c r="BB157" s="103" t="s">
        <v>483</v>
      </c>
      <c r="BC157" s="101" t="s">
        <v>990</v>
      </c>
      <c r="BD157" s="117">
        <v>-40930.99</v>
      </c>
      <c r="BE157" s="117">
        <v>-43232.51</v>
      </c>
      <c r="BF157" s="117">
        <v>-40358.07</v>
      </c>
      <c r="BG157" s="117">
        <v>-45081.16</v>
      </c>
      <c r="BH157" s="129">
        <v>-61891.19</v>
      </c>
      <c r="BI157" s="128">
        <f t="shared" si="28"/>
        <v>-231493.92</v>
      </c>
      <c r="BM157" s="103" t="s">
        <v>483</v>
      </c>
      <c r="BN157" s="101" t="s">
        <v>990</v>
      </c>
      <c r="BO157" s="117">
        <v>0</v>
      </c>
      <c r="BP157" s="117">
        <v>-43232.51</v>
      </c>
      <c r="BQ157" s="117">
        <v>-40358.07</v>
      </c>
      <c r="BR157" s="117">
        <v>-45081.16</v>
      </c>
      <c r="BS157" s="129">
        <v>-61891.19</v>
      </c>
      <c r="BT157" s="129"/>
      <c r="BU157" s="128">
        <f t="shared" si="33"/>
        <v>-190562.93</v>
      </c>
      <c r="BW157" s="115">
        <f t="shared" si="34"/>
        <v>-40930.99000000002</v>
      </c>
      <c r="BX157" s="117">
        <v>-40930.99</v>
      </c>
      <c r="BY157" s="117"/>
    </row>
    <row r="158" spans="2:83">
      <c r="B158" s="103" t="s">
        <v>485</v>
      </c>
      <c r="C158" s="101" t="s">
        <v>991</v>
      </c>
      <c r="D158" s="118">
        <v>-62877.15</v>
      </c>
      <c r="E158" s="118">
        <v>-71172.72</v>
      </c>
      <c r="F158" s="118">
        <v>-105961.69</v>
      </c>
      <c r="G158" s="127">
        <v>-129828.75</v>
      </c>
      <c r="H158" s="102">
        <f t="shared" si="25"/>
        <v>-369840.31</v>
      </c>
      <c r="K158" s="112" t="s">
        <v>485</v>
      </c>
      <c r="L158" s="111" t="s">
        <v>991</v>
      </c>
      <c r="M158" s="117">
        <v>0</v>
      </c>
      <c r="N158" s="117">
        <v>-55418.62</v>
      </c>
      <c r="O158" s="117">
        <v>-62877.15</v>
      </c>
      <c r="P158" s="117">
        <v>-71172.72</v>
      </c>
      <c r="Q158" s="117">
        <v>-105961.69</v>
      </c>
      <c r="R158" s="117"/>
      <c r="S158" s="117">
        <f t="shared" si="29"/>
        <v>-295430.18</v>
      </c>
      <c r="T158" s="117">
        <v>-319496.38000000006</v>
      </c>
      <c r="U158" s="115">
        <f t="shared" si="30"/>
        <v>24066.20000000007</v>
      </c>
      <c r="Y158" s="115">
        <f t="shared" si="31"/>
        <v>0</v>
      </c>
      <c r="Z158" s="117">
        <v>-24066.20000000007</v>
      </c>
      <c r="AA158" s="115">
        <f t="shared" si="32"/>
        <v>0</v>
      </c>
      <c r="AH158" s="79"/>
      <c r="AI158" s="79"/>
      <c r="AJ158" s="79">
        <v>-17909.169999999998</v>
      </c>
      <c r="AK158" s="79">
        <v>-24066.20000000007</v>
      </c>
      <c r="AL158" s="79">
        <f t="shared" si="26"/>
        <v>-24066.20000000007</v>
      </c>
      <c r="AN158" s="79">
        <v>-17909.169999999998</v>
      </c>
      <c r="AO158" s="79">
        <v>-24066.20000000007</v>
      </c>
      <c r="AP158" s="79">
        <v>-55418.62</v>
      </c>
      <c r="AQ158" s="79">
        <v>-62877.15</v>
      </c>
      <c r="AR158" s="79">
        <v>-71172.72</v>
      </c>
      <c r="AS158" s="79">
        <f t="shared" si="27"/>
        <v>-231443.86000000007</v>
      </c>
      <c r="BB158" s="103" t="s">
        <v>485</v>
      </c>
      <c r="BC158" s="101" t="s">
        <v>991</v>
      </c>
      <c r="BD158" s="117">
        <v>-55418.62</v>
      </c>
      <c r="BE158" s="117">
        <v>-62877.15</v>
      </c>
      <c r="BF158" s="117">
        <v>-71172.72</v>
      </c>
      <c r="BG158" s="117">
        <v>-105961.69</v>
      </c>
      <c r="BH158" s="129">
        <v>-129828.75</v>
      </c>
      <c r="BI158" s="128">
        <f t="shared" si="28"/>
        <v>-425258.93</v>
      </c>
      <c r="BM158" s="103" t="s">
        <v>485</v>
      </c>
      <c r="BN158" s="101" t="s">
        <v>991</v>
      </c>
      <c r="BO158" s="117">
        <v>0</v>
      </c>
      <c r="BP158" s="117">
        <v>-62877.15</v>
      </c>
      <c r="BQ158" s="117">
        <v>-71172.72</v>
      </c>
      <c r="BR158" s="117">
        <v>-105961.69</v>
      </c>
      <c r="BS158" s="129">
        <v>-129828.75</v>
      </c>
      <c r="BT158" s="129"/>
      <c r="BU158" s="128">
        <f t="shared" si="33"/>
        <v>-369840.31</v>
      </c>
      <c r="BW158" s="115">
        <f t="shared" si="34"/>
        <v>-55418.619999999995</v>
      </c>
      <c r="BX158" s="117">
        <v>-55418.62</v>
      </c>
      <c r="BY158" s="117"/>
    </row>
    <row r="159" spans="2:83">
      <c r="B159" s="103" t="s">
        <v>487</v>
      </c>
      <c r="C159" s="101" t="s">
        <v>992</v>
      </c>
      <c r="D159" s="118">
        <v>-39179.51</v>
      </c>
      <c r="E159" s="118">
        <v>-37951.99</v>
      </c>
      <c r="F159" s="118">
        <v>-3391.07</v>
      </c>
      <c r="G159" s="127">
        <v>-31679.45</v>
      </c>
      <c r="H159" s="102">
        <f t="shared" si="25"/>
        <v>-112202.02</v>
      </c>
      <c r="K159" s="112" t="s">
        <v>487</v>
      </c>
      <c r="L159" s="111" t="s">
        <v>992</v>
      </c>
      <c r="M159" s="117">
        <v>0</v>
      </c>
      <c r="N159" s="117">
        <v>0</v>
      </c>
      <c r="O159" s="117">
        <v>-39179.51</v>
      </c>
      <c r="P159" s="117">
        <v>-37951.99</v>
      </c>
      <c r="Q159" s="117">
        <v>-3391.07</v>
      </c>
      <c r="R159" s="117"/>
      <c r="S159" s="117">
        <f t="shared" si="29"/>
        <v>-80522.570000000007</v>
      </c>
      <c r="T159" s="117">
        <v>-100116.04999999993</v>
      </c>
      <c r="U159" s="115">
        <f t="shared" si="30"/>
        <v>19593.479999999923</v>
      </c>
      <c r="Y159" s="115">
        <f t="shared" si="31"/>
        <v>0</v>
      </c>
      <c r="Z159" s="117">
        <v>-19593.479999999923</v>
      </c>
      <c r="AA159" s="115">
        <f t="shared" si="32"/>
        <v>0</v>
      </c>
      <c r="AH159" s="79"/>
      <c r="AI159" s="79"/>
      <c r="AJ159" s="79">
        <v>-48312.85</v>
      </c>
      <c r="AK159" s="79">
        <v>-19593.479999999923</v>
      </c>
      <c r="AL159" s="79">
        <f t="shared" si="26"/>
        <v>-19593.479999999923</v>
      </c>
      <c r="AN159" s="79">
        <v>-48312.85</v>
      </c>
      <c r="AO159" s="79">
        <v>-19593.479999999923</v>
      </c>
      <c r="AP159" s="79">
        <v>1156.81</v>
      </c>
      <c r="AQ159" s="79">
        <v>-39179.51</v>
      </c>
      <c r="AR159" s="79">
        <v>-37951.99</v>
      </c>
      <c r="AS159" s="79">
        <f t="shared" si="27"/>
        <v>-143881.01999999993</v>
      </c>
      <c r="BB159" s="103" t="s">
        <v>487</v>
      </c>
      <c r="BC159" s="101" t="s">
        <v>992</v>
      </c>
      <c r="BD159" s="117">
        <v>0</v>
      </c>
      <c r="BE159" s="117">
        <v>-39179.51</v>
      </c>
      <c r="BF159" s="117">
        <v>-37951.99</v>
      </c>
      <c r="BG159" s="117">
        <v>-3391.07</v>
      </c>
      <c r="BH159" s="129">
        <v>-31679.45</v>
      </c>
      <c r="BI159" s="128">
        <f t="shared" si="28"/>
        <v>-112202.02</v>
      </c>
      <c r="BM159" s="103" t="s">
        <v>487</v>
      </c>
      <c r="BN159" s="101" t="s">
        <v>992</v>
      </c>
      <c r="BO159" s="117">
        <v>0</v>
      </c>
      <c r="BP159" s="117">
        <v>-39179.51</v>
      </c>
      <c r="BQ159" s="117">
        <v>-37951.99</v>
      </c>
      <c r="BR159" s="117">
        <v>-3391.07</v>
      </c>
      <c r="BS159" s="129">
        <v>-31679.45</v>
      </c>
      <c r="BT159" s="129"/>
      <c r="BU159" s="128">
        <f t="shared" si="33"/>
        <v>-112202.02</v>
      </c>
      <c r="BW159" s="115">
        <f t="shared" si="34"/>
        <v>0</v>
      </c>
      <c r="BX159" s="117">
        <v>0</v>
      </c>
      <c r="BY159" s="117"/>
    </row>
    <row r="160" spans="2:83">
      <c r="B160" s="103" t="s">
        <v>489</v>
      </c>
      <c r="C160" s="101" t="s">
        <v>993</v>
      </c>
      <c r="D160" s="118">
        <v>-38342.99</v>
      </c>
      <c r="E160" s="118">
        <v>-57227.42</v>
      </c>
      <c r="F160" s="118">
        <v>-78938.66</v>
      </c>
      <c r="G160" s="127">
        <v>-108928.15</v>
      </c>
      <c r="H160" s="102">
        <f t="shared" si="25"/>
        <v>-283437.21999999997</v>
      </c>
      <c r="K160" s="112" t="s">
        <v>489</v>
      </c>
      <c r="L160" s="111" t="s">
        <v>993</v>
      </c>
      <c r="M160" s="117">
        <v>0</v>
      </c>
      <c r="N160" s="117">
        <v>-22815.67</v>
      </c>
      <c r="O160" s="117">
        <v>-38342.99</v>
      </c>
      <c r="P160" s="117">
        <v>-57227.42</v>
      </c>
      <c r="Q160" s="117">
        <v>-78938.66</v>
      </c>
      <c r="R160" s="117"/>
      <c r="S160" s="117">
        <f t="shared" si="29"/>
        <v>-197324.74</v>
      </c>
      <c r="T160" s="117">
        <v>-257262.46999999994</v>
      </c>
      <c r="U160" s="115">
        <f t="shared" si="30"/>
        <v>59937.729999999952</v>
      </c>
      <c r="Y160" s="115">
        <f t="shared" si="31"/>
        <v>0</v>
      </c>
      <c r="Z160" s="117">
        <v>-59937.729999999923</v>
      </c>
      <c r="AA160" s="115">
        <f t="shared" si="32"/>
        <v>0</v>
      </c>
      <c r="AH160" s="79"/>
      <c r="AI160" s="79"/>
      <c r="AJ160" s="79">
        <v>-56951.16</v>
      </c>
      <c r="AK160" s="79">
        <v>-59937.729999999923</v>
      </c>
      <c r="AL160" s="79">
        <f t="shared" si="26"/>
        <v>-59937.729999999923</v>
      </c>
      <c r="AN160" s="79">
        <v>-56951.16</v>
      </c>
      <c r="AO160" s="79">
        <v>-59937.729999999923</v>
      </c>
      <c r="AP160" s="79">
        <v>-22815.67</v>
      </c>
      <c r="AQ160" s="79">
        <v>-38342.99</v>
      </c>
      <c r="AR160" s="79">
        <v>-57227.42</v>
      </c>
      <c r="AS160" s="79">
        <f t="shared" si="27"/>
        <v>-235274.96999999991</v>
      </c>
      <c r="BB160" s="103" t="s">
        <v>489</v>
      </c>
      <c r="BC160" s="101" t="s">
        <v>993</v>
      </c>
      <c r="BD160" s="117">
        <v>-22815.67</v>
      </c>
      <c r="BE160" s="117">
        <v>-38342.99</v>
      </c>
      <c r="BF160" s="117">
        <v>-57227.42</v>
      </c>
      <c r="BG160" s="117">
        <v>-78938.66</v>
      </c>
      <c r="BH160" s="129">
        <v>-108928.15</v>
      </c>
      <c r="BI160" s="128">
        <f t="shared" si="28"/>
        <v>-306252.89</v>
      </c>
      <c r="BM160" s="103" t="s">
        <v>489</v>
      </c>
      <c r="BN160" s="101" t="s">
        <v>993</v>
      </c>
      <c r="BO160" s="117">
        <v>0</v>
      </c>
      <c r="BP160" s="117">
        <v>-38342.99</v>
      </c>
      <c r="BQ160" s="117">
        <v>-57227.42</v>
      </c>
      <c r="BR160" s="117">
        <v>-78938.66</v>
      </c>
      <c r="BS160" s="129">
        <v>-108928.15</v>
      </c>
      <c r="BT160" s="129"/>
      <c r="BU160" s="128">
        <f t="shared" si="33"/>
        <v>-283437.21999999997</v>
      </c>
      <c r="BW160" s="115">
        <f t="shared" si="34"/>
        <v>-22815.670000000042</v>
      </c>
      <c r="BX160" s="117">
        <v>-22815.67</v>
      </c>
      <c r="BY160" s="117"/>
    </row>
    <row r="161" spans="2:83">
      <c r="B161" s="103" t="s">
        <v>491</v>
      </c>
      <c r="C161" s="101" t="s">
        <v>994</v>
      </c>
      <c r="D161" s="118">
        <v>-53682.58</v>
      </c>
      <c r="E161" s="118">
        <v>-53968.07</v>
      </c>
      <c r="F161" s="118">
        <v>-49712.69</v>
      </c>
      <c r="G161" s="127">
        <v>-37751.82</v>
      </c>
      <c r="H161" s="102">
        <f t="shared" si="25"/>
        <v>-195115.16</v>
      </c>
      <c r="K161" s="112" t="s">
        <v>491</v>
      </c>
      <c r="L161" s="111" t="s">
        <v>994</v>
      </c>
      <c r="M161" s="117">
        <v>0</v>
      </c>
      <c r="N161" s="117">
        <v>-33256.300000000003</v>
      </c>
      <c r="O161" s="117">
        <v>-53682.58</v>
      </c>
      <c r="P161" s="117">
        <v>-53968.07</v>
      </c>
      <c r="Q161" s="117">
        <v>-49712.69</v>
      </c>
      <c r="R161" s="117"/>
      <c r="S161" s="117">
        <f t="shared" si="29"/>
        <v>-190619.64</v>
      </c>
      <c r="T161" s="117">
        <v>-221553.10999999952</v>
      </c>
      <c r="U161" s="115">
        <f t="shared" si="30"/>
        <v>30933.469999999506</v>
      </c>
      <c r="Y161" s="115">
        <f t="shared" si="31"/>
        <v>0</v>
      </c>
      <c r="Z161" s="117">
        <v>-30933.469999999506</v>
      </c>
      <c r="AA161" s="115">
        <f t="shared" si="32"/>
        <v>0</v>
      </c>
      <c r="AH161" s="79"/>
      <c r="AI161" s="79"/>
      <c r="AJ161" s="79">
        <v>-44846.04</v>
      </c>
      <c r="AK161" s="79">
        <v>-30933.469999999506</v>
      </c>
      <c r="AL161" s="79">
        <f t="shared" si="26"/>
        <v>-30933.469999999506</v>
      </c>
      <c r="AN161" s="79">
        <v>-44846.04</v>
      </c>
      <c r="AO161" s="79">
        <v>-30933.469999999506</v>
      </c>
      <c r="AP161" s="79">
        <v>-33256.300000000003</v>
      </c>
      <c r="AQ161" s="79">
        <v>-53682.58</v>
      </c>
      <c r="AR161" s="79">
        <v>-53968.07</v>
      </c>
      <c r="AS161" s="79">
        <f t="shared" si="27"/>
        <v>-216686.45999999953</v>
      </c>
      <c r="BB161" s="103" t="s">
        <v>491</v>
      </c>
      <c r="BC161" s="101" t="s">
        <v>994</v>
      </c>
      <c r="BD161" s="117">
        <v>-33256.300000000003</v>
      </c>
      <c r="BE161" s="117">
        <v>-53682.58</v>
      </c>
      <c r="BF161" s="117">
        <v>-53968.07</v>
      </c>
      <c r="BG161" s="117">
        <v>-49712.69</v>
      </c>
      <c r="BH161" s="129">
        <v>-37751.82</v>
      </c>
      <c r="BI161" s="128">
        <f t="shared" si="28"/>
        <v>-228371.46000000002</v>
      </c>
      <c r="BM161" s="103" t="s">
        <v>491</v>
      </c>
      <c r="BN161" s="101" t="s">
        <v>994</v>
      </c>
      <c r="BO161" s="117">
        <v>0</v>
      </c>
      <c r="BP161" s="117">
        <v>-53682.58</v>
      </c>
      <c r="BQ161" s="117">
        <v>-53968.07</v>
      </c>
      <c r="BR161" s="117">
        <v>-49712.69</v>
      </c>
      <c r="BS161" s="129">
        <v>-37751.82</v>
      </c>
      <c r="BT161" s="129"/>
      <c r="BU161" s="128">
        <f t="shared" si="33"/>
        <v>-195115.16</v>
      </c>
      <c r="BW161" s="115">
        <f t="shared" si="34"/>
        <v>-33256.300000000017</v>
      </c>
      <c r="BX161" s="117">
        <v>-33256.300000000003</v>
      </c>
      <c r="BY161" s="117"/>
    </row>
    <row r="162" spans="2:83">
      <c r="B162" s="103" t="s">
        <v>493</v>
      </c>
      <c r="C162" s="101" t="s">
        <v>995</v>
      </c>
      <c r="D162" s="118">
        <v>-39379.86</v>
      </c>
      <c r="E162" s="118">
        <v>-63409.99</v>
      </c>
      <c r="F162" s="118">
        <v>-66669.59</v>
      </c>
      <c r="G162" s="127">
        <v>-42199.86</v>
      </c>
      <c r="H162" s="102">
        <f t="shared" si="25"/>
        <v>-211659.3</v>
      </c>
      <c r="K162" s="112" t="s">
        <v>493</v>
      </c>
      <c r="L162" s="111" t="s">
        <v>995</v>
      </c>
      <c r="M162" s="117">
        <v>0</v>
      </c>
      <c r="N162" s="117">
        <v>-50196.28</v>
      </c>
      <c r="O162" s="117">
        <v>-39379.86</v>
      </c>
      <c r="P162" s="117">
        <v>-63409.99</v>
      </c>
      <c r="Q162" s="117">
        <v>-66669.59</v>
      </c>
      <c r="R162" s="117"/>
      <c r="S162" s="117">
        <f t="shared" si="29"/>
        <v>-219655.72</v>
      </c>
      <c r="T162" s="117">
        <v>-276675.55999999994</v>
      </c>
      <c r="U162" s="115">
        <f t="shared" si="30"/>
        <v>57019.839999999938</v>
      </c>
      <c r="Y162" s="115">
        <f t="shared" si="31"/>
        <v>-5.8207660913467407E-11</v>
      </c>
      <c r="Z162" s="117">
        <v>-57019.839999999997</v>
      </c>
      <c r="AA162" s="115">
        <f t="shared" si="32"/>
        <v>-5.8207660913467407E-11</v>
      </c>
      <c r="AH162" s="79"/>
      <c r="AI162" s="79"/>
      <c r="AJ162" s="79">
        <v>8417.18</v>
      </c>
      <c r="AK162" s="79">
        <v>-65437.019999999553</v>
      </c>
      <c r="AL162" s="79">
        <f t="shared" si="26"/>
        <v>-57019.839999999553</v>
      </c>
      <c r="AN162" s="79">
        <v>8417.18</v>
      </c>
      <c r="AO162" s="79">
        <v>-65437.019999999553</v>
      </c>
      <c r="AP162" s="79">
        <v>-50196.28</v>
      </c>
      <c r="AQ162" s="79">
        <v>-39379.86</v>
      </c>
      <c r="AR162" s="79">
        <v>-63409.99</v>
      </c>
      <c r="AS162" s="79">
        <f t="shared" si="27"/>
        <v>-210005.96999999956</v>
      </c>
      <c r="BB162" s="103" t="s">
        <v>493</v>
      </c>
      <c r="BC162" s="101" t="s">
        <v>995</v>
      </c>
      <c r="BD162" s="117">
        <v>-50196.28</v>
      </c>
      <c r="BE162" s="117">
        <v>-39379.86</v>
      </c>
      <c r="BF162" s="117">
        <v>-63409.99</v>
      </c>
      <c r="BG162" s="117">
        <v>-66669.59</v>
      </c>
      <c r="BH162" s="129">
        <v>-42199.86</v>
      </c>
      <c r="BI162" s="128">
        <f t="shared" si="28"/>
        <v>-261855.58000000002</v>
      </c>
      <c r="BM162" s="103" t="s">
        <v>493</v>
      </c>
      <c r="BN162" s="101" t="s">
        <v>995</v>
      </c>
      <c r="BO162" s="117">
        <v>0</v>
      </c>
      <c r="BP162" s="117">
        <v>-39379.86</v>
      </c>
      <c r="BQ162" s="117">
        <v>-63409.99</v>
      </c>
      <c r="BR162" s="117">
        <v>-66669.59</v>
      </c>
      <c r="BS162" s="129">
        <v>-42199.86</v>
      </c>
      <c r="BT162" s="129"/>
      <c r="BU162" s="128">
        <f t="shared" si="33"/>
        <v>-211659.3</v>
      </c>
      <c r="BW162" s="115">
        <f t="shared" si="34"/>
        <v>-50196.280000000028</v>
      </c>
      <c r="BX162" s="117">
        <v>-50196.28</v>
      </c>
      <c r="BY162" s="117"/>
    </row>
    <row r="163" spans="2:83">
      <c r="B163" s="103" t="s">
        <v>495</v>
      </c>
      <c r="C163" s="101" t="s">
        <v>996</v>
      </c>
      <c r="D163" s="118">
        <v>-19284.59</v>
      </c>
      <c r="E163" s="118">
        <v>-33071.03</v>
      </c>
      <c r="F163" s="118">
        <v>-43320.76</v>
      </c>
      <c r="G163" s="127">
        <v>-69307.240000000005</v>
      </c>
      <c r="H163" s="102">
        <f t="shared" si="25"/>
        <v>-164983.62</v>
      </c>
      <c r="K163" s="112" t="s">
        <v>495</v>
      </c>
      <c r="L163" s="111" t="s">
        <v>996</v>
      </c>
      <c r="M163" s="117">
        <v>0</v>
      </c>
      <c r="N163" s="117">
        <v>-20259.650000000001</v>
      </c>
      <c r="O163" s="117">
        <v>-19284.59</v>
      </c>
      <c r="P163" s="117">
        <v>-33071.03</v>
      </c>
      <c r="Q163" s="117">
        <v>-43320.76</v>
      </c>
      <c r="R163" s="117"/>
      <c r="S163" s="117">
        <f t="shared" si="29"/>
        <v>-115936.03</v>
      </c>
      <c r="T163" s="117">
        <v>-158751.42000000025</v>
      </c>
      <c r="U163" s="115">
        <f t="shared" si="30"/>
        <v>42815.390000000247</v>
      </c>
      <c r="Y163" s="115">
        <f t="shared" si="31"/>
        <v>0</v>
      </c>
      <c r="Z163" s="117">
        <v>-42815.390000000247</v>
      </c>
      <c r="AA163" s="115">
        <f t="shared" si="32"/>
        <v>0</v>
      </c>
      <c r="AH163" s="79"/>
      <c r="AI163" s="79"/>
      <c r="AJ163" s="79">
        <v>-63583.56</v>
      </c>
      <c r="AK163" s="79">
        <v>-42815.390000000247</v>
      </c>
      <c r="AL163" s="79">
        <f t="shared" si="26"/>
        <v>-42815.390000000247</v>
      </c>
      <c r="AN163" s="79">
        <v>-63583.56</v>
      </c>
      <c r="AO163" s="79">
        <v>-42815.390000000247</v>
      </c>
      <c r="AP163" s="79">
        <v>-20259.650000000001</v>
      </c>
      <c r="AQ163" s="79">
        <v>-19284.59</v>
      </c>
      <c r="AR163" s="79">
        <v>-33071.03</v>
      </c>
      <c r="AS163" s="79">
        <f t="shared" si="27"/>
        <v>-179014.22000000023</v>
      </c>
      <c r="BB163" s="103" t="s">
        <v>495</v>
      </c>
      <c r="BC163" s="101" t="s">
        <v>996</v>
      </c>
      <c r="BD163" s="117">
        <v>-20259.650000000001</v>
      </c>
      <c r="BE163" s="117">
        <v>-19284.59</v>
      </c>
      <c r="BF163" s="117">
        <v>-33071.03</v>
      </c>
      <c r="BG163" s="117">
        <v>-43320.76</v>
      </c>
      <c r="BH163" s="129">
        <v>-69307.240000000005</v>
      </c>
      <c r="BI163" s="128">
        <f t="shared" si="28"/>
        <v>-185243.27000000002</v>
      </c>
      <c r="BM163" s="103" t="s">
        <v>495</v>
      </c>
      <c r="BN163" s="101" t="s">
        <v>996</v>
      </c>
      <c r="BO163" s="117">
        <v>0</v>
      </c>
      <c r="BP163" s="117">
        <v>-19284.59</v>
      </c>
      <c r="BQ163" s="117">
        <v>-33071.03</v>
      </c>
      <c r="BR163" s="117">
        <v>-43320.76</v>
      </c>
      <c r="BS163" s="129">
        <v>-69307.240000000005</v>
      </c>
      <c r="BT163" s="129"/>
      <c r="BU163" s="128">
        <f t="shared" si="33"/>
        <v>-164983.62</v>
      </c>
      <c r="BW163" s="115">
        <f t="shared" si="34"/>
        <v>-20259.650000000023</v>
      </c>
      <c r="BX163" s="117">
        <v>-20259.650000000001</v>
      </c>
      <c r="BY163" s="117"/>
    </row>
    <row r="164" spans="2:83">
      <c r="B164" s="103" t="s">
        <v>497</v>
      </c>
      <c r="C164" s="101" t="s">
        <v>997</v>
      </c>
      <c r="D164" s="118">
        <v>-51654.74</v>
      </c>
      <c r="E164" s="118">
        <v>-40644.19</v>
      </c>
      <c r="F164" s="118">
        <v>-33607.230000000003</v>
      </c>
      <c r="G164" s="127">
        <v>-3820.58</v>
      </c>
      <c r="H164" s="102">
        <f t="shared" si="25"/>
        <v>-129726.74</v>
      </c>
      <c r="K164" s="112" t="s">
        <v>497</v>
      </c>
      <c r="L164" s="111" t="s">
        <v>997</v>
      </c>
      <c r="M164" s="117">
        <v>0</v>
      </c>
      <c r="N164" s="117">
        <v>-89132.31</v>
      </c>
      <c r="O164" s="117">
        <v>-51654.74</v>
      </c>
      <c r="P164" s="117">
        <v>-40644.19</v>
      </c>
      <c r="Q164" s="117">
        <v>-33607.230000000003</v>
      </c>
      <c r="R164" s="117"/>
      <c r="S164" s="117">
        <f t="shared" si="29"/>
        <v>-215038.47</v>
      </c>
      <c r="T164" s="117">
        <v>-274591.51999999984</v>
      </c>
      <c r="U164" s="115">
        <f t="shared" si="30"/>
        <v>59553.049999999843</v>
      </c>
      <c r="Y164" s="115">
        <f t="shared" si="31"/>
        <v>0</v>
      </c>
      <c r="Z164" s="117">
        <v>-59553.049999999843</v>
      </c>
      <c r="AA164" s="115">
        <f t="shared" si="32"/>
        <v>0</v>
      </c>
      <c r="AH164" s="79"/>
      <c r="AI164" s="79"/>
      <c r="AJ164" s="79">
        <v>-52131.5</v>
      </c>
      <c r="AK164" s="79">
        <v>-59553.049999999843</v>
      </c>
      <c r="AL164" s="79">
        <f t="shared" si="26"/>
        <v>-59553.049999999843</v>
      </c>
      <c r="AN164" s="79">
        <v>-52131.5</v>
      </c>
      <c r="AO164" s="79">
        <v>-59553.049999999843</v>
      </c>
      <c r="AP164" s="79">
        <v>-89132.31</v>
      </c>
      <c r="AQ164" s="79">
        <v>-51654.74</v>
      </c>
      <c r="AR164" s="79">
        <v>-40644.19</v>
      </c>
      <c r="AS164" s="79">
        <f t="shared" si="27"/>
        <v>-293115.7899999998</v>
      </c>
      <c r="BB164" s="103" t="s">
        <v>497</v>
      </c>
      <c r="BC164" s="101" t="s">
        <v>997</v>
      </c>
      <c r="BD164" s="117">
        <v>-89132.31</v>
      </c>
      <c r="BE164" s="117">
        <v>-51654.74</v>
      </c>
      <c r="BF164" s="117">
        <v>-40644.19</v>
      </c>
      <c r="BG164" s="117">
        <v>-33607.230000000003</v>
      </c>
      <c r="BH164" s="129">
        <v>-3820.58</v>
      </c>
      <c r="BI164" s="128">
        <f t="shared" si="28"/>
        <v>-218859.05</v>
      </c>
      <c r="BM164" s="103" t="s">
        <v>497</v>
      </c>
      <c r="BN164" s="101" t="s">
        <v>997</v>
      </c>
      <c r="BO164" s="117">
        <v>0</v>
      </c>
      <c r="BP164" s="117">
        <v>-51654.74</v>
      </c>
      <c r="BQ164" s="117">
        <v>-40644.19</v>
      </c>
      <c r="BR164" s="117">
        <v>-33607.230000000003</v>
      </c>
      <c r="BS164" s="129">
        <v>-3820.58</v>
      </c>
      <c r="BT164" s="129"/>
      <c r="BU164" s="128">
        <f t="shared" si="33"/>
        <v>-129726.74</v>
      </c>
      <c r="BW164" s="115">
        <f t="shared" si="34"/>
        <v>-89132.309999999983</v>
      </c>
      <c r="BX164" s="117">
        <v>-89132.31</v>
      </c>
      <c r="BY164" s="117"/>
    </row>
    <row r="165" spans="2:83">
      <c r="B165" s="103" t="s">
        <v>498</v>
      </c>
      <c r="C165" s="101" t="s">
        <v>998</v>
      </c>
      <c r="D165" s="118">
        <v>0</v>
      </c>
      <c r="E165" s="118">
        <v>-20602.439999999999</v>
      </c>
      <c r="F165" s="118">
        <v>-29304.400000000001</v>
      </c>
      <c r="G165" s="127">
        <v>-111982.9</v>
      </c>
      <c r="H165" s="102">
        <f t="shared" si="25"/>
        <v>-161889.74</v>
      </c>
      <c r="K165" s="112" t="s">
        <v>498</v>
      </c>
      <c r="L165" s="111" t="s">
        <v>998</v>
      </c>
      <c r="M165" s="117">
        <v>0</v>
      </c>
      <c r="N165" s="117">
        <v>-2575.5300000000002</v>
      </c>
      <c r="O165" s="117">
        <v>0</v>
      </c>
      <c r="P165" s="117">
        <v>-20602.439999999999</v>
      </c>
      <c r="Q165" s="117">
        <v>-29304.400000000001</v>
      </c>
      <c r="R165" s="117"/>
      <c r="S165" s="117">
        <f t="shared" si="29"/>
        <v>-52482.369999999995</v>
      </c>
      <c r="T165" s="117">
        <v>-62010.47</v>
      </c>
      <c r="U165" s="115">
        <f t="shared" si="30"/>
        <v>9528.1000000000058</v>
      </c>
      <c r="Y165" s="115">
        <f t="shared" si="31"/>
        <v>-193.50999999999476</v>
      </c>
      <c r="Z165" s="117">
        <v>-9721.61</v>
      </c>
      <c r="AA165" s="115">
        <f t="shared" si="32"/>
        <v>-193.50999999999476</v>
      </c>
      <c r="AB165" s="117">
        <v>193.51</v>
      </c>
      <c r="AH165" s="79"/>
      <c r="AI165" s="79"/>
      <c r="AJ165" s="79">
        <v>14669.87</v>
      </c>
      <c r="AK165" s="79">
        <v>-24391.480000000127</v>
      </c>
      <c r="AL165" s="79">
        <f t="shared" si="26"/>
        <v>-9721.6100000001261</v>
      </c>
      <c r="AN165" s="79">
        <v>14669.87</v>
      </c>
      <c r="AO165" s="79">
        <v>-24391.480000000127</v>
      </c>
      <c r="AP165" s="79">
        <v>-2575.5300000000002</v>
      </c>
      <c r="AQ165" s="79">
        <v>193.51</v>
      </c>
      <c r="AR165" s="79">
        <v>-20602.439999999999</v>
      </c>
      <c r="AS165" s="79">
        <f t="shared" si="27"/>
        <v>-32706.070000000123</v>
      </c>
      <c r="BB165" s="103" t="s">
        <v>498</v>
      </c>
      <c r="BC165" s="101" t="s">
        <v>998</v>
      </c>
      <c r="BD165" s="117">
        <v>-2575.5300000000002</v>
      </c>
      <c r="BE165" s="117">
        <v>0</v>
      </c>
      <c r="BF165" s="117">
        <v>-20602.439999999999</v>
      </c>
      <c r="BG165" s="117">
        <v>-29304.400000000001</v>
      </c>
      <c r="BH165" s="129">
        <v>-111982.9</v>
      </c>
      <c r="BI165" s="128">
        <f t="shared" si="28"/>
        <v>-164465.26999999999</v>
      </c>
      <c r="BM165" s="103" t="s">
        <v>498</v>
      </c>
      <c r="BN165" s="101" t="s">
        <v>998</v>
      </c>
      <c r="BO165" s="117">
        <v>0</v>
      </c>
      <c r="BP165" s="117">
        <v>0</v>
      </c>
      <c r="BQ165" s="117">
        <v>-20602.439999999999</v>
      </c>
      <c r="BR165" s="117">
        <v>-29304.400000000001</v>
      </c>
      <c r="BS165" s="129">
        <v>-111982.9</v>
      </c>
      <c r="BT165" s="129"/>
      <c r="BU165" s="128">
        <f t="shared" si="33"/>
        <v>-161889.74</v>
      </c>
      <c r="BW165" s="115">
        <f t="shared" si="34"/>
        <v>-2575.5299999999988</v>
      </c>
      <c r="BX165" s="117">
        <v>-2575.5300000000002</v>
      </c>
      <c r="BY165" s="117"/>
    </row>
    <row r="166" spans="2:83">
      <c r="B166" s="103" t="s">
        <v>500</v>
      </c>
      <c r="C166" s="101" t="s">
        <v>999</v>
      </c>
      <c r="D166" s="118">
        <v>-49590.45</v>
      </c>
      <c r="E166" s="118">
        <v>-43736.23</v>
      </c>
      <c r="F166" s="118">
        <v>-48192.61</v>
      </c>
      <c r="G166" s="127">
        <v>-78532.539999999994</v>
      </c>
      <c r="H166" s="102">
        <f t="shared" si="25"/>
        <v>-220051.82999999996</v>
      </c>
      <c r="K166" s="112" t="s">
        <v>500</v>
      </c>
      <c r="L166" s="111" t="s">
        <v>999</v>
      </c>
      <c r="M166" s="117">
        <v>0</v>
      </c>
      <c r="N166" s="117">
        <v>-54087.67</v>
      </c>
      <c r="O166" s="117">
        <v>-49590.45</v>
      </c>
      <c r="P166" s="117">
        <v>-43736.23</v>
      </c>
      <c r="Q166" s="117">
        <v>-48192.61</v>
      </c>
      <c r="R166" s="117"/>
      <c r="S166" s="117">
        <f t="shared" si="29"/>
        <v>-195606.96000000002</v>
      </c>
      <c r="T166" s="117">
        <v>-248716.19000000012</v>
      </c>
      <c r="U166" s="115">
        <f t="shared" si="30"/>
        <v>53109.230000000098</v>
      </c>
      <c r="Y166" s="115">
        <f t="shared" si="31"/>
        <v>0</v>
      </c>
      <c r="Z166" s="117">
        <v>-53109.230000000098</v>
      </c>
      <c r="AA166" s="115">
        <f t="shared" si="32"/>
        <v>0</v>
      </c>
      <c r="AH166" s="79"/>
      <c r="AI166" s="79"/>
      <c r="AJ166" s="79">
        <v>-47401.93</v>
      </c>
      <c r="AK166" s="79">
        <v>-53109.230000000098</v>
      </c>
      <c r="AL166" s="79">
        <f t="shared" si="26"/>
        <v>-53109.230000000098</v>
      </c>
      <c r="AN166" s="79">
        <v>-47401.93</v>
      </c>
      <c r="AO166" s="79">
        <v>-53109.230000000098</v>
      </c>
      <c r="AP166" s="79">
        <v>-54087.67</v>
      </c>
      <c r="AQ166" s="79">
        <v>-49590.45</v>
      </c>
      <c r="AR166" s="79">
        <v>-43736.23</v>
      </c>
      <c r="AS166" s="79">
        <f t="shared" si="27"/>
        <v>-247925.5100000001</v>
      </c>
      <c r="BB166" s="103" t="s">
        <v>500</v>
      </c>
      <c r="BC166" s="101" t="s">
        <v>999</v>
      </c>
      <c r="BD166" s="117">
        <v>-54087.67</v>
      </c>
      <c r="BE166" s="117">
        <v>-49590.45</v>
      </c>
      <c r="BF166" s="117">
        <v>-43736.23</v>
      </c>
      <c r="BG166" s="117">
        <v>-48192.61</v>
      </c>
      <c r="BH166" s="129">
        <v>-78532.539999999994</v>
      </c>
      <c r="BI166" s="128">
        <f t="shared" si="28"/>
        <v>-274139.5</v>
      </c>
      <c r="BM166" s="103" t="s">
        <v>500</v>
      </c>
      <c r="BN166" s="101" t="s">
        <v>999</v>
      </c>
      <c r="BO166" s="117">
        <v>0</v>
      </c>
      <c r="BP166" s="117">
        <v>-49590.45</v>
      </c>
      <c r="BQ166" s="117">
        <v>-43736.23</v>
      </c>
      <c r="BR166" s="117">
        <v>-48192.61</v>
      </c>
      <c r="BS166" s="129">
        <v>-78532.539999999994</v>
      </c>
      <c r="BT166" s="129"/>
      <c r="BU166" s="128">
        <f t="shared" si="33"/>
        <v>-220051.82999999996</v>
      </c>
      <c r="BW166" s="115">
        <f t="shared" si="34"/>
        <v>-54087.670000000042</v>
      </c>
      <c r="BX166" s="117">
        <v>-54087.67</v>
      </c>
      <c r="BY166" s="117"/>
    </row>
    <row r="167" spans="2:83">
      <c r="B167" s="103" t="s">
        <v>502</v>
      </c>
      <c r="C167" s="101" t="s">
        <v>1000</v>
      </c>
      <c r="D167" s="118">
        <v>-170511.24</v>
      </c>
      <c r="E167" s="118">
        <v>-221389.41</v>
      </c>
      <c r="F167" s="118">
        <v>-203956.53</v>
      </c>
      <c r="G167" s="127">
        <v>-122460.03</v>
      </c>
      <c r="H167" s="102">
        <f t="shared" si="25"/>
        <v>-718317.21000000008</v>
      </c>
      <c r="K167" s="112" t="s">
        <v>502</v>
      </c>
      <c r="L167" s="111" t="s">
        <v>1000</v>
      </c>
      <c r="M167" s="117">
        <v>0</v>
      </c>
      <c r="N167" s="117">
        <v>-131760.94</v>
      </c>
      <c r="O167" s="117">
        <v>-170511.24</v>
      </c>
      <c r="P167" s="117">
        <v>-221389.41</v>
      </c>
      <c r="Q167" s="117">
        <v>-203956.53</v>
      </c>
      <c r="R167" s="117"/>
      <c r="S167" s="117">
        <f t="shared" si="29"/>
        <v>-727618.12</v>
      </c>
      <c r="T167" s="117">
        <v>-805804.82000000041</v>
      </c>
      <c r="U167" s="115">
        <f t="shared" si="30"/>
        <v>78186.700000000419</v>
      </c>
      <c r="Y167" s="115">
        <f t="shared" si="31"/>
        <v>0</v>
      </c>
      <c r="Z167" s="117">
        <v>-78186.700000000419</v>
      </c>
      <c r="AA167" s="115">
        <f t="shared" si="32"/>
        <v>0</v>
      </c>
      <c r="AH167" s="79"/>
      <c r="AI167" s="79"/>
      <c r="AJ167" s="79">
        <v>-55354.89</v>
      </c>
      <c r="AK167" s="79">
        <v>-78186.700000000419</v>
      </c>
      <c r="AL167" s="79">
        <f t="shared" si="26"/>
        <v>-78186.700000000419</v>
      </c>
      <c r="AN167" s="79">
        <v>-55354.89</v>
      </c>
      <c r="AO167" s="79">
        <v>-78186.700000000419</v>
      </c>
      <c r="AP167" s="79">
        <v>-131760.94</v>
      </c>
      <c r="AQ167" s="79">
        <v>-170511.24</v>
      </c>
      <c r="AR167" s="79">
        <v>-221389.41</v>
      </c>
      <c r="AS167" s="79">
        <f t="shared" si="27"/>
        <v>-657203.1800000004</v>
      </c>
      <c r="BB167" s="103" t="s">
        <v>502</v>
      </c>
      <c r="BC167" s="101" t="s">
        <v>1000</v>
      </c>
      <c r="BD167" s="117">
        <v>-131760.94</v>
      </c>
      <c r="BE167" s="117">
        <v>-170511.24</v>
      </c>
      <c r="BF167" s="117">
        <v>-221389.41</v>
      </c>
      <c r="BG167" s="117">
        <v>-203956.53</v>
      </c>
      <c r="BH167" s="129">
        <v>-122460.03</v>
      </c>
      <c r="BI167" s="128">
        <f t="shared" si="28"/>
        <v>-850078.15</v>
      </c>
      <c r="BM167" s="103" t="s">
        <v>502</v>
      </c>
      <c r="BN167" s="101" t="s">
        <v>1000</v>
      </c>
      <c r="BO167" s="117">
        <v>0</v>
      </c>
      <c r="BP167" s="117">
        <v>-170511.24</v>
      </c>
      <c r="BQ167" s="117">
        <v>-221389.41</v>
      </c>
      <c r="BR167" s="117">
        <v>-203956.53</v>
      </c>
      <c r="BS167" s="129">
        <v>-122460.03</v>
      </c>
      <c r="BT167" s="129"/>
      <c r="BU167" s="128">
        <f t="shared" si="33"/>
        <v>-718317.21000000008</v>
      </c>
      <c r="BW167" s="115">
        <f t="shared" si="34"/>
        <v>-131760.93999999994</v>
      </c>
      <c r="BX167" s="117">
        <v>-131760.94</v>
      </c>
      <c r="BY167" s="117"/>
    </row>
    <row r="168" spans="2:83">
      <c r="B168" s="103" t="s">
        <v>504</v>
      </c>
      <c r="C168" s="101" t="s">
        <v>1001</v>
      </c>
      <c r="D168" s="118">
        <v>-61792.19</v>
      </c>
      <c r="E168" s="118">
        <v>-43063.18</v>
      </c>
      <c r="F168" s="118">
        <v>-74118.98</v>
      </c>
      <c r="G168" s="127">
        <v>-65500.35</v>
      </c>
      <c r="H168" s="102">
        <f t="shared" si="25"/>
        <v>-244474.69999999998</v>
      </c>
      <c r="K168" s="112" t="s">
        <v>504</v>
      </c>
      <c r="L168" s="111" t="s">
        <v>1001</v>
      </c>
      <c r="M168" s="117">
        <v>0</v>
      </c>
      <c r="N168" s="117">
        <v>-49029.43</v>
      </c>
      <c r="O168" s="117">
        <v>-61792.19</v>
      </c>
      <c r="P168" s="117">
        <v>-43063.18</v>
      </c>
      <c r="Q168" s="117">
        <v>-74118.98</v>
      </c>
      <c r="R168" s="117"/>
      <c r="S168" s="117">
        <f t="shared" si="29"/>
        <v>-228003.77999999997</v>
      </c>
      <c r="T168" s="117">
        <v>-251458.43</v>
      </c>
      <c r="U168" s="115">
        <f t="shared" si="30"/>
        <v>23454.650000000023</v>
      </c>
      <c r="Y168" s="115">
        <f t="shared" si="31"/>
        <v>0</v>
      </c>
      <c r="Z168" s="117">
        <v>-23454.650000000023</v>
      </c>
      <c r="AA168" s="115">
        <f t="shared" si="32"/>
        <v>0</v>
      </c>
      <c r="AH168" s="79"/>
      <c r="AI168" s="79"/>
      <c r="AJ168" s="79">
        <v>-35546.120000000003</v>
      </c>
      <c r="AK168" s="79">
        <v>-23454.650000000023</v>
      </c>
      <c r="AL168" s="79">
        <f t="shared" si="26"/>
        <v>-23454.650000000023</v>
      </c>
      <c r="AN168" s="79">
        <v>-35546.120000000003</v>
      </c>
      <c r="AO168" s="79">
        <v>-23454.650000000023</v>
      </c>
      <c r="AP168" s="79">
        <v>-49029.43</v>
      </c>
      <c r="AQ168" s="79">
        <v>-61792.19</v>
      </c>
      <c r="AR168" s="79">
        <v>-43063.18</v>
      </c>
      <c r="AS168" s="79">
        <f t="shared" si="27"/>
        <v>-212885.57</v>
      </c>
      <c r="BB168" s="103" t="s">
        <v>504</v>
      </c>
      <c r="BC168" s="101" t="s">
        <v>1001</v>
      </c>
      <c r="BD168" s="117">
        <v>-49029.43</v>
      </c>
      <c r="BE168" s="117">
        <v>-61792.19</v>
      </c>
      <c r="BF168" s="117">
        <v>-43063.18</v>
      </c>
      <c r="BG168" s="117">
        <v>-74118.98</v>
      </c>
      <c r="BH168" s="129">
        <v>-65500.35</v>
      </c>
      <c r="BI168" s="128">
        <f t="shared" si="28"/>
        <v>-293504.12999999995</v>
      </c>
      <c r="BM168" s="103" t="s">
        <v>504</v>
      </c>
      <c r="BN168" s="101" t="s">
        <v>1001</v>
      </c>
      <c r="BO168" s="117">
        <v>0</v>
      </c>
      <c r="BP168" s="117">
        <v>-61792.19</v>
      </c>
      <c r="BQ168" s="117">
        <v>-43063.18</v>
      </c>
      <c r="BR168" s="117">
        <v>-74118.98</v>
      </c>
      <c r="BS168" s="129">
        <v>-65500.35</v>
      </c>
      <c r="BT168" s="129"/>
      <c r="BU168" s="128">
        <f t="shared" si="33"/>
        <v>-244474.69999999998</v>
      </c>
      <c r="BW168" s="115">
        <f t="shared" si="34"/>
        <v>-49029.429999999964</v>
      </c>
      <c r="BX168" s="117">
        <v>-49029.43</v>
      </c>
      <c r="BY168" s="117"/>
    </row>
    <row r="169" spans="2:83">
      <c r="B169" s="103" t="s">
        <v>506</v>
      </c>
      <c r="C169" s="101" t="s">
        <v>1002</v>
      </c>
      <c r="D169" s="118">
        <v>-108565.89</v>
      </c>
      <c r="E169" s="118">
        <v>-97025.75</v>
      </c>
      <c r="F169" s="118">
        <v>-88188.05</v>
      </c>
      <c r="G169" s="127">
        <v>-95842.48</v>
      </c>
      <c r="H169" s="102">
        <f t="shared" si="25"/>
        <v>-389622.17</v>
      </c>
      <c r="K169" s="112" t="s">
        <v>506</v>
      </c>
      <c r="L169" s="111" t="s">
        <v>1002</v>
      </c>
      <c r="M169" s="117">
        <v>0</v>
      </c>
      <c r="N169" s="117">
        <v>-91935.23</v>
      </c>
      <c r="O169" s="117">
        <v>-108565.89</v>
      </c>
      <c r="P169" s="117">
        <v>-97025.75</v>
      </c>
      <c r="Q169" s="117">
        <v>-88188.05</v>
      </c>
      <c r="R169" s="117"/>
      <c r="S169" s="117">
        <f t="shared" si="29"/>
        <v>-385714.92</v>
      </c>
      <c r="T169" s="117">
        <v>-471887.11000000004</v>
      </c>
      <c r="U169" s="115">
        <f t="shared" si="30"/>
        <v>86172.190000000061</v>
      </c>
      <c r="Y169" s="115">
        <f t="shared" si="31"/>
        <v>0</v>
      </c>
      <c r="Z169" s="117">
        <v>-86172.190000000061</v>
      </c>
      <c r="AA169" s="115">
        <f t="shared" si="32"/>
        <v>0</v>
      </c>
      <c r="AH169" s="79"/>
      <c r="AI169" s="79"/>
      <c r="AJ169" s="79">
        <v>-85737.71</v>
      </c>
      <c r="AK169" s="79">
        <v>-86172.190000000061</v>
      </c>
      <c r="AL169" s="79">
        <f t="shared" si="26"/>
        <v>-86172.190000000061</v>
      </c>
      <c r="AN169" s="79">
        <v>-85737.71</v>
      </c>
      <c r="AO169" s="79">
        <v>-86172.190000000061</v>
      </c>
      <c r="AP169" s="79">
        <v>-91935.23</v>
      </c>
      <c r="AQ169" s="79">
        <v>-108565.89</v>
      </c>
      <c r="AR169" s="79">
        <v>-97025.75</v>
      </c>
      <c r="AS169" s="79">
        <f t="shared" si="27"/>
        <v>-469436.77000000008</v>
      </c>
      <c r="BB169" s="103" t="s">
        <v>506</v>
      </c>
      <c r="BC169" s="101" t="s">
        <v>1002</v>
      </c>
      <c r="BD169" s="117">
        <v>-91935.23</v>
      </c>
      <c r="BE169" s="117">
        <v>-108565.89</v>
      </c>
      <c r="BF169" s="117">
        <v>-97025.75</v>
      </c>
      <c r="BG169" s="117">
        <v>-88188.05</v>
      </c>
      <c r="BH169" s="129">
        <v>-95842.48</v>
      </c>
      <c r="BI169" s="128">
        <f t="shared" si="28"/>
        <v>-481557.39999999997</v>
      </c>
      <c r="BM169" s="103" t="s">
        <v>506</v>
      </c>
      <c r="BN169" s="101" t="s">
        <v>1002</v>
      </c>
      <c r="BO169" s="117">
        <v>0</v>
      </c>
      <c r="BP169" s="117">
        <v>-108565.89</v>
      </c>
      <c r="BQ169" s="117">
        <v>-97025.75</v>
      </c>
      <c r="BR169" s="117">
        <v>-88188.05</v>
      </c>
      <c r="BS169" s="129">
        <v>-95842.48</v>
      </c>
      <c r="BT169" s="129"/>
      <c r="BU169" s="128">
        <f t="shared" si="33"/>
        <v>-389622.17</v>
      </c>
      <c r="BW169" s="115">
        <f t="shared" si="34"/>
        <v>-91935.229999999981</v>
      </c>
      <c r="BX169" s="117">
        <v>-91935.23</v>
      </c>
      <c r="BY169" s="117"/>
    </row>
    <row r="170" spans="2:83">
      <c r="B170" s="103" t="s">
        <v>508</v>
      </c>
      <c r="C170" s="101" t="s">
        <v>1003</v>
      </c>
      <c r="D170" s="118">
        <v>-78109.100000000006</v>
      </c>
      <c r="E170" s="118">
        <v>-90242.62</v>
      </c>
      <c r="F170" s="118">
        <v>-166703.32999999999</v>
      </c>
      <c r="G170" s="127">
        <v>-136503.06</v>
      </c>
      <c r="H170" s="102">
        <f t="shared" si="25"/>
        <v>-471558.11</v>
      </c>
      <c r="K170" s="112" t="s">
        <v>508</v>
      </c>
      <c r="L170" s="111" t="s">
        <v>1003</v>
      </c>
      <c r="M170" s="117">
        <v>0</v>
      </c>
      <c r="N170" s="117">
        <v>-46870.92</v>
      </c>
      <c r="O170" s="117">
        <v>-78109.100000000006</v>
      </c>
      <c r="P170" s="117">
        <v>-90242.62</v>
      </c>
      <c r="Q170" s="117">
        <v>-166703.32999999999</v>
      </c>
      <c r="R170" s="117"/>
      <c r="S170" s="117">
        <f t="shared" si="29"/>
        <v>-381925.97</v>
      </c>
      <c r="T170" s="117">
        <v>-421954.63999999873</v>
      </c>
      <c r="U170" s="115">
        <f t="shared" si="30"/>
        <v>40028.669999998761</v>
      </c>
      <c r="Y170" s="115">
        <f t="shared" si="31"/>
        <v>0</v>
      </c>
      <c r="Z170" s="117">
        <v>-40028.669999998761</v>
      </c>
      <c r="AA170" s="115">
        <f t="shared" si="32"/>
        <v>0</v>
      </c>
      <c r="AH170" s="79"/>
      <c r="AI170" s="79"/>
      <c r="AJ170" s="79">
        <v>-57672.36</v>
      </c>
      <c r="AK170" s="79">
        <v>-40028.669999998761</v>
      </c>
      <c r="AL170" s="79">
        <f t="shared" si="26"/>
        <v>-40028.669999998761</v>
      </c>
      <c r="AN170" s="79">
        <v>-57672.36</v>
      </c>
      <c r="AO170" s="79">
        <v>-40028.669999998761</v>
      </c>
      <c r="AP170" s="79">
        <v>-46870.92</v>
      </c>
      <c r="AQ170" s="79">
        <v>-78109.100000000006</v>
      </c>
      <c r="AR170" s="79">
        <v>-90242.62</v>
      </c>
      <c r="AS170" s="79">
        <f t="shared" si="27"/>
        <v>-312923.66999999876</v>
      </c>
      <c r="BB170" s="103" t="s">
        <v>508</v>
      </c>
      <c r="BC170" s="101" t="s">
        <v>1003</v>
      </c>
      <c r="BD170" s="117">
        <v>-46870.92</v>
      </c>
      <c r="BE170" s="117">
        <v>-78109.100000000006</v>
      </c>
      <c r="BF170" s="117">
        <v>-90242.62</v>
      </c>
      <c r="BG170" s="117">
        <v>-166703.32999999999</v>
      </c>
      <c r="BH170" s="129">
        <v>-136503.06</v>
      </c>
      <c r="BI170" s="128">
        <f t="shared" si="28"/>
        <v>-518429.02999999997</v>
      </c>
      <c r="BM170" s="103" t="s">
        <v>508</v>
      </c>
      <c r="BN170" s="101" t="s">
        <v>1003</v>
      </c>
      <c r="BO170" s="117">
        <v>0</v>
      </c>
      <c r="BP170" s="117">
        <v>-78109.100000000006</v>
      </c>
      <c r="BQ170" s="117">
        <v>-90242.62</v>
      </c>
      <c r="BR170" s="117">
        <v>-166703.32999999999</v>
      </c>
      <c r="BS170" s="129">
        <v>-136503.06</v>
      </c>
      <c r="BT170" s="129"/>
      <c r="BU170" s="128">
        <f t="shared" si="33"/>
        <v>-471558.11</v>
      </c>
      <c r="BW170" s="115">
        <f t="shared" si="34"/>
        <v>-46870.919999999984</v>
      </c>
      <c r="BX170" s="117">
        <v>-46870.92</v>
      </c>
      <c r="BY170" s="117"/>
    </row>
    <row r="171" spans="2:83">
      <c r="B171" s="103" t="s">
        <v>510</v>
      </c>
      <c r="C171" s="101" t="s">
        <v>1004</v>
      </c>
      <c r="D171" s="118">
        <v>-601978.23</v>
      </c>
      <c r="E171" s="118">
        <v>-828572.21</v>
      </c>
      <c r="F171" s="118">
        <v>-599763.65</v>
      </c>
      <c r="G171" s="127">
        <v>-634926.76</v>
      </c>
      <c r="H171" s="102">
        <f t="shared" si="25"/>
        <v>-2665240.8499999996</v>
      </c>
      <c r="K171" s="112" t="s">
        <v>510</v>
      </c>
      <c r="L171" s="111" t="s">
        <v>1004</v>
      </c>
      <c r="M171" s="117">
        <v>0</v>
      </c>
      <c r="N171" s="117">
        <v>-65584.38</v>
      </c>
      <c r="O171" s="117">
        <v>-601978.23</v>
      </c>
      <c r="P171" s="117">
        <v>-828572.21</v>
      </c>
      <c r="Q171" s="117">
        <v>-599763.65</v>
      </c>
      <c r="R171" s="117"/>
      <c r="S171" s="117">
        <f t="shared" si="29"/>
        <v>-2095898.4699999997</v>
      </c>
      <c r="T171" s="117">
        <v>-2115625.9699999997</v>
      </c>
      <c r="U171" s="115">
        <f t="shared" si="30"/>
        <v>19727.5</v>
      </c>
      <c r="Y171" s="115">
        <f t="shared" si="31"/>
        <v>0</v>
      </c>
      <c r="Z171" s="117">
        <v>-19727.5</v>
      </c>
      <c r="AA171" s="115">
        <f t="shared" si="32"/>
        <v>0</v>
      </c>
      <c r="AH171" s="79"/>
      <c r="AI171" s="79"/>
      <c r="AJ171" s="79">
        <v>168062.97</v>
      </c>
      <c r="AK171" s="79">
        <v>-187790.46999999788</v>
      </c>
      <c r="AL171" s="79">
        <f t="shared" si="26"/>
        <v>-19727.499999997875</v>
      </c>
      <c r="AN171" s="79">
        <v>168062.97</v>
      </c>
      <c r="AO171" s="79">
        <v>-187790.46999999788</v>
      </c>
      <c r="AP171" s="79">
        <v>-65584.38</v>
      </c>
      <c r="AQ171" s="79">
        <v>-601978.23</v>
      </c>
      <c r="AR171" s="79">
        <v>-828572.21</v>
      </c>
      <c r="AS171" s="79">
        <f t="shared" si="27"/>
        <v>-1515862.319999998</v>
      </c>
      <c r="BB171" s="103" t="s">
        <v>510</v>
      </c>
      <c r="BC171" s="101" t="s">
        <v>1004</v>
      </c>
      <c r="BD171" s="117">
        <v>-65584.38</v>
      </c>
      <c r="BE171" s="117">
        <v>-601978.23</v>
      </c>
      <c r="BF171" s="117">
        <v>-828572.21</v>
      </c>
      <c r="BG171" s="117">
        <v>-599763.65</v>
      </c>
      <c r="BH171" s="129">
        <v>-634926.76</v>
      </c>
      <c r="BI171" s="128">
        <f t="shared" si="28"/>
        <v>-2730825.2299999995</v>
      </c>
      <c r="BM171" s="103" t="s">
        <v>510</v>
      </c>
      <c r="BN171" s="101" t="s">
        <v>1004</v>
      </c>
      <c r="BO171" s="117">
        <v>0</v>
      </c>
      <c r="BP171" s="117">
        <v>-601978.23</v>
      </c>
      <c r="BQ171" s="117">
        <v>-828572.21</v>
      </c>
      <c r="BR171" s="117">
        <v>-599763.65</v>
      </c>
      <c r="BS171" s="129">
        <v>-634926.76</v>
      </c>
      <c r="BT171" s="129"/>
      <c r="BU171" s="128">
        <f t="shared" si="33"/>
        <v>-2665240.8499999996</v>
      </c>
      <c r="BW171" s="115">
        <f t="shared" si="34"/>
        <v>-65584.379999999888</v>
      </c>
      <c r="BX171" s="117">
        <v>-65584.38</v>
      </c>
      <c r="BY171" s="117"/>
    </row>
    <row r="172" spans="2:83">
      <c r="B172" s="103" t="s">
        <v>512</v>
      </c>
      <c r="C172" s="101" t="s">
        <v>1005</v>
      </c>
      <c r="D172" s="118">
        <v>-292050.56</v>
      </c>
      <c r="E172" s="118">
        <v>-633281.21</v>
      </c>
      <c r="F172" s="118">
        <v>-669130.62</v>
      </c>
      <c r="G172" s="127">
        <v>-786489.63</v>
      </c>
      <c r="H172" s="102">
        <f t="shared" si="25"/>
        <v>-2380952.02</v>
      </c>
      <c r="K172" s="112" t="s">
        <v>512</v>
      </c>
      <c r="L172" s="111" t="s">
        <v>1005</v>
      </c>
      <c r="M172" s="117">
        <v>0</v>
      </c>
      <c r="N172" s="117">
        <v>-618173.86</v>
      </c>
      <c r="O172" s="117">
        <v>-292050.56</v>
      </c>
      <c r="P172" s="117">
        <v>-633281.21</v>
      </c>
      <c r="Q172" s="117">
        <v>-669130.62</v>
      </c>
      <c r="R172" s="117"/>
      <c r="S172" s="117">
        <f t="shared" si="29"/>
        <v>-2212636.25</v>
      </c>
      <c r="T172" s="117">
        <v>-2714750.6199999955</v>
      </c>
      <c r="U172" s="115">
        <f t="shared" si="30"/>
        <v>502114.36999999546</v>
      </c>
      <c r="Y172" s="115">
        <f t="shared" si="31"/>
        <v>0</v>
      </c>
      <c r="Z172" s="117">
        <v>-502114.36999999546</v>
      </c>
      <c r="AA172" s="115">
        <f t="shared" si="32"/>
        <v>0</v>
      </c>
      <c r="AH172" s="79"/>
      <c r="AI172" s="79"/>
      <c r="AJ172" s="79">
        <v>-258349.07</v>
      </c>
      <c r="AK172" s="79">
        <v>-502114.36999999546</v>
      </c>
      <c r="AL172" s="79">
        <f t="shared" si="26"/>
        <v>-502114.36999999546</v>
      </c>
      <c r="AN172" s="79">
        <v>-258349.07</v>
      </c>
      <c r="AO172" s="79">
        <v>-502114.36999999546</v>
      </c>
      <c r="AP172" s="79">
        <v>-618173.86</v>
      </c>
      <c r="AQ172" s="79">
        <v>-292050.56</v>
      </c>
      <c r="AR172" s="79">
        <v>-633281.21</v>
      </c>
      <c r="AS172" s="79">
        <f t="shared" si="27"/>
        <v>-2303969.0699999956</v>
      </c>
      <c r="BB172" s="103" t="s">
        <v>512</v>
      </c>
      <c r="BC172" s="101" t="s">
        <v>1005</v>
      </c>
      <c r="BD172" s="117">
        <v>-618173.86</v>
      </c>
      <c r="BE172" s="117">
        <v>-292050.56</v>
      </c>
      <c r="BF172" s="117">
        <v>-633281.21</v>
      </c>
      <c r="BG172" s="117">
        <v>-669130.62</v>
      </c>
      <c r="BH172" s="129">
        <v>-786489.63</v>
      </c>
      <c r="BI172" s="128">
        <f t="shared" si="28"/>
        <v>-2999125.88</v>
      </c>
      <c r="BM172" s="103" t="s">
        <v>512</v>
      </c>
      <c r="BN172" s="101" t="s">
        <v>1005</v>
      </c>
      <c r="BO172" s="117">
        <v>0</v>
      </c>
      <c r="BP172" s="117">
        <v>-292050.56</v>
      </c>
      <c r="BQ172" s="117">
        <v>-633281.21</v>
      </c>
      <c r="BR172" s="117">
        <v>-669130.62</v>
      </c>
      <c r="BS172" s="129">
        <v>-786489.63</v>
      </c>
      <c r="BT172" s="129"/>
      <c r="BU172" s="128">
        <f t="shared" si="33"/>
        <v>-2380952.02</v>
      </c>
      <c r="BW172" s="115">
        <f t="shared" si="34"/>
        <v>-618173.85999999987</v>
      </c>
      <c r="BX172" s="117">
        <v>-618173.86</v>
      </c>
      <c r="BY172" s="117"/>
    </row>
    <row r="173" spans="2:83">
      <c r="B173" s="103" t="s">
        <v>514</v>
      </c>
      <c r="C173" s="101" t="s">
        <v>1006</v>
      </c>
      <c r="D173" s="118">
        <v>-32097.72</v>
      </c>
      <c r="E173" s="118">
        <v>-34792.639999999999</v>
      </c>
      <c r="F173" s="118">
        <v>-23163.1</v>
      </c>
      <c r="G173" s="127">
        <v>-39617.31</v>
      </c>
      <c r="H173" s="102">
        <f t="shared" si="25"/>
        <v>-129670.76999999999</v>
      </c>
      <c r="K173" s="112" t="s">
        <v>514</v>
      </c>
      <c r="L173" s="111" t="s">
        <v>1006</v>
      </c>
      <c r="M173" s="117">
        <v>0</v>
      </c>
      <c r="N173" s="117">
        <v>-35231.800000000003</v>
      </c>
      <c r="O173" s="117">
        <v>-32097.72</v>
      </c>
      <c r="P173" s="117">
        <v>-34792.639999999999</v>
      </c>
      <c r="Q173" s="117">
        <v>-23163.1</v>
      </c>
      <c r="R173" s="117"/>
      <c r="S173" s="117">
        <f t="shared" si="29"/>
        <v>-125285.26000000001</v>
      </c>
      <c r="T173" s="117">
        <v>-160041.78000000006</v>
      </c>
      <c r="U173" s="115">
        <f t="shared" si="30"/>
        <v>34756.520000000048</v>
      </c>
      <c r="Y173" s="115">
        <f t="shared" si="31"/>
        <v>0</v>
      </c>
      <c r="Z173" s="117">
        <v>-34756.520000000048</v>
      </c>
      <c r="AA173" s="115">
        <f t="shared" si="32"/>
        <v>0</v>
      </c>
      <c r="AH173" s="79"/>
      <c r="AI173" s="79"/>
      <c r="AJ173" s="79">
        <v>-31447.54</v>
      </c>
      <c r="AK173" s="79">
        <v>-34756.520000000048</v>
      </c>
      <c r="AL173" s="79">
        <f t="shared" si="26"/>
        <v>-34756.520000000048</v>
      </c>
      <c r="AN173" s="79">
        <v>-31447.54</v>
      </c>
      <c r="AO173" s="79">
        <v>-34756.520000000048</v>
      </c>
      <c r="AP173" s="79">
        <v>-35231.800000000003</v>
      </c>
      <c r="AQ173" s="79">
        <v>-32097.72</v>
      </c>
      <c r="AR173" s="79">
        <v>-34792.639999999999</v>
      </c>
      <c r="AS173" s="79">
        <f t="shared" si="27"/>
        <v>-168326.22000000009</v>
      </c>
      <c r="BB173" s="103" t="s">
        <v>514</v>
      </c>
      <c r="BC173" s="101" t="s">
        <v>1006</v>
      </c>
      <c r="BD173" s="117">
        <v>-35231.800000000003</v>
      </c>
      <c r="BE173" s="117">
        <v>-32097.72</v>
      </c>
      <c r="BF173" s="117">
        <v>-34792.639999999999</v>
      </c>
      <c r="BG173" s="117">
        <v>-23163.1</v>
      </c>
      <c r="BH173" s="129">
        <v>-39617.31</v>
      </c>
      <c r="BI173" s="128">
        <f t="shared" si="28"/>
        <v>-164902.57</v>
      </c>
      <c r="BM173" s="103" t="s">
        <v>514</v>
      </c>
      <c r="BN173" s="101" t="s">
        <v>1006</v>
      </c>
      <c r="BO173" s="117">
        <v>0</v>
      </c>
      <c r="BP173" s="117">
        <v>-32097.72</v>
      </c>
      <c r="BQ173" s="117">
        <v>-34792.639999999999</v>
      </c>
      <c r="BR173" s="117">
        <v>-23163.1</v>
      </c>
      <c r="BS173" s="129">
        <v>-39617.31</v>
      </c>
      <c r="BT173" s="129"/>
      <c r="BU173" s="128">
        <f t="shared" si="33"/>
        <v>-129670.76999999999</v>
      </c>
      <c r="BW173" s="115">
        <f t="shared" si="34"/>
        <v>-35231.800000000017</v>
      </c>
      <c r="BX173" s="117">
        <v>-35231.800000000003</v>
      </c>
      <c r="BY173" s="117"/>
    </row>
    <row r="174" spans="2:83">
      <c r="B174" s="103" t="s">
        <v>516</v>
      </c>
      <c r="C174" s="101" t="s">
        <v>1007</v>
      </c>
      <c r="D174" s="118">
        <v>-225799.45</v>
      </c>
      <c r="E174" s="118">
        <v>-90502.35</v>
      </c>
      <c r="F174" s="118">
        <v>-312384.15000000002</v>
      </c>
      <c r="G174" s="127">
        <v>-450692.68</v>
      </c>
      <c r="H174" s="102">
        <f t="shared" si="25"/>
        <v>-1079378.6300000001</v>
      </c>
      <c r="K174" s="112" t="s">
        <v>516</v>
      </c>
      <c r="L174" s="111" t="s">
        <v>1007</v>
      </c>
      <c r="M174" s="117">
        <v>0</v>
      </c>
      <c r="N174" s="117">
        <v>-93832.29</v>
      </c>
      <c r="O174" s="117">
        <v>-225799.45</v>
      </c>
      <c r="P174" s="117">
        <v>-90502.35</v>
      </c>
      <c r="Q174" s="117">
        <v>-312384.15000000002</v>
      </c>
      <c r="R174" s="117"/>
      <c r="S174" s="117">
        <f t="shared" si="29"/>
        <v>-722518.24</v>
      </c>
      <c r="T174" s="117">
        <v>-807780.32000000193</v>
      </c>
      <c r="U174" s="115">
        <f t="shared" si="30"/>
        <v>85262.080000001937</v>
      </c>
      <c r="Y174" s="115">
        <f t="shared" si="31"/>
        <v>0</v>
      </c>
      <c r="Z174" s="117">
        <v>-85262.080000001937</v>
      </c>
      <c r="AA174" s="115">
        <f t="shared" si="32"/>
        <v>0</v>
      </c>
      <c r="AH174" s="79"/>
      <c r="AI174" s="79"/>
      <c r="AJ174" s="79">
        <v>-164132.14000000001</v>
      </c>
      <c r="AK174" s="79">
        <v>-85262.080000001937</v>
      </c>
      <c r="AL174" s="79">
        <f t="shared" si="26"/>
        <v>-85262.080000001937</v>
      </c>
      <c r="AN174" s="79">
        <v>-164132.14000000001</v>
      </c>
      <c r="AO174" s="79">
        <v>-85262.080000001937</v>
      </c>
      <c r="AP174" s="79">
        <v>-93832.29</v>
      </c>
      <c r="AQ174" s="79">
        <v>-225799.45</v>
      </c>
      <c r="AR174" s="79">
        <v>-90502.35</v>
      </c>
      <c r="AS174" s="79">
        <f t="shared" si="27"/>
        <v>-659528.31000000192</v>
      </c>
      <c r="BB174" s="103" t="s">
        <v>516</v>
      </c>
      <c r="BC174" s="101" t="s">
        <v>1007</v>
      </c>
      <c r="BD174" s="117">
        <v>-93832.29</v>
      </c>
      <c r="BE174" s="117">
        <v>-225799.45</v>
      </c>
      <c r="BF174" s="117">
        <v>-90502.35</v>
      </c>
      <c r="BG174" s="117">
        <v>-312384.15000000002</v>
      </c>
      <c r="BH174" s="129">
        <v>-450692.68</v>
      </c>
      <c r="BI174" s="128">
        <f t="shared" si="28"/>
        <v>-1173210.92</v>
      </c>
      <c r="BM174" s="103" t="s">
        <v>516</v>
      </c>
      <c r="BN174" s="101" t="s">
        <v>1007</v>
      </c>
      <c r="BO174" s="117">
        <v>0</v>
      </c>
      <c r="BP174" s="117">
        <v>-225799.45</v>
      </c>
      <c r="BQ174" s="117">
        <v>-90502.35</v>
      </c>
      <c r="BR174" s="117">
        <v>-312384.15000000002</v>
      </c>
      <c r="BS174" s="129">
        <v>-450692.68</v>
      </c>
      <c r="BT174" s="129"/>
      <c r="BU174" s="128">
        <f t="shared" si="33"/>
        <v>-1079378.6300000001</v>
      </c>
      <c r="BW174" s="115">
        <f t="shared" si="34"/>
        <v>-93832.289999999804</v>
      </c>
      <c r="BX174" s="117">
        <v>-93832.29</v>
      </c>
      <c r="BY174" s="117"/>
    </row>
    <row r="175" spans="2:83">
      <c r="B175" s="103" t="s">
        <v>518</v>
      </c>
      <c r="C175" s="101" t="s">
        <v>1008</v>
      </c>
      <c r="D175" s="118">
        <v>-246840.19</v>
      </c>
      <c r="E175" s="118">
        <v>-308691.67</v>
      </c>
      <c r="F175" s="118">
        <v>-337838.84</v>
      </c>
      <c r="G175" s="127">
        <v>-248238.66</v>
      </c>
      <c r="H175" s="102">
        <f t="shared" si="25"/>
        <v>-1141609.3599999999</v>
      </c>
      <c r="K175" s="112" t="s">
        <v>518</v>
      </c>
      <c r="L175" s="111" t="s">
        <v>1008</v>
      </c>
      <c r="M175" s="117">
        <v>0</v>
      </c>
      <c r="N175" s="117">
        <v>-202698.11</v>
      </c>
      <c r="O175" s="117">
        <v>-246840.19</v>
      </c>
      <c r="P175" s="117">
        <v>-308691.67</v>
      </c>
      <c r="Q175" s="117">
        <v>-337838.84</v>
      </c>
      <c r="R175" s="117"/>
      <c r="S175" s="117">
        <f t="shared" si="29"/>
        <v>-1096068.81</v>
      </c>
      <c r="T175" s="117">
        <v>-1166782.04</v>
      </c>
      <c r="U175" s="115">
        <f t="shared" si="30"/>
        <v>70713.229999999981</v>
      </c>
      <c r="Y175" s="115">
        <f t="shared" si="31"/>
        <v>0</v>
      </c>
      <c r="Z175" s="117">
        <v>-70713.23</v>
      </c>
      <c r="AA175" s="115">
        <f t="shared" si="32"/>
        <v>0</v>
      </c>
      <c r="AH175" s="79"/>
      <c r="AI175" s="79"/>
      <c r="AJ175" s="79">
        <v>44029.03</v>
      </c>
      <c r="AK175" s="79">
        <v>-114742.26000000304</v>
      </c>
      <c r="AL175" s="79">
        <f t="shared" si="26"/>
        <v>-70713.230000003037</v>
      </c>
      <c r="AN175" s="79">
        <v>44029.03</v>
      </c>
      <c r="AO175" s="79">
        <v>-114742.26000000304</v>
      </c>
      <c r="AP175" s="79">
        <v>-202698.11</v>
      </c>
      <c r="AQ175" s="79">
        <v>-246840.19</v>
      </c>
      <c r="AR175" s="79">
        <v>-308691.67</v>
      </c>
      <c r="AS175" s="79">
        <f t="shared" si="27"/>
        <v>-828943.20000000298</v>
      </c>
      <c r="BB175" s="103" t="s">
        <v>518</v>
      </c>
      <c r="BC175" s="101" t="s">
        <v>1008</v>
      </c>
      <c r="BD175" s="117">
        <v>-202698.11</v>
      </c>
      <c r="BE175" s="117">
        <v>-246840.19</v>
      </c>
      <c r="BF175" s="117">
        <v>-308691.67</v>
      </c>
      <c r="BG175" s="117">
        <v>-337838.84</v>
      </c>
      <c r="BH175" s="129">
        <v>-248238.66</v>
      </c>
      <c r="BI175" s="128">
        <f t="shared" si="28"/>
        <v>-1344307.47</v>
      </c>
      <c r="BM175" s="103" t="s">
        <v>518</v>
      </c>
      <c r="BN175" s="101" t="s">
        <v>1008</v>
      </c>
      <c r="BO175" s="117">
        <v>0</v>
      </c>
      <c r="BP175" s="117">
        <v>-246840.19</v>
      </c>
      <c r="BQ175" s="117">
        <v>-308691.67</v>
      </c>
      <c r="BR175" s="117">
        <v>-337838.84</v>
      </c>
      <c r="BS175" s="129">
        <v>-248238.66</v>
      </c>
      <c r="BT175" s="129"/>
      <c r="BU175" s="128">
        <f t="shared" si="33"/>
        <v>-1141609.3599999999</v>
      </c>
      <c r="BW175" s="115">
        <f t="shared" si="34"/>
        <v>-202698.1100000001</v>
      </c>
      <c r="BX175" s="117">
        <v>-202698.11</v>
      </c>
      <c r="BY175" s="117"/>
    </row>
    <row r="176" spans="2:83">
      <c r="B176" s="103" t="s">
        <v>520</v>
      </c>
      <c r="C176" s="101" t="s">
        <v>1009</v>
      </c>
      <c r="D176" s="118">
        <v>63070.75</v>
      </c>
      <c r="E176" s="118">
        <v>-27660.92</v>
      </c>
      <c r="F176" s="118">
        <v>-33013.269999999997</v>
      </c>
      <c r="G176" s="127">
        <v>-22994</v>
      </c>
      <c r="H176" s="102">
        <f t="shared" si="25"/>
        <v>-20597.439999999995</v>
      </c>
      <c r="K176" s="112" t="s">
        <v>520</v>
      </c>
      <c r="L176" s="111" t="s">
        <v>1009</v>
      </c>
      <c r="M176" s="117">
        <v>0</v>
      </c>
      <c r="N176" s="117">
        <v>93418.53</v>
      </c>
      <c r="O176" s="117">
        <v>-30347.78</v>
      </c>
      <c r="P176" s="117">
        <v>-27660.92</v>
      </c>
      <c r="Q176" s="117">
        <v>-33013.269999999997</v>
      </c>
      <c r="R176" s="117"/>
      <c r="S176" s="117">
        <f t="shared" si="29"/>
        <v>2396.5600000000049</v>
      </c>
      <c r="T176" s="117">
        <v>2396.5600000000049</v>
      </c>
      <c r="U176" s="115">
        <f t="shared" si="30"/>
        <v>0</v>
      </c>
      <c r="W176" s="115">
        <f>+M176+N176</f>
        <v>93418.53</v>
      </c>
      <c r="Y176" s="115">
        <f t="shared" si="31"/>
        <v>99530.68</v>
      </c>
      <c r="Z176" s="117">
        <v>99530.68</v>
      </c>
      <c r="AA176" s="115">
        <f t="shared" si="32"/>
        <v>99530.68</v>
      </c>
      <c r="AH176" s="79"/>
      <c r="AI176" s="79"/>
      <c r="AJ176" s="79">
        <v>47470.87</v>
      </c>
      <c r="AK176" s="79">
        <v>52059.809999999532</v>
      </c>
      <c r="AL176" s="79">
        <f t="shared" si="26"/>
        <v>99530.679999999527</v>
      </c>
      <c r="AN176" s="79">
        <v>47470.87</v>
      </c>
      <c r="AO176" s="79">
        <v>52059.809999999532</v>
      </c>
      <c r="AP176" s="79">
        <v>-6112.15</v>
      </c>
      <c r="AQ176" s="79">
        <v>-30347.78</v>
      </c>
      <c r="AR176" s="79">
        <v>-27660.92</v>
      </c>
      <c r="AS176" s="79">
        <f t="shared" si="27"/>
        <v>35409.829999999536</v>
      </c>
      <c r="BB176" s="103" t="s">
        <v>520</v>
      </c>
      <c r="BC176" s="101" t="s">
        <v>1009</v>
      </c>
      <c r="BD176" s="117">
        <v>93418.53</v>
      </c>
      <c r="BE176" s="117">
        <v>-30347.78</v>
      </c>
      <c r="BF176" s="117">
        <v>-27660.92</v>
      </c>
      <c r="BG176" s="117">
        <v>-33013.269999999997</v>
      </c>
      <c r="BH176" s="129">
        <v>-22994</v>
      </c>
      <c r="BI176" s="128">
        <f t="shared" si="28"/>
        <v>-20597.439999999995</v>
      </c>
      <c r="BM176" s="103" t="s">
        <v>520</v>
      </c>
      <c r="BN176" s="101" t="s">
        <v>1009</v>
      </c>
      <c r="BO176" s="117">
        <v>0</v>
      </c>
      <c r="BP176" s="131">
        <v>63070.75</v>
      </c>
      <c r="BQ176" s="117">
        <v>-27660.92</v>
      </c>
      <c r="BR176" s="117">
        <v>-33013.269999999997</v>
      </c>
      <c r="BS176" s="129">
        <v>-22994</v>
      </c>
      <c r="BT176" s="129"/>
      <c r="BU176" s="128">
        <f t="shared" si="33"/>
        <v>-20597.439999999995</v>
      </c>
      <c r="BW176" s="115">
        <f t="shared" si="34"/>
        <v>0</v>
      </c>
      <c r="BX176" s="131">
        <v>93418.53</v>
      </c>
      <c r="BY176" s="131">
        <v>-30347.78</v>
      </c>
      <c r="CC176" s="130">
        <f>+BO176+BP176</f>
        <v>63070.75</v>
      </c>
      <c r="CD176" s="115">
        <f>+BX176+BY176</f>
        <v>63070.75</v>
      </c>
      <c r="CE176" s="115">
        <f>+CC176-CD176</f>
        <v>0</v>
      </c>
    </row>
    <row r="177" spans="2:83">
      <c r="B177" s="103" t="s">
        <v>522</v>
      </c>
      <c r="C177" s="101" t="s">
        <v>1010</v>
      </c>
      <c r="D177" s="118">
        <v>-46777.09</v>
      </c>
      <c r="E177" s="118">
        <v>-81884.42</v>
      </c>
      <c r="F177" s="118">
        <v>-94404.63</v>
      </c>
      <c r="G177" s="127">
        <v>-151132.49</v>
      </c>
      <c r="H177" s="102">
        <f t="shared" si="25"/>
        <v>-374198.63</v>
      </c>
      <c r="K177" s="112" t="s">
        <v>522</v>
      </c>
      <c r="L177" s="111" t="s">
        <v>1010</v>
      </c>
      <c r="M177" s="117">
        <v>0</v>
      </c>
      <c r="N177" s="117">
        <v>-91359.21</v>
      </c>
      <c r="O177" s="117">
        <v>-46777.09</v>
      </c>
      <c r="P177" s="117">
        <v>-81884.42</v>
      </c>
      <c r="Q177" s="117">
        <v>-94404.63</v>
      </c>
      <c r="R177" s="117"/>
      <c r="S177" s="117">
        <f t="shared" si="29"/>
        <v>-314425.34999999998</v>
      </c>
      <c r="T177" s="117">
        <v>-343206.66000000096</v>
      </c>
      <c r="U177" s="115">
        <f t="shared" si="30"/>
        <v>28781.310000000987</v>
      </c>
      <c r="Y177" s="115">
        <f t="shared" si="31"/>
        <v>0</v>
      </c>
      <c r="Z177" s="117">
        <v>-28781.310000000987</v>
      </c>
      <c r="AA177" s="115">
        <f t="shared" si="32"/>
        <v>0</v>
      </c>
      <c r="AH177" s="79"/>
      <c r="AI177" s="79"/>
      <c r="AJ177" s="79">
        <v>-20951.64</v>
      </c>
      <c r="AK177" s="79">
        <v>-28781.310000000987</v>
      </c>
      <c r="AL177" s="79">
        <f t="shared" si="26"/>
        <v>-28781.310000000987</v>
      </c>
      <c r="AN177" s="79">
        <v>-20951.64</v>
      </c>
      <c r="AO177" s="79">
        <v>-28781.310000000987</v>
      </c>
      <c r="AP177" s="79">
        <v>-91359.21</v>
      </c>
      <c r="AQ177" s="79">
        <v>-46777.09</v>
      </c>
      <c r="AR177" s="79">
        <v>-81884.42</v>
      </c>
      <c r="AS177" s="79">
        <f t="shared" si="27"/>
        <v>-269753.67000000097</v>
      </c>
      <c r="BB177" s="103" t="s">
        <v>522</v>
      </c>
      <c r="BC177" s="101" t="s">
        <v>1010</v>
      </c>
      <c r="BD177" s="117">
        <v>-91359.21</v>
      </c>
      <c r="BE177" s="117">
        <v>-46777.09</v>
      </c>
      <c r="BF177" s="117">
        <v>-81884.42</v>
      </c>
      <c r="BG177" s="117">
        <v>-94404.63</v>
      </c>
      <c r="BH177" s="129">
        <v>-151132.49</v>
      </c>
      <c r="BI177" s="128">
        <f t="shared" si="28"/>
        <v>-465557.83999999997</v>
      </c>
      <c r="BM177" s="103" t="s">
        <v>522</v>
      </c>
      <c r="BN177" s="101" t="s">
        <v>1010</v>
      </c>
      <c r="BO177" s="117">
        <v>0</v>
      </c>
      <c r="BP177" s="117">
        <v>-46777.09</v>
      </c>
      <c r="BQ177" s="117">
        <v>-81884.42</v>
      </c>
      <c r="BR177" s="117">
        <v>-94404.63</v>
      </c>
      <c r="BS177" s="129">
        <v>-151132.49</v>
      </c>
      <c r="BT177" s="129"/>
      <c r="BU177" s="128">
        <f t="shared" si="33"/>
        <v>-374198.63</v>
      </c>
      <c r="BW177" s="115">
        <f t="shared" si="34"/>
        <v>-91359.209999999963</v>
      </c>
      <c r="BX177" s="117">
        <v>-91359.21</v>
      </c>
      <c r="BY177" s="117"/>
    </row>
    <row r="178" spans="2:83">
      <c r="B178" s="103" t="s">
        <v>524</v>
      </c>
      <c r="C178" s="101" t="s">
        <v>1011</v>
      </c>
      <c r="D178" s="118">
        <v>-458734.83</v>
      </c>
      <c r="E178" s="118">
        <v>-741278.64</v>
      </c>
      <c r="F178" s="118">
        <v>-512330.65</v>
      </c>
      <c r="G178" s="127">
        <v>-579118.16</v>
      </c>
      <c r="H178" s="102">
        <f t="shared" si="25"/>
        <v>-2291462.2800000003</v>
      </c>
      <c r="K178" s="112" t="s">
        <v>524</v>
      </c>
      <c r="L178" s="111" t="s">
        <v>1011</v>
      </c>
      <c r="M178" s="117">
        <v>0</v>
      </c>
      <c r="N178" s="117">
        <v>-182083.71</v>
      </c>
      <c r="O178" s="117">
        <v>-458734.83</v>
      </c>
      <c r="P178" s="117">
        <v>-741278.64</v>
      </c>
      <c r="Q178" s="117">
        <v>-512330.65</v>
      </c>
      <c r="R178" s="117"/>
      <c r="S178" s="117">
        <f t="shared" si="29"/>
        <v>-1894427.83</v>
      </c>
      <c r="T178" s="117">
        <v>-2299945.8800000018</v>
      </c>
      <c r="U178" s="115">
        <f t="shared" si="30"/>
        <v>405518.05000000168</v>
      </c>
      <c r="Y178" s="115">
        <f t="shared" si="31"/>
        <v>0</v>
      </c>
      <c r="Z178" s="117">
        <v>-405518.05000000168</v>
      </c>
      <c r="AA178" s="115">
        <f t="shared" si="32"/>
        <v>0</v>
      </c>
      <c r="AH178" s="79"/>
      <c r="AI178" s="79"/>
      <c r="AJ178" s="79">
        <v>-520448.51</v>
      </c>
      <c r="AK178" s="79">
        <v>-405518.05000000168</v>
      </c>
      <c r="AL178" s="79">
        <f t="shared" si="26"/>
        <v>-405518.05000000168</v>
      </c>
      <c r="AN178" s="79">
        <v>-520448.51</v>
      </c>
      <c r="AO178" s="79">
        <v>-405518.05000000168</v>
      </c>
      <c r="AP178" s="79">
        <v>-182083.71</v>
      </c>
      <c r="AQ178" s="79">
        <v>-458734.83</v>
      </c>
      <c r="AR178" s="79">
        <v>-741278.64</v>
      </c>
      <c r="AS178" s="79">
        <f t="shared" si="27"/>
        <v>-2308063.7400000016</v>
      </c>
      <c r="BB178" s="103" t="s">
        <v>524</v>
      </c>
      <c r="BC178" s="101" t="s">
        <v>1011</v>
      </c>
      <c r="BD178" s="117">
        <v>-182083.71</v>
      </c>
      <c r="BE178" s="117">
        <v>-458734.83</v>
      </c>
      <c r="BF178" s="117">
        <v>-741278.64</v>
      </c>
      <c r="BG178" s="117">
        <v>-512330.65</v>
      </c>
      <c r="BH178" s="129">
        <v>-579118.16</v>
      </c>
      <c r="BI178" s="128">
        <f t="shared" si="28"/>
        <v>-2473545.9900000002</v>
      </c>
      <c r="BM178" s="103" t="s">
        <v>524</v>
      </c>
      <c r="BN178" s="101" t="s">
        <v>1011</v>
      </c>
      <c r="BO178" s="117">
        <v>0</v>
      </c>
      <c r="BP178" s="117">
        <v>-458734.83</v>
      </c>
      <c r="BQ178" s="117">
        <v>-741278.64</v>
      </c>
      <c r="BR178" s="117">
        <v>-512330.65</v>
      </c>
      <c r="BS178" s="129">
        <v>-579118.16</v>
      </c>
      <c r="BT178" s="129"/>
      <c r="BU178" s="128">
        <f t="shared" si="33"/>
        <v>-2291462.2800000003</v>
      </c>
      <c r="BW178" s="115">
        <f t="shared" si="34"/>
        <v>-182083.70999999996</v>
      </c>
      <c r="BX178" s="117">
        <v>-182083.71</v>
      </c>
      <c r="BY178" s="117"/>
    </row>
    <row r="179" spans="2:83">
      <c r="B179" s="103" t="s">
        <v>526</v>
      </c>
      <c r="C179" s="101" t="s">
        <v>1012</v>
      </c>
      <c r="D179" s="118">
        <v>-164582.37</v>
      </c>
      <c r="E179" s="118">
        <v>-195069.48</v>
      </c>
      <c r="F179" s="118">
        <v>-154810.72</v>
      </c>
      <c r="G179" s="127">
        <v>-210323.57</v>
      </c>
      <c r="H179" s="102">
        <f t="shared" si="25"/>
        <v>-724786.1399999999</v>
      </c>
      <c r="K179" s="112" t="s">
        <v>526</v>
      </c>
      <c r="L179" s="111" t="s">
        <v>1012</v>
      </c>
      <c r="M179" s="117">
        <v>0</v>
      </c>
      <c r="N179" s="117">
        <v>-135703.21</v>
      </c>
      <c r="O179" s="117">
        <v>-164582.37</v>
      </c>
      <c r="P179" s="117">
        <v>-195069.48</v>
      </c>
      <c r="Q179" s="117">
        <v>-154810.72</v>
      </c>
      <c r="R179" s="117"/>
      <c r="S179" s="117">
        <f t="shared" si="29"/>
        <v>-650165.77999999991</v>
      </c>
      <c r="T179" s="117">
        <v>-751571.48000000103</v>
      </c>
      <c r="U179" s="115">
        <f t="shared" si="30"/>
        <v>101405.70000000112</v>
      </c>
      <c r="Y179" s="115">
        <f t="shared" si="31"/>
        <v>0</v>
      </c>
      <c r="Z179" s="117">
        <v>-101405.70000000112</v>
      </c>
      <c r="AA179" s="115">
        <f t="shared" si="32"/>
        <v>0</v>
      </c>
      <c r="AH179" s="79"/>
      <c r="AI179" s="79"/>
      <c r="AJ179" s="79">
        <v>-164828.01</v>
      </c>
      <c r="AK179" s="79">
        <v>-101405.70000000112</v>
      </c>
      <c r="AL179" s="79">
        <f t="shared" si="26"/>
        <v>-101405.70000000112</v>
      </c>
      <c r="AN179" s="79">
        <v>-164828.01</v>
      </c>
      <c r="AO179" s="79">
        <v>-101405.70000000112</v>
      </c>
      <c r="AP179" s="79">
        <v>-135703.21</v>
      </c>
      <c r="AQ179" s="79">
        <v>-164582.37</v>
      </c>
      <c r="AR179" s="79">
        <v>-195069.48</v>
      </c>
      <c r="AS179" s="79">
        <f t="shared" si="27"/>
        <v>-761588.77000000107</v>
      </c>
      <c r="BB179" s="103" t="s">
        <v>526</v>
      </c>
      <c r="BC179" s="101" t="s">
        <v>1012</v>
      </c>
      <c r="BD179" s="117">
        <v>-135703.21</v>
      </c>
      <c r="BE179" s="117">
        <v>-164582.37</v>
      </c>
      <c r="BF179" s="117">
        <v>-195069.48</v>
      </c>
      <c r="BG179" s="117">
        <v>-154810.72</v>
      </c>
      <c r="BH179" s="129">
        <v>-210323.57</v>
      </c>
      <c r="BI179" s="128">
        <f t="shared" si="28"/>
        <v>-860489.34999999986</v>
      </c>
      <c r="BM179" s="103" t="s">
        <v>526</v>
      </c>
      <c r="BN179" s="101" t="s">
        <v>1012</v>
      </c>
      <c r="BO179" s="117">
        <v>0</v>
      </c>
      <c r="BP179" s="117">
        <v>-164582.37</v>
      </c>
      <c r="BQ179" s="117">
        <v>-195069.48</v>
      </c>
      <c r="BR179" s="117">
        <v>-154810.72</v>
      </c>
      <c r="BS179" s="129">
        <v>-210323.57</v>
      </c>
      <c r="BT179" s="129"/>
      <c r="BU179" s="128">
        <f t="shared" si="33"/>
        <v>-724786.1399999999</v>
      </c>
      <c r="BW179" s="115">
        <f t="shared" si="34"/>
        <v>-135703.20999999996</v>
      </c>
      <c r="BX179" s="117">
        <v>-135703.21</v>
      </c>
      <c r="BY179" s="117"/>
    </row>
    <row r="180" spans="2:83">
      <c r="B180" s="103" t="s">
        <v>528</v>
      </c>
      <c r="C180" s="101" t="s">
        <v>1013</v>
      </c>
      <c r="D180" s="118">
        <v>639359.82999999996</v>
      </c>
      <c r="E180" s="118">
        <v>-111385.53</v>
      </c>
      <c r="F180" s="118">
        <v>-279155.90000000002</v>
      </c>
      <c r="G180" s="127">
        <v>172509.67</v>
      </c>
      <c r="H180" s="102">
        <f t="shared" si="25"/>
        <v>421328.06999999995</v>
      </c>
      <c r="K180" s="112" t="s">
        <v>528</v>
      </c>
      <c r="L180" s="111" t="s">
        <v>1013</v>
      </c>
      <c r="M180" s="117">
        <v>0</v>
      </c>
      <c r="N180" s="117">
        <v>386119.29</v>
      </c>
      <c r="O180" s="117">
        <v>253240.54</v>
      </c>
      <c r="P180" s="117">
        <v>-111385.53</v>
      </c>
      <c r="Q180" s="117">
        <v>-279155.90000000002</v>
      </c>
      <c r="R180" s="117"/>
      <c r="S180" s="117">
        <f t="shared" si="29"/>
        <v>248818.39999999991</v>
      </c>
      <c r="T180" s="117">
        <v>248818.39999999991</v>
      </c>
      <c r="U180" s="115">
        <f t="shared" si="30"/>
        <v>0</v>
      </c>
      <c r="W180" s="115">
        <f>+M180+N180</f>
        <v>386119.29</v>
      </c>
      <c r="Y180" s="115">
        <f t="shared" si="31"/>
        <v>347492.69</v>
      </c>
      <c r="Z180" s="117">
        <v>347492.69</v>
      </c>
      <c r="AA180" s="115">
        <f t="shared" si="32"/>
        <v>347492.69</v>
      </c>
      <c r="AH180" s="79"/>
      <c r="AI180" s="79"/>
      <c r="AJ180" s="79">
        <v>184870.9</v>
      </c>
      <c r="AK180" s="79">
        <v>162621.79000000376</v>
      </c>
      <c r="AL180" s="79">
        <f t="shared" si="26"/>
        <v>347492.69000000379</v>
      </c>
      <c r="AN180" s="79">
        <v>184870.9</v>
      </c>
      <c r="AO180" s="79">
        <v>162621.79000000376</v>
      </c>
      <c r="AP180" s="79">
        <v>38626.6</v>
      </c>
      <c r="AQ180" s="79">
        <v>253240.54</v>
      </c>
      <c r="AR180" s="79">
        <v>-111385.53</v>
      </c>
      <c r="AS180" s="79">
        <f t="shared" si="27"/>
        <v>527974.30000000377</v>
      </c>
      <c r="BB180" s="103" t="s">
        <v>528</v>
      </c>
      <c r="BC180" s="101" t="s">
        <v>1013</v>
      </c>
      <c r="BD180" s="117">
        <v>386119.29</v>
      </c>
      <c r="BE180" s="117">
        <v>253240.54</v>
      </c>
      <c r="BF180" s="117">
        <v>-111385.53</v>
      </c>
      <c r="BG180" s="117">
        <v>-279155.90000000002</v>
      </c>
      <c r="BH180" s="129">
        <v>172509.67</v>
      </c>
      <c r="BI180" s="128">
        <f t="shared" si="28"/>
        <v>421328.06999999995</v>
      </c>
      <c r="BM180" s="103" t="s">
        <v>528</v>
      </c>
      <c r="BN180" s="101" t="s">
        <v>1013</v>
      </c>
      <c r="BO180" s="117">
        <v>0</v>
      </c>
      <c r="BP180" s="131">
        <v>639359.82999999996</v>
      </c>
      <c r="BQ180" s="117">
        <v>-111385.53</v>
      </c>
      <c r="BR180" s="117">
        <v>-279155.90000000002</v>
      </c>
      <c r="BS180" s="129">
        <v>172509.67</v>
      </c>
      <c r="BT180" s="129"/>
      <c r="BU180" s="128">
        <f t="shared" si="33"/>
        <v>421328.06999999995</v>
      </c>
      <c r="BW180" s="115">
        <f t="shared" si="34"/>
        <v>0</v>
      </c>
      <c r="BX180" s="131">
        <v>386119.29</v>
      </c>
      <c r="BY180" s="131">
        <v>253240.54</v>
      </c>
      <c r="CC180" s="130">
        <f>+BO180+BP180</f>
        <v>639359.82999999996</v>
      </c>
      <c r="CD180" s="115">
        <f>+BX180+BY180</f>
        <v>639359.82999999996</v>
      </c>
      <c r="CE180" s="115">
        <f>+CC180-CD180</f>
        <v>0</v>
      </c>
    </row>
    <row r="181" spans="2:83">
      <c r="B181" s="103" t="s">
        <v>530</v>
      </c>
      <c r="C181" s="101" t="s">
        <v>1014</v>
      </c>
      <c r="D181" s="118">
        <v>980766.3</v>
      </c>
      <c r="E181" s="118">
        <v>-788817.21</v>
      </c>
      <c r="F181" s="118">
        <v>246679.5</v>
      </c>
      <c r="G181" s="127">
        <v>-107221.09</v>
      </c>
      <c r="H181" s="102">
        <f t="shared" si="25"/>
        <v>331407.50000000012</v>
      </c>
      <c r="K181" s="112" t="s">
        <v>530</v>
      </c>
      <c r="L181" s="111" t="s">
        <v>1014</v>
      </c>
      <c r="M181" s="117">
        <v>0</v>
      </c>
      <c r="N181" s="117">
        <v>874069.95</v>
      </c>
      <c r="O181" s="117">
        <v>106696.35</v>
      </c>
      <c r="P181" s="117">
        <v>-788817.21</v>
      </c>
      <c r="Q181" s="117">
        <v>246679.5</v>
      </c>
      <c r="R181" s="117"/>
      <c r="S181" s="117">
        <f t="shared" si="29"/>
        <v>438628.58999999997</v>
      </c>
      <c r="T181" s="117">
        <v>438628.58999999997</v>
      </c>
      <c r="U181" s="115">
        <f t="shared" si="30"/>
        <v>0</v>
      </c>
      <c r="W181" s="115">
        <f>+M181+N181</f>
        <v>874069.95</v>
      </c>
      <c r="Y181" s="115">
        <f t="shared" si="31"/>
        <v>660427.19999999995</v>
      </c>
      <c r="Z181" s="117">
        <v>660427.19999999995</v>
      </c>
      <c r="AA181" s="115">
        <f t="shared" si="32"/>
        <v>660427.19999999995</v>
      </c>
      <c r="AH181" s="79"/>
      <c r="AI181" s="79"/>
      <c r="AJ181" s="79">
        <v>378574.18</v>
      </c>
      <c r="AK181" s="79">
        <v>281853.02000000048</v>
      </c>
      <c r="AL181" s="79">
        <f t="shared" si="26"/>
        <v>660427.20000000042</v>
      </c>
      <c r="AN181" s="79">
        <v>378574.18</v>
      </c>
      <c r="AO181" s="79">
        <v>281853.02000000048</v>
      </c>
      <c r="AP181" s="79">
        <v>213642.75</v>
      </c>
      <c r="AQ181" s="79">
        <v>106696.35</v>
      </c>
      <c r="AR181" s="79">
        <v>-788817.21</v>
      </c>
      <c r="AS181" s="79">
        <f t="shared" si="27"/>
        <v>191949.09000000043</v>
      </c>
      <c r="BB181" s="103" t="s">
        <v>530</v>
      </c>
      <c r="BC181" s="101" t="s">
        <v>1014</v>
      </c>
      <c r="BD181" s="117">
        <v>874069.95</v>
      </c>
      <c r="BE181" s="117">
        <v>106696.35</v>
      </c>
      <c r="BF181" s="117">
        <v>-788817.21</v>
      </c>
      <c r="BG181" s="117">
        <v>246679.5</v>
      </c>
      <c r="BH181" s="129">
        <v>-107221.09</v>
      </c>
      <c r="BI181" s="128">
        <f t="shared" si="28"/>
        <v>331407.5</v>
      </c>
      <c r="BM181" s="103" t="s">
        <v>530</v>
      </c>
      <c r="BN181" s="101" t="s">
        <v>1014</v>
      </c>
      <c r="BO181" s="117">
        <v>0</v>
      </c>
      <c r="BP181" s="131">
        <v>980766.3</v>
      </c>
      <c r="BQ181" s="117">
        <v>-788817.21</v>
      </c>
      <c r="BR181" s="117">
        <v>246679.5</v>
      </c>
      <c r="BS181" s="129">
        <v>-107221.09</v>
      </c>
      <c r="BT181" s="129"/>
      <c r="BU181" s="128">
        <f t="shared" si="33"/>
        <v>331407.50000000012</v>
      </c>
      <c r="BW181" s="115">
        <f t="shared" si="34"/>
        <v>0</v>
      </c>
      <c r="BX181" s="131">
        <v>874069.95</v>
      </c>
      <c r="BY181" s="131">
        <v>106696.35</v>
      </c>
      <c r="CC181" s="130">
        <f>+BO181+BP181</f>
        <v>980766.3</v>
      </c>
      <c r="CD181" s="115">
        <f>+BX181+BY181</f>
        <v>980766.29999999993</v>
      </c>
      <c r="CE181" s="115">
        <f>+CC181-CD181</f>
        <v>0</v>
      </c>
    </row>
    <row r="182" spans="2:83">
      <c r="B182" s="103" t="s">
        <v>532</v>
      </c>
      <c r="C182" s="101" t="s">
        <v>1015</v>
      </c>
      <c r="D182" s="118">
        <v>-222718.71</v>
      </c>
      <c r="E182" s="118">
        <v>-240444.7</v>
      </c>
      <c r="F182" s="118">
        <v>-270428.21000000002</v>
      </c>
      <c r="G182" s="127">
        <v>-324771.61</v>
      </c>
      <c r="H182" s="102">
        <f t="shared" si="25"/>
        <v>-1058363.23</v>
      </c>
      <c r="K182" s="112" t="s">
        <v>532</v>
      </c>
      <c r="L182" s="111" t="s">
        <v>1015</v>
      </c>
      <c r="M182" s="117">
        <v>0</v>
      </c>
      <c r="N182" s="117">
        <v>-127106.47</v>
      </c>
      <c r="O182" s="117">
        <v>-222718.71</v>
      </c>
      <c r="P182" s="117">
        <v>-240444.7</v>
      </c>
      <c r="Q182" s="117">
        <v>-270428.21000000002</v>
      </c>
      <c r="R182" s="117"/>
      <c r="S182" s="117">
        <f t="shared" si="29"/>
        <v>-860698.09000000008</v>
      </c>
      <c r="T182" s="117">
        <v>-883306.95999999926</v>
      </c>
      <c r="U182" s="115">
        <f t="shared" si="30"/>
        <v>22608.86999999918</v>
      </c>
      <c r="Y182" s="115">
        <f t="shared" si="31"/>
        <v>-1.1641532182693481E-10</v>
      </c>
      <c r="Z182" s="117">
        <v>-22608.869999999297</v>
      </c>
      <c r="AA182" s="115">
        <f t="shared" si="32"/>
        <v>-1.1641532182693481E-10</v>
      </c>
      <c r="AH182" s="79"/>
      <c r="AI182" s="79"/>
      <c r="AJ182" s="79">
        <v>-111870.97</v>
      </c>
      <c r="AK182" s="79">
        <v>-22608.869999999297</v>
      </c>
      <c r="AL182" s="79">
        <f t="shared" si="26"/>
        <v>-22608.869999999297</v>
      </c>
      <c r="AN182" s="79">
        <v>-111870.97</v>
      </c>
      <c r="AO182" s="79">
        <v>-22608.869999999297</v>
      </c>
      <c r="AP182" s="79">
        <v>-127106.47</v>
      </c>
      <c r="AQ182" s="79">
        <v>-222718.71</v>
      </c>
      <c r="AR182" s="79">
        <v>-240444.7</v>
      </c>
      <c r="AS182" s="79">
        <f t="shared" si="27"/>
        <v>-724749.71999999927</v>
      </c>
      <c r="BB182" s="103" t="s">
        <v>532</v>
      </c>
      <c r="BC182" s="101" t="s">
        <v>1015</v>
      </c>
      <c r="BD182" s="117">
        <v>-127106.47</v>
      </c>
      <c r="BE182" s="117">
        <v>-222718.71</v>
      </c>
      <c r="BF182" s="117">
        <v>-240444.7</v>
      </c>
      <c r="BG182" s="117">
        <v>-270428.21000000002</v>
      </c>
      <c r="BH182" s="129">
        <v>-324771.61</v>
      </c>
      <c r="BI182" s="128">
        <f t="shared" si="28"/>
        <v>-1185469.7000000002</v>
      </c>
      <c r="BM182" s="103" t="s">
        <v>532</v>
      </c>
      <c r="BN182" s="101" t="s">
        <v>1015</v>
      </c>
      <c r="BO182" s="117">
        <v>0</v>
      </c>
      <c r="BP182" s="117">
        <v>-222718.71</v>
      </c>
      <c r="BQ182" s="117">
        <v>-240444.7</v>
      </c>
      <c r="BR182" s="117">
        <v>-270428.21000000002</v>
      </c>
      <c r="BS182" s="129">
        <v>-324771.61</v>
      </c>
      <c r="BT182" s="129"/>
      <c r="BU182" s="128">
        <f t="shared" si="33"/>
        <v>-1058363.23</v>
      </c>
      <c r="BW182" s="115">
        <f t="shared" si="34"/>
        <v>-127106.4700000002</v>
      </c>
      <c r="BX182" s="117">
        <v>-127106.47</v>
      </c>
      <c r="BY182" s="117"/>
    </row>
    <row r="183" spans="2:83">
      <c r="B183" s="103" t="s">
        <v>534</v>
      </c>
      <c r="C183" s="101" t="s">
        <v>1016</v>
      </c>
      <c r="D183" s="118">
        <v>-221237.67</v>
      </c>
      <c r="E183" s="118">
        <v>-153292.87</v>
      </c>
      <c r="F183" s="118">
        <v>-172438.47</v>
      </c>
      <c r="G183" s="127">
        <v>-238048.42</v>
      </c>
      <c r="H183" s="102">
        <f t="shared" si="25"/>
        <v>-785017.43</v>
      </c>
      <c r="K183" s="112" t="s">
        <v>534</v>
      </c>
      <c r="L183" s="111" t="s">
        <v>1016</v>
      </c>
      <c r="M183" s="117">
        <v>0</v>
      </c>
      <c r="N183" s="117">
        <v>-167938.78</v>
      </c>
      <c r="O183" s="117">
        <v>-221237.67</v>
      </c>
      <c r="P183" s="117">
        <v>-153292.87</v>
      </c>
      <c r="Q183" s="117">
        <v>-172438.47</v>
      </c>
      <c r="R183" s="117"/>
      <c r="S183" s="117">
        <f t="shared" si="29"/>
        <v>-714907.79</v>
      </c>
      <c r="T183" s="117">
        <v>-830380.36999999871</v>
      </c>
      <c r="U183" s="115">
        <f t="shared" si="30"/>
        <v>115472.57999999868</v>
      </c>
      <c r="Y183" s="115">
        <f t="shared" si="31"/>
        <v>0</v>
      </c>
      <c r="Z183" s="117">
        <v>-115472.57999999868</v>
      </c>
      <c r="AA183" s="115">
        <f t="shared" si="32"/>
        <v>0</v>
      </c>
      <c r="AH183" s="79"/>
      <c r="AI183" s="79"/>
      <c r="AJ183" s="79">
        <v>-95345.32</v>
      </c>
      <c r="AK183" s="79">
        <v>-115472.57999999868</v>
      </c>
      <c r="AL183" s="79">
        <f t="shared" si="26"/>
        <v>-115472.57999999868</v>
      </c>
      <c r="AN183" s="79">
        <v>-95345.32</v>
      </c>
      <c r="AO183" s="79">
        <v>-115472.57999999868</v>
      </c>
      <c r="AP183" s="79">
        <v>-167938.78</v>
      </c>
      <c r="AQ183" s="79">
        <v>-221237.67</v>
      </c>
      <c r="AR183" s="79">
        <v>-153292.87</v>
      </c>
      <c r="AS183" s="79">
        <f t="shared" si="27"/>
        <v>-753287.21999999869</v>
      </c>
      <c r="BB183" s="103" t="s">
        <v>534</v>
      </c>
      <c r="BC183" s="101" t="s">
        <v>1016</v>
      </c>
      <c r="BD183" s="117">
        <v>-167938.78</v>
      </c>
      <c r="BE183" s="117">
        <v>-221237.67</v>
      </c>
      <c r="BF183" s="117">
        <v>-153292.87</v>
      </c>
      <c r="BG183" s="117">
        <v>-172438.47</v>
      </c>
      <c r="BH183" s="129">
        <v>-238048.42</v>
      </c>
      <c r="BI183" s="128">
        <f t="shared" si="28"/>
        <v>-952956.21000000008</v>
      </c>
      <c r="BM183" s="103" t="s">
        <v>534</v>
      </c>
      <c r="BN183" s="101" t="s">
        <v>1016</v>
      </c>
      <c r="BO183" s="117">
        <v>0</v>
      </c>
      <c r="BP183" s="117">
        <v>-221237.67</v>
      </c>
      <c r="BQ183" s="117">
        <v>-153292.87</v>
      </c>
      <c r="BR183" s="117">
        <v>-172438.47</v>
      </c>
      <c r="BS183" s="129">
        <v>-238048.42</v>
      </c>
      <c r="BT183" s="129"/>
      <c r="BU183" s="128">
        <f t="shared" si="33"/>
        <v>-785017.43</v>
      </c>
      <c r="BW183" s="115">
        <f t="shared" si="34"/>
        <v>-167938.78000000003</v>
      </c>
      <c r="BX183" s="117">
        <v>-167938.78</v>
      </c>
      <c r="BY183" s="117"/>
    </row>
    <row r="184" spans="2:83">
      <c r="B184" s="103" t="s">
        <v>536</v>
      </c>
      <c r="C184" s="101" t="s">
        <v>1017</v>
      </c>
      <c r="D184" s="118">
        <v>-8936.01</v>
      </c>
      <c r="E184" s="118">
        <v>6329.31</v>
      </c>
      <c r="F184" s="118">
        <v>95253.31</v>
      </c>
      <c r="G184" s="127">
        <v>58654.239999999998</v>
      </c>
      <c r="H184" s="102">
        <f t="shared" si="25"/>
        <v>151300.85</v>
      </c>
      <c r="K184" s="112" t="s">
        <v>536</v>
      </c>
      <c r="L184" s="111" t="s">
        <v>1017</v>
      </c>
      <c r="M184" s="117">
        <v>0</v>
      </c>
      <c r="N184" s="117">
        <v>-49312.46</v>
      </c>
      <c r="O184" s="117">
        <v>-8936.01</v>
      </c>
      <c r="P184" s="117">
        <v>55641.77</v>
      </c>
      <c r="Q184" s="117">
        <v>95253.31</v>
      </c>
      <c r="R184" s="117"/>
      <c r="S184" s="117">
        <f t="shared" si="29"/>
        <v>92646.609999999986</v>
      </c>
      <c r="T184" s="117">
        <v>92646.609999999986</v>
      </c>
      <c r="U184" s="115">
        <f t="shared" si="30"/>
        <v>0</v>
      </c>
      <c r="W184" s="115">
        <f>+M184+N184</f>
        <v>-49312.46</v>
      </c>
      <c r="Y184" s="115">
        <f t="shared" si="31"/>
        <v>96132.95</v>
      </c>
      <c r="Z184" s="117">
        <v>96132.95</v>
      </c>
      <c r="AA184" s="115">
        <f t="shared" si="32"/>
        <v>96132.95</v>
      </c>
      <c r="AH184" s="79"/>
      <c r="AI184" s="79"/>
      <c r="AJ184" s="79">
        <v>81639.86</v>
      </c>
      <c r="AK184" s="79">
        <v>14493.089999999851</v>
      </c>
      <c r="AL184" s="79">
        <f t="shared" si="26"/>
        <v>96132.949999999852</v>
      </c>
      <c r="AN184" s="79">
        <v>81639.86</v>
      </c>
      <c r="AO184" s="79">
        <v>14493.089999999851</v>
      </c>
      <c r="AP184" s="79">
        <v>-145445.41</v>
      </c>
      <c r="AQ184" s="79">
        <v>-8936.01</v>
      </c>
      <c r="AR184" s="79">
        <v>55641.77</v>
      </c>
      <c r="AS184" s="79">
        <f t="shared" si="27"/>
        <v>-2606.7000000001572</v>
      </c>
      <c r="BB184" s="103" t="s">
        <v>536</v>
      </c>
      <c r="BC184" s="101" t="s">
        <v>1017</v>
      </c>
      <c r="BD184" s="117">
        <v>-49312.46</v>
      </c>
      <c r="BE184" s="117">
        <v>-8936.01</v>
      </c>
      <c r="BF184" s="117">
        <v>55641.77</v>
      </c>
      <c r="BG184" s="117">
        <v>95253.31</v>
      </c>
      <c r="BH184" s="129">
        <v>58654.239999999998</v>
      </c>
      <c r="BI184" s="128">
        <f t="shared" si="28"/>
        <v>151300.84999999998</v>
      </c>
      <c r="BM184" s="103" t="s">
        <v>536</v>
      </c>
      <c r="BN184" s="101" t="s">
        <v>1017</v>
      </c>
      <c r="BO184" s="117">
        <v>0</v>
      </c>
      <c r="BP184" s="117">
        <v>-8936.01</v>
      </c>
      <c r="BQ184" s="131">
        <v>6329.31</v>
      </c>
      <c r="BR184" s="117">
        <v>95253.31</v>
      </c>
      <c r="BS184" s="129">
        <v>58654.239999999998</v>
      </c>
      <c r="BT184" s="129"/>
      <c r="BU184" s="128">
        <f t="shared" si="33"/>
        <v>151300.85</v>
      </c>
      <c r="BW184" s="115">
        <f t="shared" si="34"/>
        <v>0</v>
      </c>
      <c r="BX184" s="131">
        <v>-49312.46</v>
      </c>
      <c r="BY184" s="117"/>
      <c r="BZ184" s="131">
        <v>55641.77</v>
      </c>
      <c r="CC184" s="130">
        <f>+BO184+BQ184</f>
        <v>6329.31</v>
      </c>
      <c r="CD184" s="115">
        <f>+BX184+BZ184</f>
        <v>6329.3099999999977</v>
      </c>
      <c r="CE184" s="115">
        <f>+CC184-CD184</f>
        <v>0</v>
      </c>
    </row>
    <row r="185" spans="2:83">
      <c r="B185" s="103" t="s">
        <v>540</v>
      </c>
      <c r="C185" s="101" t="s">
        <v>1018</v>
      </c>
      <c r="D185" s="118">
        <v>-89281.279999999999</v>
      </c>
      <c r="E185" s="118">
        <v>-62905.94</v>
      </c>
      <c r="F185" s="118">
        <v>-68738.600000000006</v>
      </c>
      <c r="G185" s="127">
        <v>-92879.61</v>
      </c>
      <c r="H185" s="102">
        <f t="shared" si="25"/>
        <v>-313805.43</v>
      </c>
      <c r="K185" s="112" t="s">
        <v>540</v>
      </c>
      <c r="L185" s="111" t="s">
        <v>1018</v>
      </c>
      <c r="M185" s="117">
        <v>0</v>
      </c>
      <c r="N185" s="117">
        <v>-37765.26</v>
      </c>
      <c r="O185" s="117">
        <v>-89281.279999999999</v>
      </c>
      <c r="P185" s="117">
        <v>-62905.94</v>
      </c>
      <c r="Q185" s="117">
        <v>-68738.600000000006</v>
      </c>
      <c r="R185" s="117"/>
      <c r="S185" s="117">
        <f t="shared" si="29"/>
        <v>-258691.08000000002</v>
      </c>
      <c r="T185" s="117">
        <v>-299793.35000000015</v>
      </c>
      <c r="U185" s="115">
        <f t="shared" si="30"/>
        <v>41102.270000000135</v>
      </c>
      <c r="Y185" s="115">
        <f t="shared" si="31"/>
        <v>0</v>
      </c>
      <c r="Z185" s="117">
        <v>-41102.270000000135</v>
      </c>
      <c r="AA185" s="115">
        <f t="shared" si="32"/>
        <v>0</v>
      </c>
      <c r="AH185" s="79"/>
      <c r="AI185" s="79"/>
      <c r="AJ185" s="79">
        <v>-66452.77</v>
      </c>
      <c r="AK185" s="79">
        <v>-41102.270000000135</v>
      </c>
      <c r="AL185" s="79">
        <f t="shared" si="26"/>
        <v>-41102.270000000135</v>
      </c>
      <c r="AN185" s="79">
        <v>-66452.77</v>
      </c>
      <c r="AO185" s="79">
        <v>-41102.270000000135</v>
      </c>
      <c r="AP185" s="79">
        <v>-37765.26</v>
      </c>
      <c r="AQ185" s="79">
        <v>-89281.279999999999</v>
      </c>
      <c r="AR185" s="79">
        <v>-62905.94</v>
      </c>
      <c r="AS185" s="79">
        <f t="shared" si="27"/>
        <v>-297507.52000000014</v>
      </c>
      <c r="BB185" s="103" t="s">
        <v>540</v>
      </c>
      <c r="BC185" s="101" t="s">
        <v>1018</v>
      </c>
      <c r="BD185" s="117">
        <v>-37765.26</v>
      </c>
      <c r="BE185" s="117">
        <v>-89281.279999999999</v>
      </c>
      <c r="BF185" s="117">
        <v>-62905.94</v>
      </c>
      <c r="BG185" s="117">
        <v>-68738.600000000006</v>
      </c>
      <c r="BH185" s="129">
        <v>-92879.61</v>
      </c>
      <c r="BI185" s="128">
        <f t="shared" si="28"/>
        <v>-351570.69</v>
      </c>
      <c r="BM185" s="103" t="s">
        <v>540</v>
      </c>
      <c r="BN185" s="101" t="s">
        <v>1018</v>
      </c>
      <c r="BO185" s="117">
        <v>0</v>
      </c>
      <c r="BP185" s="117">
        <v>-89281.279999999999</v>
      </c>
      <c r="BQ185" s="117">
        <v>-62905.94</v>
      </c>
      <c r="BR185" s="117">
        <v>-68738.600000000006</v>
      </c>
      <c r="BS185" s="129">
        <v>-92879.61</v>
      </c>
      <c r="BT185" s="129"/>
      <c r="BU185" s="128">
        <f t="shared" si="33"/>
        <v>-313805.43</v>
      </c>
      <c r="BW185" s="115">
        <f t="shared" si="34"/>
        <v>-37765.260000000009</v>
      </c>
      <c r="BX185" s="117">
        <v>-37765.26</v>
      </c>
      <c r="BY185" s="117"/>
    </row>
    <row r="186" spans="2:83">
      <c r="B186" s="103" t="s">
        <v>542</v>
      </c>
      <c r="C186" s="101" t="s">
        <v>1019</v>
      </c>
      <c r="D186" s="118">
        <v>-87160.33</v>
      </c>
      <c r="E186" s="118">
        <v>-96015.35</v>
      </c>
      <c r="F186" s="118">
        <v>-99937.57</v>
      </c>
      <c r="G186" s="127">
        <v>-72741.95</v>
      </c>
      <c r="H186" s="102">
        <f t="shared" si="25"/>
        <v>-355855.2</v>
      </c>
      <c r="K186" s="112" t="s">
        <v>542</v>
      </c>
      <c r="L186" s="111" t="s">
        <v>1019</v>
      </c>
      <c r="M186" s="117">
        <v>0</v>
      </c>
      <c r="N186" s="117">
        <v>-83025.14</v>
      </c>
      <c r="O186" s="117">
        <v>-87160.33</v>
      </c>
      <c r="P186" s="117">
        <v>-96015.35</v>
      </c>
      <c r="Q186" s="117">
        <v>-99937.57</v>
      </c>
      <c r="R186" s="117"/>
      <c r="S186" s="117">
        <f t="shared" si="29"/>
        <v>-366138.39</v>
      </c>
      <c r="T186" s="117">
        <v>-427497.56</v>
      </c>
      <c r="U186" s="115">
        <f t="shared" si="30"/>
        <v>61359.169999999984</v>
      </c>
      <c r="Y186" s="115">
        <f t="shared" si="31"/>
        <v>0</v>
      </c>
      <c r="Z186" s="117">
        <v>-61359.170000000013</v>
      </c>
      <c r="AA186" s="115">
        <f t="shared" si="32"/>
        <v>0</v>
      </c>
      <c r="AH186" s="79"/>
      <c r="AI186" s="79"/>
      <c r="AJ186" s="79">
        <v>-63960.71</v>
      </c>
      <c r="AK186" s="79">
        <v>-61359.170000000013</v>
      </c>
      <c r="AL186" s="79">
        <f t="shared" si="26"/>
        <v>-61359.170000000013</v>
      </c>
      <c r="AN186" s="79">
        <v>-63960.71</v>
      </c>
      <c r="AO186" s="79">
        <v>-61359.170000000013</v>
      </c>
      <c r="AP186" s="79">
        <v>-83025.14</v>
      </c>
      <c r="AQ186" s="79">
        <v>-87160.33</v>
      </c>
      <c r="AR186" s="79">
        <v>-96015.35</v>
      </c>
      <c r="AS186" s="79">
        <f t="shared" si="27"/>
        <v>-391520.70000000007</v>
      </c>
      <c r="BB186" s="103" t="s">
        <v>542</v>
      </c>
      <c r="BC186" s="101" t="s">
        <v>1019</v>
      </c>
      <c r="BD186" s="117">
        <v>-83025.14</v>
      </c>
      <c r="BE186" s="117">
        <v>-87160.33</v>
      </c>
      <c r="BF186" s="117">
        <v>-96015.35</v>
      </c>
      <c r="BG186" s="117">
        <v>-99937.57</v>
      </c>
      <c r="BH186" s="129">
        <v>-72741.95</v>
      </c>
      <c r="BI186" s="128">
        <f t="shared" si="28"/>
        <v>-438880.34</v>
      </c>
      <c r="BM186" s="103" t="s">
        <v>542</v>
      </c>
      <c r="BN186" s="101" t="s">
        <v>1019</v>
      </c>
      <c r="BO186" s="117">
        <v>0</v>
      </c>
      <c r="BP186" s="117">
        <v>-87160.33</v>
      </c>
      <c r="BQ186" s="117">
        <v>-96015.35</v>
      </c>
      <c r="BR186" s="117">
        <v>-99937.57</v>
      </c>
      <c r="BS186" s="129">
        <v>-72741.95</v>
      </c>
      <c r="BT186" s="129"/>
      <c r="BU186" s="128">
        <f t="shared" si="33"/>
        <v>-355855.2</v>
      </c>
      <c r="BW186" s="115">
        <f t="shared" si="34"/>
        <v>-83025.140000000014</v>
      </c>
      <c r="BX186" s="117">
        <v>-83025.14</v>
      </c>
      <c r="BY186" s="117"/>
    </row>
    <row r="187" spans="2:83">
      <c r="B187" s="103" t="s">
        <v>544</v>
      </c>
      <c r="C187" s="101" t="s">
        <v>1020</v>
      </c>
      <c r="D187" s="118">
        <v>-55423.65</v>
      </c>
      <c r="E187" s="118">
        <v>-79323.490000000005</v>
      </c>
      <c r="F187" s="118">
        <v>-96950.96</v>
      </c>
      <c r="G187" s="127">
        <v>-92990.09</v>
      </c>
      <c r="H187" s="102">
        <f t="shared" si="25"/>
        <v>-324688.19000000006</v>
      </c>
      <c r="K187" s="112" t="s">
        <v>544</v>
      </c>
      <c r="L187" s="111" t="s">
        <v>1020</v>
      </c>
      <c r="M187" s="117">
        <v>0</v>
      </c>
      <c r="N187" s="117">
        <v>-114941.66</v>
      </c>
      <c r="O187" s="117">
        <v>-55423.65</v>
      </c>
      <c r="P187" s="117">
        <v>-79323.490000000005</v>
      </c>
      <c r="Q187" s="117">
        <v>-96950.96</v>
      </c>
      <c r="R187" s="117"/>
      <c r="S187" s="117">
        <f t="shared" si="29"/>
        <v>-346639.76</v>
      </c>
      <c r="T187" s="117">
        <v>-428412.99999999959</v>
      </c>
      <c r="U187" s="115">
        <f t="shared" si="30"/>
        <v>81773.239999999583</v>
      </c>
      <c r="Y187" s="115">
        <f t="shared" si="31"/>
        <v>0</v>
      </c>
      <c r="Z187" s="117">
        <v>-81773.239999999583</v>
      </c>
      <c r="AA187" s="115">
        <f t="shared" si="32"/>
        <v>0</v>
      </c>
      <c r="AH187" s="79"/>
      <c r="AI187" s="79"/>
      <c r="AJ187" s="79">
        <v>-76816.929999999993</v>
      </c>
      <c r="AK187" s="79">
        <v>-81773.239999999583</v>
      </c>
      <c r="AL187" s="79">
        <f t="shared" si="26"/>
        <v>-81773.239999999583</v>
      </c>
      <c r="AN187" s="79">
        <v>-76816.929999999993</v>
      </c>
      <c r="AO187" s="79">
        <v>-81773.239999999583</v>
      </c>
      <c r="AP187" s="79">
        <v>-114941.66</v>
      </c>
      <c r="AQ187" s="79">
        <v>-55423.65</v>
      </c>
      <c r="AR187" s="79">
        <v>-79323.490000000005</v>
      </c>
      <c r="AS187" s="79">
        <f t="shared" si="27"/>
        <v>-408278.96999999962</v>
      </c>
      <c r="BB187" s="103" t="s">
        <v>544</v>
      </c>
      <c r="BC187" s="101" t="s">
        <v>1020</v>
      </c>
      <c r="BD187" s="117">
        <v>-114941.66</v>
      </c>
      <c r="BE187" s="117">
        <v>-55423.65</v>
      </c>
      <c r="BF187" s="117">
        <v>-79323.490000000005</v>
      </c>
      <c r="BG187" s="117">
        <v>-96950.96</v>
      </c>
      <c r="BH187" s="129">
        <v>-92990.09</v>
      </c>
      <c r="BI187" s="128">
        <f t="shared" si="28"/>
        <v>-439629.85</v>
      </c>
      <c r="BM187" s="103" t="s">
        <v>544</v>
      </c>
      <c r="BN187" s="101" t="s">
        <v>1020</v>
      </c>
      <c r="BO187" s="117">
        <v>0</v>
      </c>
      <c r="BP187" s="117">
        <v>-55423.65</v>
      </c>
      <c r="BQ187" s="117">
        <v>-79323.490000000005</v>
      </c>
      <c r="BR187" s="117">
        <v>-96950.96</v>
      </c>
      <c r="BS187" s="129">
        <v>-92990.09</v>
      </c>
      <c r="BT187" s="129"/>
      <c r="BU187" s="128">
        <f t="shared" si="33"/>
        <v>-324688.19000000006</v>
      </c>
      <c r="BW187" s="115">
        <f t="shared" si="34"/>
        <v>-114941.65999999992</v>
      </c>
      <c r="BX187" s="117">
        <v>-114941.66</v>
      </c>
      <c r="BY187" s="117"/>
    </row>
    <row r="188" spans="2:83">
      <c r="B188" s="103" t="s">
        <v>546</v>
      </c>
      <c r="C188" s="101" t="s">
        <v>1021</v>
      </c>
      <c r="D188" s="118">
        <v>0</v>
      </c>
      <c r="E188" s="118">
        <v>-44492.57</v>
      </c>
      <c r="F188" s="118">
        <v>-87330.16</v>
      </c>
      <c r="G188" s="127">
        <v>-73466.02</v>
      </c>
      <c r="H188" s="102">
        <f t="shared" si="25"/>
        <v>-205288.75</v>
      </c>
      <c r="K188" s="112" t="s">
        <v>546</v>
      </c>
      <c r="L188" s="111" t="s">
        <v>1021</v>
      </c>
      <c r="M188" s="117">
        <v>0</v>
      </c>
      <c r="N188" s="117">
        <v>-16580.78</v>
      </c>
      <c r="O188" s="117">
        <v>0</v>
      </c>
      <c r="P188" s="117">
        <v>-44492.57</v>
      </c>
      <c r="Q188" s="117">
        <v>-87330.16</v>
      </c>
      <c r="R188" s="117"/>
      <c r="S188" s="117">
        <f t="shared" si="29"/>
        <v>-148403.51</v>
      </c>
      <c r="T188" s="117">
        <v>-178584.95999999996</v>
      </c>
      <c r="U188" s="115">
        <f t="shared" si="30"/>
        <v>30181.449999999953</v>
      </c>
      <c r="Y188" s="115">
        <f t="shared" si="31"/>
        <v>0</v>
      </c>
      <c r="Z188" s="117">
        <v>-30181.449999999953</v>
      </c>
      <c r="AA188" s="115">
        <f t="shared" si="32"/>
        <v>0</v>
      </c>
      <c r="AH188" s="79"/>
      <c r="AI188" s="79"/>
      <c r="AJ188" s="79">
        <v>-31237.22</v>
      </c>
      <c r="AK188" s="79">
        <v>-30181.449999999953</v>
      </c>
      <c r="AL188" s="79">
        <f t="shared" si="26"/>
        <v>-30181.449999999953</v>
      </c>
      <c r="AN188" s="79">
        <v>-31237.22</v>
      </c>
      <c r="AO188" s="79">
        <v>-30181.449999999953</v>
      </c>
      <c r="AP188" s="79">
        <v>-16580.78</v>
      </c>
      <c r="AQ188" s="79">
        <v>2976.49</v>
      </c>
      <c r="AR188" s="79">
        <v>-44492.57</v>
      </c>
      <c r="AS188" s="79">
        <f t="shared" si="27"/>
        <v>-119515.52999999994</v>
      </c>
      <c r="BB188" s="103" t="s">
        <v>546</v>
      </c>
      <c r="BC188" s="101" t="s">
        <v>1021</v>
      </c>
      <c r="BD188" s="117">
        <v>-16580.78</v>
      </c>
      <c r="BE188" s="117">
        <v>0</v>
      </c>
      <c r="BF188" s="117">
        <v>-44492.57</v>
      </c>
      <c r="BG188" s="117">
        <v>-87330.16</v>
      </c>
      <c r="BH188" s="129">
        <v>-73466.02</v>
      </c>
      <c r="BI188" s="128">
        <f t="shared" si="28"/>
        <v>-221869.53000000003</v>
      </c>
      <c r="BM188" s="103" t="s">
        <v>546</v>
      </c>
      <c r="BN188" s="101" t="s">
        <v>1021</v>
      </c>
      <c r="BO188" s="117">
        <v>0</v>
      </c>
      <c r="BP188" s="117">
        <v>0</v>
      </c>
      <c r="BQ188" s="117">
        <v>-44492.57</v>
      </c>
      <c r="BR188" s="117">
        <v>-87330.16</v>
      </c>
      <c r="BS188" s="129">
        <v>-73466.02</v>
      </c>
      <c r="BT188" s="129"/>
      <c r="BU188" s="128">
        <f t="shared" si="33"/>
        <v>-205288.75</v>
      </c>
      <c r="BW188" s="115">
        <f t="shared" si="34"/>
        <v>-16580.780000000028</v>
      </c>
      <c r="BX188" s="117">
        <v>-16580.78</v>
      </c>
      <c r="BY188" s="117"/>
    </row>
    <row r="189" spans="2:83">
      <c r="B189" s="103" t="s">
        <v>548</v>
      </c>
      <c r="C189" s="101" t="s">
        <v>1022</v>
      </c>
      <c r="D189" s="118">
        <v>-20428.830000000002</v>
      </c>
      <c r="E189" s="118">
        <v>-159079.23000000001</v>
      </c>
      <c r="F189" s="118">
        <v>-285973.88</v>
      </c>
      <c r="G189" s="127">
        <v>-131668.04999999999</v>
      </c>
      <c r="H189" s="102">
        <f t="shared" si="25"/>
        <v>-597149.99</v>
      </c>
      <c r="K189" s="112" t="s">
        <v>548</v>
      </c>
      <c r="L189" s="111" t="s">
        <v>1022</v>
      </c>
      <c r="M189" s="117">
        <v>0</v>
      </c>
      <c r="N189" s="117">
        <v>0</v>
      </c>
      <c r="O189" s="117">
        <v>-20428.830000000002</v>
      </c>
      <c r="P189" s="117">
        <v>-159079.23000000001</v>
      </c>
      <c r="Q189" s="117">
        <v>-285973.88</v>
      </c>
      <c r="R189" s="117"/>
      <c r="S189" s="117">
        <f t="shared" si="29"/>
        <v>-465481.94</v>
      </c>
      <c r="T189" s="117">
        <v>-508961.43000000116</v>
      </c>
      <c r="U189" s="115">
        <f t="shared" si="30"/>
        <v>43479.490000001155</v>
      </c>
      <c r="Y189" s="115">
        <f t="shared" si="31"/>
        <v>0</v>
      </c>
      <c r="Z189" s="117">
        <v>-43479.490000001155</v>
      </c>
      <c r="AA189" s="115">
        <f t="shared" si="32"/>
        <v>0</v>
      </c>
      <c r="AH189" s="79"/>
      <c r="AI189" s="79"/>
      <c r="AJ189" s="79">
        <v>-87911.22</v>
      </c>
      <c r="AK189" s="79">
        <v>-43479.490000001155</v>
      </c>
      <c r="AL189" s="79">
        <f t="shared" si="26"/>
        <v>-43479.490000001155</v>
      </c>
      <c r="AN189" s="79">
        <v>-87911.22</v>
      </c>
      <c r="AO189" s="79">
        <v>-43479.490000001155</v>
      </c>
      <c r="AP189" s="79">
        <v>66976.36</v>
      </c>
      <c r="AQ189" s="79">
        <v>-20428.830000000002</v>
      </c>
      <c r="AR189" s="79">
        <v>-159079.23000000001</v>
      </c>
      <c r="AS189" s="79">
        <f t="shared" si="27"/>
        <v>-243922.41000000117</v>
      </c>
      <c r="BB189" s="103" t="s">
        <v>548</v>
      </c>
      <c r="BC189" s="101" t="s">
        <v>1022</v>
      </c>
      <c r="BD189" s="117">
        <v>0</v>
      </c>
      <c r="BE189" s="117">
        <v>-20428.830000000002</v>
      </c>
      <c r="BF189" s="117">
        <v>-159079.23000000001</v>
      </c>
      <c r="BG189" s="117">
        <v>-285973.88</v>
      </c>
      <c r="BH189" s="129">
        <v>-131668.04999999999</v>
      </c>
      <c r="BI189" s="128">
        <f t="shared" si="28"/>
        <v>-597149.99</v>
      </c>
      <c r="BM189" s="103" t="s">
        <v>548</v>
      </c>
      <c r="BN189" s="101" t="s">
        <v>1022</v>
      </c>
      <c r="BO189" s="117">
        <v>0</v>
      </c>
      <c r="BP189" s="117">
        <v>-20428.830000000002</v>
      </c>
      <c r="BQ189" s="117">
        <v>-159079.23000000001</v>
      </c>
      <c r="BR189" s="117">
        <v>-285973.88</v>
      </c>
      <c r="BS189" s="129">
        <v>-131668.04999999999</v>
      </c>
      <c r="BT189" s="129"/>
      <c r="BU189" s="128">
        <f t="shared" si="33"/>
        <v>-597149.99</v>
      </c>
      <c r="BW189" s="115">
        <f t="shared" si="34"/>
        <v>0</v>
      </c>
      <c r="BX189" s="117">
        <v>0</v>
      </c>
      <c r="BY189" s="117"/>
    </row>
    <row r="190" spans="2:83">
      <c r="B190" s="103" t="s">
        <v>549</v>
      </c>
      <c r="C190" s="101" t="s">
        <v>1023</v>
      </c>
      <c r="D190" s="118">
        <v>-129110.8</v>
      </c>
      <c r="E190" s="118">
        <v>-189300.97</v>
      </c>
      <c r="F190" s="118">
        <v>-172475.12</v>
      </c>
      <c r="G190" s="127">
        <v>-246033.23</v>
      </c>
      <c r="H190" s="102">
        <f t="shared" si="25"/>
        <v>-736920.12</v>
      </c>
      <c r="K190" s="112" t="s">
        <v>549</v>
      </c>
      <c r="L190" s="111" t="s">
        <v>1023</v>
      </c>
      <c r="M190" s="117">
        <v>0</v>
      </c>
      <c r="N190" s="117">
        <v>-115259.35</v>
      </c>
      <c r="O190" s="117">
        <v>-129110.8</v>
      </c>
      <c r="P190" s="117">
        <v>-189300.97</v>
      </c>
      <c r="Q190" s="117">
        <v>-172475.12</v>
      </c>
      <c r="R190" s="117"/>
      <c r="S190" s="117">
        <f t="shared" si="29"/>
        <v>-606146.24</v>
      </c>
      <c r="T190" s="117">
        <v>-686400.75999999931</v>
      </c>
      <c r="U190" s="115">
        <f t="shared" si="30"/>
        <v>80254.51999999932</v>
      </c>
      <c r="Y190" s="115">
        <f t="shared" si="31"/>
        <v>0</v>
      </c>
      <c r="Z190" s="117">
        <v>-80254.51999999932</v>
      </c>
      <c r="AA190" s="115">
        <f t="shared" si="32"/>
        <v>0</v>
      </c>
      <c r="AH190" s="79"/>
      <c r="AI190" s="79"/>
      <c r="AJ190" s="79">
        <v>-28278.97</v>
      </c>
      <c r="AK190" s="79">
        <v>-80254.51999999932</v>
      </c>
      <c r="AL190" s="79">
        <f t="shared" si="26"/>
        <v>-80254.51999999932</v>
      </c>
      <c r="AN190" s="79">
        <v>-28278.97</v>
      </c>
      <c r="AO190" s="79">
        <v>-80254.51999999932</v>
      </c>
      <c r="AP190" s="79">
        <v>-115259.35</v>
      </c>
      <c r="AQ190" s="79">
        <v>-129110.8</v>
      </c>
      <c r="AR190" s="79">
        <v>-189300.97</v>
      </c>
      <c r="AS190" s="79">
        <f t="shared" si="27"/>
        <v>-542204.60999999929</v>
      </c>
      <c r="BB190" s="103" t="s">
        <v>549</v>
      </c>
      <c r="BC190" s="101" t="s">
        <v>1023</v>
      </c>
      <c r="BD190" s="117">
        <v>-115259.35</v>
      </c>
      <c r="BE190" s="117">
        <v>-129110.8</v>
      </c>
      <c r="BF190" s="117">
        <v>-189300.97</v>
      </c>
      <c r="BG190" s="117">
        <v>-172475.12</v>
      </c>
      <c r="BH190" s="129">
        <v>-246033.23</v>
      </c>
      <c r="BI190" s="128">
        <f t="shared" si="28"/>
        <v>-852179.47</v>
      </c>
      <c r="BM190" s="103" t="s">
        <v>549</v>
      </c>
      <c r="BN190" s="101" t="s">
        <v>1023</v>
      </c>
      <c r="BO190" s="117">
        <v>0</v>
      </c>
      <c r="BP190" s="117">
        <v>-129110.8</v>
      </c>
      <c r="BQ190" s="117">
        <v>-189300.97</v>
      </c>
      <c r="BR190" s="117">
        <v>-172475.12</v>
      </c>
      <c r="BS190" s="129">
        <v>-246033.23</v>
      </c>
      <c r="BT190" s="129"/>
      <c r="BU190" s="128">
        <f t="shared" si="33"/>
        <v>-736920.12</v>
      </c>
      <c r="BW190" s="115">
        <f t="shared" si="34"/>
        <v>-115259.34999999998</v>
      </c>
      <c r="BX190" s="117">
        <v>-115259.35</v>
      </c>
      <c r="BY190" s="117"/>
    </row>
    <row r="191" spans="2:83">
      <c r="B191" s="103" t="s">
        <v>551</v>
      </c>
      <c r="C191" s="101" t="s">
        <v>1024</v>
      </c>
      <c r="D191" s="118">
        <v>-59873</v>
      </c>
      <c r="E191" s="118">
        <v>-104672.07</v>
      </c>
      <c r="F191" s="118">
        <v>-121350.41</v>
      </c>
      <c r="G191" s="127">
        <v>-194285.72</v>
      </c>
      <c r="H191" s="102">
        <f t="shared" si="25"/>
        <v>-480181.19999999995</v>
      </c>
      <c r="K191" s="112" t="s">
        <v>551</v>
      </c>
      <c r="L191" s="111" t="s">
        <v>1024</v>
      </c>
      <c r="M191" s="117">
        <v>0</v>
      </c>
      <c r="N191" s="117">
        <v>-30052.799999999999</v>
      </c>
      <c r="O191" s="117">
        <v>-59873</v>
      </c>
      <c r="P191" s="117">
        <v>-104672.07</v>
      </c>
      <c r="Q191" s="117">
        <v>-121350.41</v>
      </c>
      <c r="R191" s="117"/>
      <c r="S191" s="117">
        <f t="shared" si="29"/>
        <v>-315948.28000000003</v>
      </c>
      <c r="T191" s="117">
        <v>-363767.76999999944</v>
      </c>
      <c r="U191" s="115">
        <f t="shared" si="30"/>
        <v>47819.489999999409</v>
      </c>
      <c r="Y191" s="115">
        <f t="shared" si="31"/>
        <v>0</v>
      </c>
      <c r="Z191" s="117">
        <v>-47819.489999999409</v>
      </c>
      <c r="AA191" s="115">
        <f t="shared" si="32"/>
        <v>0</v>
      </c>
      <c r="AH191" s="79"/>
      <c r="AI191" s="79"/>
      <c r="AJ191" s="79">
        <v>-509.6</v>
      </c>
      <c r="AK191" s="79">
        <v>-47819.489999999409</v>
      </c>
      <c r="AL191" s="79">
        <f t="shared" si="26"/>
        <v>-47819.489999999409</v>
      </c>
      <c r="AN191" s="79">
        <v>-509.6</v>
      </c>
      <c r="AO191" s="79">
        <v>-47819.489999999409</v>
      </c>
      <c r="AP191" s="79">
        <v>-30052.799999999999</v>
      </c>
      <c r="AQ191" s="79">
        <v>-59873</v>
      </c>
      <c r="AR191" s="79">
        <v>-104672.07</v>
      </c>
      <c r="AS191" s="79">
        <f t="shared" si="27"/>
        <v>-242926.95999999941</v>
      </c>
      <c r="BB191" s="103" t="s">
        <v>551</v>
      </c>
      <c r="BC191" s="101" t="s">
        <v>1024</v>
      </c>
      <c r="BD191" s="117">
        <v>-30052.799999999999</v>
      </c>
      <c r="BE191" s="117">
        <v>-59873</v>
      </c>
      <c r="BF191" s="117">
        <v>-104672.07</v>
      </c>
      <c r="BG191" s="117">
        <v>-121350.41</v>
      </c>
      <c r="BH191" s="129">
        <v>-194285.72</v>
      </c>
      <c r="BI191" s="128">
        <f t="shared" si="28"/>
        <v>-510234</v>
      </c>
      <c r="BM191" s="103" t="s">
        <v>551</v>
      </c>
      <c r="BN191" s="101" t="s">
        <v>1024</v>
      </c>
      <c r="BO191" s="117">
        <v>0</v>
      </c>
      <c r="BP191" s="117">
        <v>-59873</v>
      </c>
      <c r="BQ191" s="117">
        <v>-104672.07</v>
      </c>
      <c r="BR191" s="117">
        <v>-121350.41</v>
      </c>
      <c r="BS191" s="129">
        <v>-194285.72</v>
      </c>
      <c r="BT191" s="129"/>
      <c r="BU191" s="128">
        <f t="shared" si="33"/>
        <v>-480181.19999999995</v>
      </c>
      <c r="BW191" s="115">
        <f t="shared" si="34"/>
        <v>-30052.800000000047</v>
      </c>
      <c r="BX191" s="117">
        <v>-30052.799999999999</v>
      </c>
      <c r="BY191" s="117"/>
    </row>
    <row r="192" spans="2:83">
      <c r="B192" s="103" t="s">
        <v>553</v>
      </c>
      <c r="C192" s="101" t="s">
        <v>1025</v>
      </c>
      <c r="D192" s="118">
        <v>-177683.42</v>
      </c>
      <c r="E192" s="118">
        <v>-137495.57</v>
      </c>
      <c r="F192" s="118">
        <v>-165872.49</v>
      </c>
      <c r="G192" s="127">
        <v>-194702.1</v>
      </c>
      <c r="H192" s="102">
        <f t="shared" si="25"/>
        <v>-675753.58</v>
      </c>
      <c r="K192" s="112" t="s">
        <v>553</v>
      </c>
      <c r="L192" s="111" t="s">
        <v>1025</v>
      </c>
      <c r="M192" s="117">
        <v>0</v>
      </c>
      <c r="N192" s="117">
        <v>-155088.35</v>
      </c>
      <c r="O192" s="117">
        <v>-177683.42</v>
      </c>
      <c r="P192" s="117">
        <v>-137495.57</v>
      </c>
      <c r="Q192" s="117">
        <v>-165872.49</v>
      </c>
      <c r="R192" s="117"/>
      <c r="S192" s="117">
        <f t="shared" si="29"/>
        <v>-636139.83000000007</v>
      </c>
      <c r="T192" s="117">
        <v>-782874.75</v>
      </c>
      <c r="U192" s="115">
        <f t="shared" si="30"/>
        <v>146734.91999999993</v>
      </c>
      <c r="Y192" s="115">
        <f t="shared" si="31"/>
        <v>0</v>
      </c>
      <c r="Z192" s="117">
        <v>-146734.91999999987</v>
      </c>
      <c r="AA192" s="115">
        <f t="shared" si="32"/>
        <v>0</v>
      </c>
      <c r="AH192" s="79"/>
      <c r="AI192" s="79"/>
      <c r="AJ192" s="79">
        <v>-132324.68</v>
      </c>
      <c r="AK192" s="79">
        <v>-146734.91999999987</v>
      </c>
      <c r="AL192" s="79">
        <f t="shared" si="26"/>
        <v>-146734.91999999987</v>
      </c>
      <c r="AN192" s="79">
        <v>-132324.68</v>
      </c>
      <c r="AO192" s="79">
        <v>-146734.91999999987</v>
      </c>
      <c r="AP192" s="79">
        <v>-155088.35</v>
      </c>
      <c r="AQ192" s="79">
        <v>-177683.42</v>
      </c>
      <c r="AR192" s="79">
        <v>-137495.57</v>
      </c>
      <c r="AS192" s="79">
        <f t="shared" si="27"/>
        <v>-749326.94</v>
      </c>
      <c r="BB192" s="103" t="s">
        <v>553</v>
      </c>
      <c r="BC192" s="101" t="s">
        <v>1025</v>
      </c>
      <c r="BD192" s="117">
        <v>-155088.35</v>
      </c>
      <c r="BE192" s="117">
        <v>-177683.42</v>
      </c>
      <c r="BF192" s="117">
        <v>-137495.57</v>
      </c>
      <c r="BG192" s="117">
        <v>-165872.49</v>
      </c>
      <c r="BH192" s="129">
        <v>-194702.1</v>
      </c>
      <c r="BI192" s="128">
        <f t="shared" si="28"/>
        <v>-830841.93</v>
      </c>
      <c r="BM192" s="103" t="s">
        <v>553</v>
      </c>
      <c r="BN192" s="101" t="s">
        <v>1025</v>
      </c>
      <c r="BO192" s="117">
        <v>0</v>
      </c>
      <c r="BP192" s="117">
        <v>-177683.42</v>
      </c>
      <c r="BQ192" s="117">
        <v>-137495.57</v>
      </c>
      <c r="BR192" s="117">
        <v>-165872.49</v>
      </c>
      <c r="BS192" s="129">
        <v>-194702.1</v>
      </c>
      <c r="BT192" s="129"/>
      <c r="BU192" s="128">
        <f t="shared" si="33"/>
        <v>-675753.58</v>
      </c>
      <c r="BW192" s="115">
        <f t="shared" si="34"/>
        <v>-155088.35000000009</v>
      </c>
      <c r="BX192" s="117">
        <v>-155088.35</v>
      </c>
      <c r="BY192" s="117"/>
    </row>
    <row r="193" spans="2:83">
      <c r="B193" s="103" t="s">
        <v>555</v>
      </c>
      <c r="C193" s="101" t="s">
        <v>1026</v>
      </c>
      <c r="D193" s="118">
        <v>-34951.54</v>
      </c>
      <c r="E193" s="118">
        <v>-45837.62</v>
      </c>
      <c r="F193" s="118">
        <v>-35335.08</v>
      </c>
      <c r="G193" s="127">
        <v>-38124.699999999997</v>
      </c>
      <c r="H193" s="102">
        <f t="shared" si="25"/>
        <v>-154248.94</v>
      </c>
      <c r="K193" s="112" t="s">
        <v>555</v>
      </c>
      <c r="L193" s="111" t="s">
        <v>1026</v>
      </c>
      <c r="M193" s="117">
        <v>0</v>
      </c>
      <c r="N193" s="117">
        <v>-17008.36</v>
      </c>
      <c r="O193" s="117">
        <v>-34951.54</v>
      </c>
      <c r="P193" s="117">
        <v>-45837.62</v>
      </c>
      <c r="Q193" s="117">
        <v>-35335.08</v>
      </c>
      <c r="R193" s="117"/>
      <c r="S193" s="117">
        <f t="shared" si="29"/>
        <v>-133132.6</v>
      </c>
      <c r="T193" s="117">
        <v>-160092.14999999991</v>
      </c>
      <c r="U193" s="115">
        <f t="shared" si="30"/>
        <v>26959.549999999901</v>
      </c>
      <c r="Y193" s="115">
        <f t="shared" si="31"/>
        <v>0</v>
      </c>
      <c r="Z193" s="117">
        <v>-26959.549999999901</v>
      </c>
      <c r="AA193" s="115">
        <f t="shared" si="32"/>
        <v>0</v>
      </c>
      <c r="AH193" s="79"/>
      <c r="AI193" s="79"/>
      <c r="AJ193" s="79">
        <v>-11607.95</v>
      </c>
      <c r="AK193" s="79">
        <v>-26959.549999999901</v>
      </c>
      <c r="AL193" s="79">
        <f t="shared" si="26"/>
        <v>-26959.549999999901</v>
      </c>
      <c r="AN193" s="79">
        <v>-11607.95</v>
      </c>
      <c r="AO193" s="79">
        <v>-26959.549999999901</v>
      </c>
      <c r="AP193" s="79">
        <v>-17008.36</v>
      </c>
      <c r="AQ193" s="79">
        <v>-34951.54</v>
      </c>
      <c r="AR193" s="79">
        <v>-45837.62</v>
      </c>
      <c r="AS193" s="79">
        <f t="shared" si="27"/>
        <v>-136365.0199999999</v>
      </c>
      <c r="BB193" s="103" t="s">
        <v>555</v>
      </c>
      <c r="BC193" s="101" t="s">
        <v>1026</v>
      </c>
      <c r="BD193" s="117">
        <v>-17008.36</v>
      </c>
      <c r="BE193" s="117">
        <v>-34951.54</v>
      </c>
      <c r="BF193" s="117">
        <v>-45837.62</v>
      </c>
      <c r="BG193" s="117">
        <v>-35335.08</v>
      </c>
      <c r="BH193" s="129">
        <v>-38124.699999999997</v>
      </c>
      <c r="BI193" s="128">
        <f t="shared" si="28"/>
        <v>-171257.3</v>
      </c>
      <c r="BM193" s="103" t="s">
        <v>555</v>
      </c>
      <c r="BN193" s="101" t="s">
        <v>1026</v>
      </c>
      <c r="BO193" s="117">
        <v>0</v>
      </c>
      <c r="BP193" s="117">
        <v>-34951.54</v>
      </c>
      <c r="BQ193" s="117">
        <v>-45837.62</v>
      </c>
      <c r="BR193" s="117">
        <v>-35335.08</v>
      </c>
      <c r="BS193" s="129">
        <v>-38124.699999999997</v>
      </c>
      <c r="BT193" s="129"/>
      <c r="BU193" s="128">
        <f t="shared" si="33"/>
        <v>-154248.94</v>
      </c>
      <c r="BW193" s="115">
        <f t="shared" si="34"/>
        <v>-17008.359999999986</v>
      </c>
      <c r="BX193" s="117">
        <v>-17008.36</v>
      </c>
      <c r="BY193" s="117"/>
    </row>
    <row r="194" spans="2:83">
      <c r="B194" s="103" t="s">
        <v>557</v>
      </c>
      <c r="C194" s="101" t="s">
        <v>1027</v>
      </c>
      <c r="D194" s="118">
        <v>-56555.1</v>
      </c>
      <c r="E194" s="118">
        <v>-90965.58</v>
      </c>
      <c r="F194" s="118">
        <v>-4920.45</v>
      </c>
      <c r="G194" s="127">
        <v>-218269.33</v>
      </c>
      <c r="H194" s="102">
        <f t="shared" si="25"/>
        <v>-370710.45999999996</v>
      </c>
      <c r="K194" s="112" t="s">
        <v>557</v>
      </c>
      <c r="L194" s="111" t="s">
        <v>1027</v>
      </c>
      <c r="M194" s="117">
        <v>0</v>
      </c>
      <c r="N194" s="117">
        <v>0</v>
      </c>
      <c r="O194" s="117">
        <v>-56555.1</v>
      </c>
      <c r="P194" s="117">
        <v>-90965.58</v>
      </c>
      <c r="Q194" s="117">
        <v>-4920.45</v>
      </c>
      <c r="R194" s="117"/>
      <c r="S194" s="117">
        <f t="shared" si="29"/>
        <v>-152441.13</v>
      </c>
      <c r="T194" s="117">
        <v>-232834.66999999998</v>
      </c>
      <c r="U194" s="115">
        <f t="shared" si="30"/>
        <v>80393.539999999979</v>
      </c>
      <c r="Y194" s="115">
        <f t="shared" si="31"/>
        <v>-2824.9900000000198</v>
      </c>
      <c r="Z194" s="117">
        <v>-83218.53</v>
      </c>
      <c r="AA194" s="115">
        <f t="shared" si="32"/>
        <v>-2824.9900000000198</v>
      </c>
      <c r="AB194" s="117">
        <v>2824.99</v>
      </c>
      <c r="AH194" s="79"/>
      <c r="AI194" s="79"/>
      <c r="AJ194" s="79">
        <v>-190280.62</v>
      </c>
      <c r="AK194" s="79">
        <v>-83218.529999999329</v>
      </c>
      <c r="AL194" s="79">
        <f t="shared" si="26"/>
        <v>-83218.529999999329</v>
      </c>
      <c r="AN194" s="79">
        <v>-190280.62</v>
      </c>
      <c r="AO194" s="79">
        <v>-83218.529999999329</v>
      </c>
      <c r="AP194" s="79">
        <v>193105.61</v>
      </c>
      <c r="AQ194" s="79">
        <v>-56555.1</v>
      </c>
      <c r="AR194" s="79">
        <v>-90965.58</v>
      </c>
      <c r="AS194" s="79">
        <f t="shared" si="27"/>
        <v>-227914.21999999933</v>
      </c>
      <c r="BB194" s="103" t="s">
        <v>557</v>
      </c>
      <c r="BC194" s="101" t="s">
        <v>1027</v>
      </c>
      <c r="BD194" s="117">
        <v>0</v>
      </c>
      <c r="BE194" s="117">
        <v>-56555.1</v>
      </c>
      <c r="BF194" s="117">
        <v>-90965.58</v>
      </c>
      <c r="BG194" s="117">
        <v>-4920.45</v>
      </c>
      <c r="BH194" s="129">
        <v>-218269.33</v>
      </c>
      <c r="BI194" s="128">
        <f t="shared" si="28"/>
        <v>-370710.45999999996</v>
      </c>
      <c r="BM194" s="103" t="s">
        <v>557</v>
      </c>
      <c r="BN194" s="101" t="s">
        <v>1027</v>
      </c>
      <c r="BO194" s="117">
        <v>0</v>
      </c>
      <c r="BP194" s="117">
        <v>-56555.1</v>
      </c>
      <c r="BQ194" s="117">
        <v>-90965.58</v>
      </c>
      <c r="BR194" s="117">
        <v>-4920.45</v>
      </c>
      <c r="BS194" s="129">
        <v>-218269.33</v>
      </c>
      <c r="BT194" s="129"/>
      <c r="BU194" s="128">
        <f t="shared" si="33"/>
        <v>-370710.45999999996</v>
      </c>
      <c r="BW194" s="115">
        <f t="shared" si="34"/>
        <v>0</v>
      </c>
      <c r="BX194" s="117">
        <v>0</v>
      </c>
      <c r="BY194" s="117"/>
    </row>
    <row r="195" spans="2:83">
      <c r="B195" s="103" t="s">
        <v>559</v>
      </c>
      <c r="C195" s="101" t="s">
        <v>1028</v>
      </c>
      <c r="D195" s="118">
        <v>-39990.129999999997</v>
      </c>
      <c r="E195" s="118">
        <v>-45411.040000000001</v>
      </c>
      <c r="F195" s="118">
        <v>-34663.730000000003</v>
      </c>
      <c r="G195" s="127">
        <v>-29183.77</v>
      </c>
      <c r="H195" s="102">
        <f t="shared" si="25"/>
        <v>-149248.66999999998</v>
      </c>
      <c r="K195" s="112" t="s">
        <v>559</v>
      </c>
      <c r="L195" s="111" t="s">
        <v>1028</v>
      </c>
      <c r="M195" s="117">
        <v>0</v>
      </c>
      <c r="N195" s="117">
        <v>-33186.629999999997</v>
      </c>
      <c r="O195" s="117">
        <v>-39990.129999999997</v>
      </c>
      <c r="P195" s="117">
        <v>-45411.040000000001</v>
      </c>
      <c r="Q195" s="117">
        <v>-34663.730000000003</v>
      </c>
      <c r="R195" s="117"/>
      <c r="S195" s="117">
        <f t="shared" si="29"/>
        <v>-153251.53</v>
      </c>
      <c r="T195" s="117">
        <v>-192620.72</v>
      </c>
      <c r="U195" s="115">
        <f t="shared" si="30"/>
        <v>39369.19</v>
      </c>
      <c r="Y195" s="115">
        <f t="shared" si="31"/>
        <v>0</v>
      </c>
      <c r="Z195" s="117">
        <v>-39369.189999999988</v>
      </c>
      <c r="AA195" s="115">
        <f t="shared" si="32"/>
        <v>0</v>
      </c>
      <c r="AH195" s="79"/>
      <c r="AI195" s="79"/>
      <c r="AJ195" s="79">
        <v>-29017.96</v>
      </c>
      <c r="AK195" s="79">
        <v>-39369.189999999988</v>
      </c>
      <c r="AL195" s="79">
        <f t="shared" si="26"/>
        <v>-39369.189999999988</v>
      </c>
      <c r="AN195" s="79">
        <v>-29017.96</v>
      </c>
      <c r="AO195" s="79">
        <v>-39369.189999999988</v>
      </c>
      <c r="AP195" s="79">
        <v>-33186.629999999997</v>
      </c>
      <c r="AQ195" s="79">
        <v>-39990.129999999997</v>
      </c>
      <c r="AR195" s="79">
        <v>-45411.040000000001</v>
      </c>
      <c r="AS195" s="79">
        <f t="shared" si="27"/>
        <v>-186974.95</v>
      </c>
      <c r="BB195" s="103" t="s">
        <v>559</v>
      </c>
      <c r="BC195" s="101" t="s">
        <v>1028</v>
      </c>
      <c r="BD195" s="117">
        <v>-33186.629999999997</v>
      </c>
      <c r="BE195" s="117">
        <v>-39990.129999999997</v>
      </c>
      <c r="BF195" s="117">
        <v>-45411.040000000001</v>
      </c>
      <c r="BG195" s="117">
        <v>-34663.730000000003</v>
      </c>
      <c r="BH195" s="129">
        <v>-29183.77</v>
      </c>
      <c r="BI195" s="128">
        <f t="shared" si="28"/>
        <v>-182435.3</v>
      </c>
      <c r="BM195" s="103" t="s">
        <v>559</v>
      </c>
      <c r="BN195" s="101" t="s">
        <v>1028</v>
      </c>
      <c r="BO195" s="117">
        <v>0</v>
      </c>
      <c r="BP195" s="117">
        <v>-39990.129999999997</v>
      </c>
      <c r="BQ195" s="117">
        <v>-45411.040000000001</v>
      </c>
      <c r="BR195" s="117">
        <v>-34663.730000000003</v>
      </c>
      <c r="BS195" s="129">
        <v>-29183.77</v>
      </c>
      <c r="BT195" s="129"/>
      <c r="BU195" s="128">
        <f t="shared" si="33"/>
        <v>-149248.66999999998</v>
      </c>
      <c r="BW195" s="115">
        <f t="shared" si="34"/>
        <v>-33186.630000000005</v>
      </c>
      <c r="BX195" s="117">
        <v>-33186.629999999997</v>
      </c>
      <c r="BY195" s="117"/>
    </row>
    <row r="196" spans="2:83">
      <c r="B196" s="103" t="s">
        <v>563</v>
      </c>
      <c r="C196" s="101" t="s">
        <v>1029</v>
      </c>
      <c r="D196" s="118">
        <v>-33085.129999999997</v>
      </c>
      <c r="E196" s="118">
        <v>-40387.89</v>
      </c>
      <c r="F196" s="118">
        <v>-38088.33</v>
      </c>
      <c r="G196" s="127">
        <v>-28604.880000000001</v>
      </c>
      <c r="H196" s="102">
        <f t="shared" si="25"/>
        <v>-140166.22999999998</v>
      </c>
      <c r="K196" s="112" t="s">
        <v>563</v>
      </c>
      <c r="L196" s="111" t="s">
        <v>1029</v>
      </c>
      <c r="M196" s="117">
        <v>0</v>
      </c>
      <c r="N196" s="117">
        <v>-57022.02</v>
      </c>
      <c r="O196" s="117">
        <v>-33085.129999999997</v>
      </c>
      <c r="P196" s="117">
        <v>-40387.89</v>
      </c>
      <c r="Q196" s="117">
        <v>-38088.33</v>
      </c>
      <c r="R196" s="117"/>
      <c r="S196" s="117">
        <f t="shared" si="29"/>
        <v>-168583.37</v>
      </c>
      <c r="T196" s="117">
        <v>-219623.05</v>
      </c>
      <c r="U196" s="115">
        <f t="shared" si="30"/>
        <v>51039.679999999993</v>
      </c>
      <c r="Y196" s="115">
        <f t="shared" si="31"/>
        <v>0</v>
      </c>
      <c r="Z196" s="117">
        <v>-51039.679999999978</v>
      </c>
      <c r="AA196" s="115">
        <f t="shared" si="32"/>
        <v>0</v>
      </c>
      <c r="AH196" s="79"/>
      <c r="AI196" s="79"/>
      <c r="AJ196" s="79">
        <v>-40680.07</v>
      </c>
      <c r="AK196" s="79">
        <v>-51039.679999999978</v>
      </c>
      <c r="AL196" s="79">
        <f t="shared" si="26"/>
        <v>-51039.679999999978</v>
      </c>
      <c r="AN196" s="79">
        <v>-40680.07</v>
      </c>
      <c r="AO196" s="79">
        <v>-51039.679999999978</v>
      </c>
      <c r="AP196" s="79">
        <v>-57022.02</v>
      </c>
      <c r="AQ196" s="79">
        <v>-33085.129999999997</v>
      </c>
      <c r="AR196" s="79">
        <v>-40387.89</v>
      </c>
      <c r="AS196" s="79">
        <f t="shared" si="27"/>
        <v>-222214.78999999998</v>
      </c>
      <c r="BB196" s="103" t="s">
        <v>563</v>
      </c>
      <c r="BC196" s="101" t="s">
        <v>1029</v>
      </c>
      <c r="BD196" s="117">
        <v>-57022.02</v>
      </c>
      <c r="BE196" s="117">
        <v>-33085.129999999997</v>
      </c>
      <c r="BF196" s="117">
        <v>-40387.89</v>
      </c>
      <c r="BG196" s="117">
        <v>-38088.33</v>
      </c>
      <c r="BH196" s="129">
        <v>-28604.880000000001</v>
      </c>
      <c r="BI196" s="128">
        <f t="shared" si="28"/>
        <v>-197188.25</v>
      </c>
      <c r="BM196" s="103" t="s">
        <v>563</v>
      </c>
      <c r="BN196" s="101" t="s">
        <v>1029</v>
      </c>
      <c r="BO196" s="117">
        <v>0</v>
      </c>
      <c r="BP196" s="117">
        <v>-33085.129999999997</v>
      </c>
      <c r="BQ196" s="117">
        <v>-40387.89</v>
      </c>
      <c r="BR196" s="117">
        <v>-38088.33</v>
      </c>
      <c r="BS196" s="129">
        <v>-28604.880000000001</v>
      </c>
      <c r="BT196" s="129"/>
      <c r="BU196" s="128">
        <f t="shared" si="33"/>
        <v>-140166.22999999998</v>
      </c>
      <c r="BW196" s="115">
        <f t="shared" si="34"/>
        <v>-57022.020000000019</v>
      </c>
      <c r="BX196" s="117">
        <v>-57022.02</v>
      </c>
      <c r="BY196" s="117"/>
    </row>
    <row r="197" spans="2:83">
      <c r="B197" s="103" t="s">
        <v>565</v>
      </c>
      <c r="C197" s="101" t="s">
        <v>1030</v>
      </c>
      <c r="D197" s="118">
        <v>-109381.54</v>
      </c>
      <c r="E197" s="118">
        <v>-123777.12</v>
      </c>
      <c r="F197" s="118">
        <v>-121309.36</v>
      </c>
      <c r="G197" s="127">
        <v>-141293.35999999999</v>
      </c>
      <c r="H197" s="102">
        <f t="shared" ref="H197:H260" si="35">SUM(D197:G197)</f>
        <v>-495761.37999999995</v>
      </c>
      <c r="K197" s="112" t="s">
        <v>565</v>
      </c>
      <c r="L197" s="111" t="s">
        <v>1030</v>
      </c>
      <c r="M197" s="117">
        <v>0</v>
      </c>
      <c r="N197" s="117">
        <v>-154828.72</v>
      </c>
      <c r="O197" s="117">
        <v>-109381.54</v>
      </c>
      <c r="P197" s="117">
        <v>-123777.12</v>
      </c>
      <c r="Q197" s="117">
        <v>-121309.36</v>
      </c>
      <c r="R197" s="117"/>
      <c r="S197" s="117">
        <f t="shared" si="29"/>
        <v>-509296.74</v>
      </c>
      <c r="T197" s="117">
        <v>-657259.27000000014</v>
      </c>
      <c r="U197" s="115">
        <f t="shared" si="30"/>
        <v>147962.53000000014</v>
      </c>
      <c r="Y197" s="115">
        <f t="shared" si="31"/>
        <v>0</v>
      </c>
      <c r="Z197" s="117">
        <v>-147962.53000000026</v>
      </c>
      <c r="AA197" s="115">
        <f t="shared" si="32"/>
        <v>0</v>
      </c>
      <c r="AH197" s="79"/>
      <c r="AI197" s="79"/>
      <c r="AJ197" s="79">
        <v>-143549.16</v>
      </c>
      <c r="AK197" s="79">
        <v>-147962.53000000026</v>
      </c>
      <c r="AL197" s="79">
        <f t="shared" ref="AL197:AL260" si="36">IF(AJ197&gt;0,+AJ197+AK197,AK197)</f>
        <v>-147962.53000000026</v>
      </c>
      <c r="AN197" s="79">
        <v>-143549.16</v>
      </c>
      <c r="AO197" s="79">
        <v>-147962.53000000026</v>
      </c>
      <c r="AP197" s="79">
        <v>-154828.72</v>
      </c>
      <c r="AQ197" s="79">
        <v>-109381.54</v>
      </c>
      <c r="AR197" s="79">
        <v>-123777.12</v>
      </c>
      <c r="AS197" s="79">
        <f t="shared" ref="AS197:AS260" si="37">SUM(AN197:AR197)</f>
        <v>-679499.0700000003</v>
      </c>
      <c r="BB197" s="103" t="s">
        <v>565</v>
      </c>
      <c r="BC197" s="101" t="s">
        <v>1030</v>
      </c>
      <c r="BD197" s="117">
        <v>-154828.72</v>
      </c>
      <c r="BE197" s="117">
        <v>-109381.54</v>
      </c>
      <c r="BF197" s="117">
        <v>-123777.12</v>
      </c>
      <c r="BG197" s="117">
        <v>-121309.36</v>
      </c>
      <c r="BH197" s="129">
        <v>-141293.35999999999</v>
      </c>
      <c r="BI197" s="128">
        <f t="shared" ref="BI197:BI260" si="38">SUM(BD197:BH197)</f>
        <v>-650590.1</v>
      </c>
      <c r="BM197" s="103" t="s">
        <v>565</v>
      </c>
      <c r="BN197" s="101" t="s">
        <v>1030</v>
      </c>
      <c r="BO197" s="117">
        <v>0</v>
      </c>
      <c r="BP197" s="117">
        <v>-109381.54</v>
      </c>
      <c r="BQ197" s="117">
        <v>-123777.12</v>
      </c>
      <c r="BR197" s="117">
        <v>-121309.36</v>
      </c>
      <c r="BS197" s="129">
        <v>-141293.35999999999</v>
      </c>
      <c r="BT197" s="129"/>
      <c r="BU197" s="128">
        <f t="shared" si="33"/>
        <v>-495761.37999999995</v>
      </c>
      <c r="BW197" s="115">
        <f t="shared" si="34"/>
        <v>-154828.72000000003</v>
      </c>
      <c r="BX197" s="117">
        <v>-154828.72</v>
      </c>
      <c r="BY197" s="117"/>
    </row>
    <row r="198" spans="2:83">
      <c r="B198" s="103" t="s">
        <v>567</v>
      </c>
      <c r="C198" s="101" t="s">
        <v>1031</v>
      </c>
      <c r="D198" s="118">
        <v>502523.3</v>
      </c>
      <c r="E198" s="118">
        <v>62748.959999999999</v>
      </c>
      <c r="F198" s="118">
        <v>176788.86</v>
      </c>
      <c r="G198" s="127">
        <v>101750.35</v>
      </c>
      <c r="H198" s="102">
        <f t="shared" si="35"/>
        <v>843811.47</v>
      </c>
      <c r="K198" s="112" t="s">
        <v>567</v>
      </c>
      <c r="L198" s="111" t="s">
        <v>1031</v>
      </c>
      <c r="M198" s="117">
        <v>0</v>
      </c>
      <c r="N198" s="117">
        <v>498492.75</v>
      </c>
      <c r="O198" s="117">
        <v>4030.55</v>
      </c>
      <c r="P198" s="117">
        <v>62748.959999999999</v>
      </c>
      <c r="Q198" s="117">
        <v>176788.86</v>
      </c>
      <c r="R198" s="117"/>
      <c r="S198" s="117">
        <f t="shared" ref="S198:S261" si="39">SUM(M198:R198)</f>
        <v>742061.12</v>
      </c>
      <c r="T198" s="117">
        <v>742061.12</v>
      </c>
      <c r="U198" s="115">
        <f t="shared" ref="U198:U261" si="40">+S198-T198</f>
        <v>0</v>
      </c>
      <c r="W198" s="115">
        <f>+M198+N198</f>
        <v>498492.75</v>
      </c>
      <c r="Y198" s="115">
        <f t="shared" ref="Y198:Y261" si="41">+U198+Z198</f>
        <v>472789.03</v>
      </c>
      <c r="Z198" s="117">
        <v>472789.03</v>
      </c>
      <c r="AA198" s="115">
        <f t="shared" ref="AA198:AA261" si="42">+U198+Z198</f>
        <v>472789.03</v>
      </c>
      <c r="AH198" s="79"/>
      <c r="AI198" s="79"/>
      <c r="AJ198" s="79">
        <v>439136.32</v>
      </c>
      <c r="AK198" s="79">
        <v>33652.710000006482</v>
      </c>
      <c r="AL198" s="79">
        <f t="shared" si="36"/>
        <v>472789.03000000649</v>
      </c>
      <c r="AN198" s="79">
        <v>439136.32</v>
      </c>
      <c r="AO198" s="79">
        <v>33652.710000006482</v>
      </c>
      <c r="AP198" s="79">
        <v>25703.72</v>
      </c>
      <c r="AQ198" s="79">
        <v>4030.55</v>
      </c>
      <c r="AR198" s="79">
        <v>62748.959999999999</v>
      </c>
      <c r="AS198" s="79">
        <f t="shared" si="37"/>
        <v>565272.26000000653</v>
      </c>
      <c r="BB198" s="103" t="s">
        <v>567</v>
      </c>
      <c r="BC198" s="101" t="s">
        <v>1031</v>
      </c>
      <c r="BD198" s="117">
        <v>498492.75</v>
      </c>
      <c r="BE198" s="117">
        <v>4030.55</v>
      </c>
      <c r="BF198" s="117">
        <v>62748.959999999999</v>
      </c>
      <c r="BG198" s="117">
        <v>176788.86</v>
      </c>
      <c r="BH198" s="129">
        <v>101750.35</v>
      </c>
      <c r="BI198" s="128">
        <f t="shared" si="38"/>
        <v>843811.47</v>
      </c>
      <c r="BM198" s="103" t="s">
        <v>567</v>
      </c>
      <c r="BN198" s="101" t="s">
        <v>1031</v>
      </c>
      <c r="BO198" s="117">
        <v>0</v>
      </c>
      <c r="BP198" s="117">
        <v>502523.3</v>
      </c>
      <c r="BQ198" s="117">
        <v>62748.959999999999</v>
      </c>
      <c r="BR198" s="117">
        <v>176788.86</v>
      </c>
      <c r="BS198" s="129">
        <v>101750.35</v>
      </c>
      <c r="BT198" s="129"/>
      <c r="BU198" s="128">
        <f t="shared" ref="BU198:BU261" si="43">SUM(BP198:BT198)</f>
        <v>843811.47</v>
      </c>
      <c r="BW198" s="115">
        <f t="shared" ref="BW198:BW261" si="44">+BI198-BU198</f>
        <v>0</v>
      </c>
      <c r="BX198" s="131">
        <v>498492.75</v>
      </c>
      <c r="BY198" s="131">
        <v>4030.55</v>
      </c>
      <c r="CC198" s="130">
        <f>+BO198+BP198</f>
        <v>502523.3</v>
      </c>
      <c r="CD198" s="115">
        <f>+BX198+BY198</f>
        <v>502523.3</v>
      </c>
      <c r="CE198" s="115">
        <f>+CC198-CD198</f>
        <v>0</v>
      </c>
    </row>
    <row r="199" spans="2:83">
      <c r="B199" s="103" t="s">
        <v>569</v>
      </c>
      <c r="C199" s="101" t="s">
        <v>1032</v>
      </c>
      <c r="D199" s="118">
        <v>-133638.17000000001</v>
      </c>
      <c r="E199" s="118">
        <v>-209844.35</v>
      </c>
      <c r="F199" s="118">
        <v>-242028.38</v>
      </c>
      <c r="G199" s="127">
        <v>-159658.51999999999</v>
      </c>
      <c r="H199" s="102">
        <f t="shared" si="35"/>
        <v>-745169.42</v>
      </c>
      <c r="K199" s="112" t="s">
        <v>569</v>
      </c>
      <c r="L199" s="111" t="s">
        <v>1032</v>
      </c>
      <c r="M199" s="117">
        <v>0</v>
      </c>
      <c r="N199" s="117">
        <v>-35198.67</v>
      </c>
      <c r="O199" s="117">
        <v>-133638.17000000001</v>
      </c>
      <c r="P199" s="117">
        <v>-209844.35</v>
      </c>
      <c r="Q199" s="117">
        <v>-242028.38</v>
      </c>
      <c r="R199" s="117"/>
      <c r="S199" s="117">
        <f t="shared" si="39"/>
        <v>-620709.57000000007</v>
      </c>
      <c r="T199" s="117">
        <v>-648656.36</v>
      </c>
      <c r="U199" s="115">
        <f t="shared" si="40"/>
        <v>27946.789999999921</v>
      </c>
      <c r="Y199" s="115">
        <f t="shared" si="41"/>
        <v>-8.0035533756017685E-11</v>
      </c>
      <c r="Z199" s="117">
        <v>-27946.79</v>
      </c>
      <c r="AA199" s="115">
        <f t="shared" si="42"/>
        <v>-8.0035533756017685E-11</v>
      </c>
      <c r="AH199" s="79"/>
      <c r="AI199" s="79"/>
      <c r="AJ199" s="79">
        <v>78873.19</v>
      </c>
      <c r="AK199" s="79">
        <v>-106819.97999999812</v>
      </c>
      <c r="AL199" s="79">
        <f t="shared" si="36"/>
        <v>-27946.789999998116</v>
      </c>
      <c r="AN199" s="79">
        <v>78873.19</v>
      </c>
      <c r="AO199" s="79">
        <v>-106819.97999999812</v>
      </c>
      <c r="AP199" s="79">
        <v>-35198.67</v>
      </c>
      <c r="AQ199" s="79">
        <v>-133638.17000000001</v>
      </c>
      <c r="AR199" s="79">
        <v>-209844.35</v>
      </c>
      <c r="AS199" s="79">
        <f t="shared" si="37"/>
        <v>-406627.97999999812</v>
      </c>
      <c r="BB199" s="103" t="s">
        <v>569</v>
      </c>
      <c r="BC199" s="101" t="s">
        <v>1032</v>
      </c>
      <c r="BD199" s="117">
        <v>-35198.67</v>
      </c>
      <c r="BE199" s="117">
        <v>-133638.17000000001</v>
      </c>
      <c r="BF199" s="117">
        <v>-209844.35</v>
      </c>
      <c r="BG199" s="117">
        <v>-242028.38</v>
      </c>
      <c r="BH199" s="129">
        <v>-159658.51999999999</v>
      </c>
      <c r="BI199" s="128">
        <f t="shared" si="38"/>
        <v>-780368.09000000008</v>
      </c>
      <c r="BM199" s="103" t="s">
        <v>569</v>
      </c>
      <c r="BN199" s="101" t="s">
        <v>1032</v>
      </c>
      <c r="BO199" s="117">
        <v>0</v>
      </c>
      <c r="BP199" s="117">
        <v>-133638.17000000001</v>
      </c>
      <c r="BQ199" s="117">
        <v>-209844.35</v>
      </c>
      <c r="BR199" s="117">
        <v>-242028.38</v>
      </c>
      <c r="BS199" s="129">
        <v>-159658.51999999999</v>
      </c>
      <c r="BT199" s="129"/>
      <c r="BU199" s="128">
        <f t="shared" si="43"/>
        <v>-745169.42</v>
      </c>
      <c r="BW199" s="115">
        <f t="shared" si="44"/>
        <v>-35198.670000000042</v>
      </c>
      <c r="BX199" s="117">
        <v>-35198.67</v>
      </c>
      <c r="BY199" s="117"/>
    </row>
    <row r="200" spans="2:83">
      <c r="B200" s="103" t="s">
        <v>571</v>
      </c>
      <c r="C200" s="101" t="s">
        <v>1033</v>
      </c>
      <c r="D200" s="118">
        <v>-761455.76</v>
      </c>
      <c r="E200" s="118">
        <v>-261428.64</v>
      </c>
      <c r="F200" s="118">
        <v>-213132.55</v>
      </c>
      <c r="G200" s="127">
        <v>-286405.11</v>
      </c>
      <c r="H200" s="102">
        <f t="shared" si="35"/>
        <v>-1522422.06</v>
      </c>
      <c r="K200" s="112" t="s">
        <v>571</v>
      </c>
      <c r="L200" s="111" t="s">
        <v>1033</v>
      </c>
      <c r="M200" s="117">
        <v>0</v>
      </c>
      <c r="N200" s="117">
        <v>-305459.32</v>
      </c>
      <c r="O200" s="117">
        <v>-761455.76</v>
      </c>
      <c r="P200" s="117">
        <v>-261428.64</v>
      </c>
      <c r="Q200" s="117">
        <v>-213132.55</v>
      </c>
      <c r="R200" s="117"/>
      <c r="S200" s="117">
        <f t="shared" si="39"/>
        <v>-1541476.2700000003</v>
      </c>
      <c r="T200" s="117">
        <v>-1669366.2499999951</v>
      </c>
      <c r="U200" s="115">
        <f t="shared" si="40"/>
        <v>127889.97999999486</v>
      </c>
      <c r="Y200" s="115">
        <f t="shared" si="41"/>
        <v>0</v>
      </c>
      <c r="Z200" s="117">
        <v>-127889.97999999486</v>
      </c>
      <c r="AA200" s="115">
        <f t="shared" si="42"/>
        <v>0</v>
      </c>
      <c r="AH200" s="79"/>
      <c r="AI200" s="79"/>
      <c r="AJ200" s="79">
        <v>-285907.57</v>
      </c>
      <c r="AK200" s="79">
        <v>-127889.97999999486</v>
      </c>
      <c r="AL200" s="79">
        <f t="shared" si="36"/>
        <v>-127889.97999999486</v>
      </c>
      <c r="AN200" s="79">
        <v>-285907.57</v>
      </c>
      <c r="AO200" s="79">
        <v>-127889.97999999486</v>
      </c>
      <c r="AP200" s="79">
        <v>-305459.32</v>
      </c>
      <c r="AQ200" s="79">
        <v>-761455.76</v>
      </c>
      <c r="AR200" s="79">
        <v>-261428.64</v>
      </c>
      <c r="AS200" s="79">
        <f t="shared" si="37"/>
        <v>-1742141.2699999949</v>
      </c>
      <c r="BB200" s="103" t="s">
        <v>571</v>
      </c>
      <c r="BC200" s="101" t="s">
        <v>1033</v>
      </c>
      <c r="BD200" s="117">
        <v>-305459.32</v>
      </c>
      <c r="BE200" s="117">
        <v>-761455.76</v>
      </c>
      <c r="BF200" s="117">
        <v>-261428.64</v>
      </c>
      <c r="BG200" s="117">
        <v>-213132.55</v>
      </c>
      <c r="BH200" s="129">
        <v>-286405.11</v>
      </c>
      <c r="BI200" s="128">
        <f t="shared" si="38"/>
        <v>-1827881.3800000004</v>
      </c>
      <c r="BM200" s="103" t="s">
        <v>571</v>
      </c>
      <c r="BN200" s="101" t="s">
        <v>1033</v>
      </c>
      <c r="BO200" s="117">
        <v>0</v>
      </c>
      <c r="BP200" s="117">
        <v>-761455.76</v>
      </c>
      <c r="BQ200" s="117">
        <v>-261428.64</v>
      </c>
      <c r="BR200" s="117">
        <v>-213132.55</v>
      </c>
      <c r="BS200" s="129">
        <v>-286405.11</v>
      </c>
      <c r="BT200" s="129"/>
      <c r="BU200" s="128">
        <f t="shared" si="43"/>
        <v>-1522422.06</v>
      </c>
      <c r="BW200" s="115">
        <f t="shared" si="44"/>
        <v>-305459.3200000003</v>
      </c>
      <c r="BX200" s="117">
        <v>-305459.32</v>
      </c>
      <c r="BY200" s="117"/>
    </row>
    <row r="201" spans="2:83">
      <c r="B201" s="103" t="s">
        <v>573</v>
      </c>
      <c r="C201" s="101" t="s">
        <v>1034</v>
      </c>
      <c r="D201" s="118">
        <v>-89835.64</v>
      </c>
      <c r="E201" s="118">
        <v>-285993.99</v>
      </c>
      <c r="F201" s="118">
        <v>-149653.16</v>
      </c>
      <c r="G201" s="127">
        <v>-526405.81999999995</v>
      </c>
      <c r="H201" s="102">
        <f t="shared" si="35"/>
        <v>-1051888.6099999999</v>
      </c>
      <c r="K201" s="112" t="s">
        <v>573</v>
      </c>
      <c r="L201" s="111" t="s">
        <v>1034</v>
      </c>
      <c r="M201" s="117">
        <v>0</v>
      </c>
      <c r="N201" s="117">
        <v>0</v>
      </c>
      <c r="O201" s="117">
        <v>-89835.64</v>
      </c>
      <c r="P201" s="117">
        <v>-285993.99</v>
      </c>
      <c r="Q201" s="117">
        <v>-149653.16</v>
      </c>
      <c r="R201" s="117"/>
      <c r="S201" s="117">
        <f t="shared" si="39"/>
        <v>-525482.79</v>
      </c>
      <c r="T201" s="117">
        <v>-644119.59000000264</v>
      </c>
      <c r="U201" s="115">
        <f t="shared" si="40"/>
        <v>118636.80000000261</v>
      </c>
      <c r="Y201" s="115">
        <f t="shared" si="41"/>
        <v>0</v>
      </c>
      <c r="Z201" s="117">
        <v>-118636.80000000261</v>
      </c>
      <c r="AA201" s="115">
        <f t="shared" si="42"/>
        <v>0</v>
      </c>
      <c r="AH201" s="79"/>
      <c r="AI201" s="79"/>
      <c r="AJ201" s="79">
        <v>-192538.14</v>
      </c>
      <c r="AK201" s="79">
        <v>-118636.80000000261</v>
      </c>
      <c r="AL201" s="79">
        <f t="shared" si="36"/>
        <v>-118636.80000000261</v>
      </c>
      <c r="AN201" s="79">
        <v>-192538.14</v>
      </c>
      <c r="AO201" s="79">
        <v>-118636.80000000261</v>
      </c>
      <c r="AP201" s="79">
        <v>5218.45</v>
      </c>
      <c r="AQ201" s="79">
        <v>-89835.64</v>
      </c>
      <c r="AR201" s="79">
        <v>-285993.99</v>
      </c>
      <c r="AS201" s="79">
        <f t="shared" si="37"/>
        <v>-681786.12000000267</v>
      </c>
      <c r="BB201" s="103" t="s">
        <v>573</v>
      </c>
      <c r="BC201" s="101" t="s">
        <v>1034</v>
      </c>
      <c r="BD201" s="117">
        <v>0</v>
      </c>
      <c r="BE201" s="117">
        <v>-89835.64</v>
      </c>
      <c r="BF201" s="117">
        <v>-285993.99</v>
      </c>
      <c r="BG201" s="117">
        <v>-149653.16</v>
      </c>
      <c r="BH201" s="129">
        <v>-526405.81999999995</v>
      </c>
      <c r="BI201" s="128">
        <f t="shared" si="38"/>
        <v>-1051888.6099999999</v>
      </c>
      <c r="BM201" s="103" t="s">
        <v>573</v>
      </c>
      <c r="BN201" s="101" t="s">
        <v>1034</v>
      </c>
      <c r="BO201" s="117">
        <v>0</v>
      </c>
      <c r="BP201" s="117">
        <v>-89835.64</v>
      </c>
      <c r="BQ201" s="117">
        <v>-285993.99</v>
      </c>
      <c r="BR201" s="117">
        <v>-149653.16</v>
      </c>
      <c r="BS201" s="129">
        <v>-526405.81999999995</v>
      </c>
      <c r="BT201" s="129"/>
      <c r="BU201" s="128">
        <f t="shared" si="43"/>
        <v>-1051888.6099999999</v>
      </c>
      <c r="BW201" s="115">
        <f t="shared" si="44"/>
        <v>0</v>
      </c>
      <c r="BX201" s="117">
        <v>0</v>
      </c>
      <c r="BY201" s="117"/>
    </row>
    <row r="202" spans="2:83">
      <c r="B202" s="103" t="s">
        <v>575</v>
      </c>
      <c r="C202" s="101" t="s">
        <v>1035</v>
      </c>
      <c r="D202" s="118">
        <v>-243841.49</v>
      </c>
      <c r="E202" s="118">
        <v>-144677.26</v>
      </c>
      <c r="F202" s="118">
        <v>-92318.59</v>
      </c>
      <c r="G202" s="127">
        <v>-146503.04999999999</v>
      </c>
      <c r="H202" s="102">
        <f t="shared" si="35"/>
        <v>-627340.3899999999</v>
      </c>
      <c r="K202" s="112" t="s">
        <v>575</v>
      </c>
      <c r="L202" s="111" t="s">
        <v>1035</v>
      </c>
      <c r="M202" s="117">
        <v>0</v>
      </c>
      <c r="N202" s="117">
        <v>-82759.81</v>
      </c>
      <c r="O202" s="117">
        <v>-243841.49</v>
      </c>
      <c r="P202" s="117">
        <v>-144677.26</v>
      </c>
      <c r="Q202" s="117">
        <v>-92318.59</v>
      </c>
      <c r="R202" s="117"/>
      <c r="S202" s="117">
        <f t="shared" si="39"/>
        <v>-563597.15</v>
      </c>
      <c r="T202" s="117">
        <v>-659646.35000000021</v>
      </c>
      <c r="U202" s="115">
        <f t="shared" si="40"/>
        <v>96049.200000000186</v>
      </c>
      <c r="Y202" s="115">
        <f t="shared" si="41"/>
        <v>0</v>
      </c>
      <c r="Z202" s="117">
        <v>-96049.200000000186</v>
      </c>
      <c r="AA202" s="115">
        <f t="shared" si="42"/>
        <v>0</v>
      </c>
      <c r="AH202" s="79"/>
      <c r="AI202" s="79"/>
      <c r="AJ202" s="79">
        <v>-61364.73</v>
      </c>
      <c r="AK202" s="79">
        <v>-96049.200000000186</v>
      </c>
      <c r="AL202" s="79">
        <f t="shared" si="36"/>
        <v>-96049.200000000186</v>
      </c>
      <c r="AN202" s="79">
        <v>-61364.73</v>
      </c>
      <c r="AO202" s="79">
        <v>-96049.200000000186</v>
      </c>
      <c r="AP202" s="79">
        <v>-82759.81</v>
      </c>
      <c r="AQ202" s="79">
        <v>-243841.49</v>
      </c>
      <c r="AR202" s="79">
        <v>-144677.26</v>
      </c>
      <c r="AS202" s="79">
        <f t="shared" si="37"/>
        <v>-628692.49000000022</v>
      </c>
      <c r="BB202" s="103" t="s">
        <v>575</v>
      </c>
      <c r="BC202" s="101" t="s">
        <v>1035</v>
      </c>
      <c r="BD202" s="117">
        <v>-82759.81</v>
      </c>
      <c r="BE202" s="117">
        <v>-243841.49</v>
      </c>
      <c r="BF202" s="117">
        <v>-144677.26</v>
      </c>
      <c r="BG202" s="117">
        <v>-92318.59</v>
      </c>
      <c r="BH202" s="129">
        <v>-146503.04999999999</v>
      </c>
      <c r="BI202" s="128">
        <f t="shared" si="38"/>
        <v>-710100.2</v>
      </c>
      <c r="BM202" s="103" t="s">
        <v>575</v>
      </c>
      <c r="BN202" s="101" t="s">
        <v>1035</v>
      </c>
      <c r="BO202" s="117">
        <v>0</v>
      </c>
      <c r="BP202" s="117">
        <v>-243841.49</v>
      </c>
      <c r="BQ202" s="117">
        <v>-144677.26</v>
      </c>
      <c r="BR202" s="117">
        <v>-92318.59</v>
      </c>
      <c r="BS202" s="129">
        <v>-146503.04999999999</v>
      </c>
      <c r="BT202" s="129"/>
      <c r="BU202" s="128">
        <f t="shared" si="43"/>
        <v>-627340.3899999999</v>
      </c>
      <c r="BW202" s="115">
        <f t="shared" si="44"/>
        <v>-82759.810000000056</v>
      </c>
      <c r="BX202" s="117">
        <v>-82759.81</v>
      </c>
      <c r="BY202" s="117"/>
    </row>
    <row r="203" spans="2:83">
      <c r="B203" s="103" t="s">
        <v>577</v>
      </c>
      <c r="C203" s="101" t="s">
        <v>1036</v>
      </c>
      <c r="D203" s="118">
        <v>-561952.96</v>
      </c>
      <c r="E203" s="118">
        <v>-580267.02</v>
      </c>
      <c r="F203" s="118">
        <v>-925119.3</v>
      </c>
      <c r="G203" s="127">
        <v>-743883.39</v>
      </c>
      <c r="H203" s="102">
        <f t="shared" si="35"/>
        <v>-2811222.67</v>
      </c>
      <c r="K203" s="112" t="s">
        <v>577</v>
      </c>
      <c r="L203" s="111" t="s">
        <v>1036</v>
      </c>
      <c r="M203" s="117">
        <v>0</v>
      </c>
      <c r="N203" s="117">
        <v>-577727.59</v>
      </c>
      <c r="O203" s="117">
        <v>-561952.96</v>
      </c>
      <c r="P203" s="117">
        <v>-580267.02</v>
      </c>
      <c r="Q203" s="117">
        <v>-925119.3</v>
      </c>
      <c r="R203" s="117"/>
      <c r="S203" s="117">
        <f t="shared" si="39"/>
        <v>-2645066.87</v>
      </c>
      <c r="T203" s="117">
        <v>-3304426.9699999988</v>
      </c>
      <c r="U203" s="115">
        <f t="shared" si="40"/>
        <v>659360.0999999987</v>
      </c>
      <c r="Y203" s="115">
        <f t="shared" si="41"/>
        <v>0</v>
      </c>
      <c r="Z203" s="117">
        <v>-659360.0999999987</v>
      </c>
      <c r="AA203" s="115">
        <f t="shared" si="42"/>
        <v>0</v>
      </c>
      <c r="AH203" s="79"/>
      <c r="AI203" s="79"/>
      <c r="AJ203" s="79">
        <v>-537528.87</v>
      </c>
      <c r="AK203" s="79">
        <v>-659360.0999999987</v>
      </c>
      <c r="AL203" s="79">
        <f t="shared" si="36"/>
        <v>-659360.0999999987</v>
      </c>
      <c r="AN203" s="79">
        <v>-537528.87</v>
      </c>
      <c r="AO203" s="79">
        <v>-659360.0999999987</v>
      </c>
      <c r="AP203" s="79">
        <v>-577727.59</v>
      </c>
      <c r="AQ203" s="79">
        <v>-561952.96</v>
      </c>
      <c r="AR203" s="79">
        <v>-580267.02</v>
      </c>
      <c r="AS203" s="79">
        <f t="shared" si="37"/>
        <v>-2916836.5399999986</v>
      </c>
      <c r="BB203" s="103" t="s">
        <v>577</v>
      </c>
      <c r="BC203" s="101" t="s">
        <v>1036</v>
      </c>
      <c r="BD203" s="117">
        <v>-577727.59</v>
      </c>
      <c r="BE203" s="117">
        <v>-561952.96</v>
      </c>
      <c r="BF203" s="117">
        <v>-580267.02</v>
      </c>
      <c r="BG203" s="117">
        <v>-925119.3</v>
      </c>
      <c r="BH203" s="129">
        <v>-743883.39</v>
      </c>
      <c r="BI203" s="128">
        <f t="shared" si="38"/>
        <v>-3388950.2600000002</v>
      </c>
      <c r="BM203" s="103" t="s">
        <v>577</v>
      </c>
      <c r="BN203" s="101" t="s">
        <v>1036</v>
      </c>
      <c r="BO203" s="117">
        <v>0</v>
      </c>
      <c r="BP203" s="117">
        <v>-561952.96</v>
      </c>
      <c r="BQ203" s="117">
        <v>-580267.02</v>
      </c>
      <c r="BR203" s="117">
        <v>-925119.3</v>
      </c>
      <c r="BS203" s="129">
        <v>-743883.39</v>
      </c>
      <c r="BT203" s="129"/>
      <c r="BU203" s="128">
        <f t="shared" si="43"/>
        <v>-2811222.67</v>
      </c>
      <c r="BW203" s="115">
        <f t="shared" si="44"/>
        <v>-577727.59000000032</v>
      </c>
      <c r="BX203" s="117">
        <v>-577727.59</v>
      </c>
      <c r="BY203" s="117"/>
    </row>
    <row r="204" spans="2:83">
      <c r="B204" s="103" t="s">
        <v>579</v>
      </c>
      <c r="C204" s="101" t="s">
        <v>1037</v>
      </c>
      <c r="D204" s="118">
        <v>-5020.1499999999996</v>
      </c>
      <c r="E204" s="118">
        <v>-4673.83</v>
      </c>
      <c r="F204" s="118">
        <v>-2787.18</v>
      </c>
      <c r="G204" s="127">
        <v>-11816.3</v>
      </c>
      <c r="H204" s="102">
        <f t="shared" si="35"/>
        <v>-24297.46</v>
      </c>
      <c r="K204" s="112" t="s">
        <v>579</v>
      </c>
      <c r="L204" s="111" t="s">
        <v>1037</v>
      </c>
      <c r="M204" s="117">
        <v>0</v>
      </c>
      <c r="N204" s="117">
        <v>-2261.41</v>
      </c>
      <c r="O204" s="117">
        <v>-5020.1499999999996</v>
      </c>
      <c r="P204" s="117">
        <v>-4673.83</v>
      </c>
      <c r="Q204" s="117">
        <v>-2787.18</v>
      </c>
      <c r="R204" s="117"/>
      <c r="S204" s="117">
        <f t="shared" si="39"/>
        <v>-14742.57</v>
      </c>
      <c r="T204" s="117">
        <v>-17623.489999999994</v>
      </c>
      <c r="U204" s="115">
        <f t="shared" si="40"/>
        <v>2880.9199999999946</v>
      </c>
      <c r="Y204" s="115">
        <f t="shared" si="41"/>
        <v>0</v>
      </c>
      <c r="Z204" s="117">
        <v>-2880.9199999999946</v>
      </c>
      <c r="AA204" s="115">
        <f t="shared" si="42"/>
        <v>0</v>
      </c>
      <c r="AH204" s="79"/>
      <c r="AI204" s="79"/>
      <c r="AJ204" s="79">
        <v>-193.7</v>
      </c>
      <c r="AK204" s="79">
        <v>-2880.9199999999946</v>
      </c>
      <c r="AL204" s="79">
        <f t="shared" si="36"/>
        <v>-2880.9199999999946</v>
      </c>
      <c r="AN204" s="79">
        <v>-193.7</v>
      </c>
      <c r="AO204" s="79">
        <v>-2880.9199999999946</v>
      </c>
      <c r="AP204" s="79">
        <v>-2261.41</v>
      </c>
      <c r="AQ204" s="79">
        <v>-5020.1499999999996</v>
      </c>
      <c r="AR204" s="79">
        <v>-4673.83</v>
      </c>
      <c r="AS204" s="79">
        <f t="shared" si="37"/>
        <v>-15030.009999999993</v>
      </c>
      <c r="BB204" s="103" t="s">
        <v>579</v>
      </c>
      <c r="BC204" s="101" t="s">
        <v>1037</v>
      </c>
      <c r="BD204" s="117">
        <v>-2261.41</v>
      </c>
      <c r="BE204" s="117">
        <v>-5020.1499999999996</v>
      </c>
      <c r="BF204" s="117">
        <v>-4673.83</v>
      </c>
      <c r="BG204" s="117">
        <v>-2787.18</v>
      </c>
      <c r="BH204" s="129">
        <v>-11816.3</v>
      </c>
      <c r="BI204" s="128">
        <f t="shared" si="38"/>
        <v>-26558.87</v>
      </c>
      <c r="BM204" s="103" t="s">
        <v>579</v>
      </c>
      <c r="BN204" s="101" t="s">
        <v>1037</v>
      </c>
      <c r="BO204" s="117">
        <v>0</v>
      </c>
      <c r="BP204" s="117">
        <v>-5020.1499999999996</v>
      </c>
      <c r="BQ204" s="117">
        <v>-4673.83</v>
      </c>
      <c r="BR204" s="117">
        <v>-2787.18</v>
      </c>
      <c r="BS204" s="129">
        <v>-11816.3</v>
      </c>
      <c r="BT204" s="129"/>
      <c r="BU204" s="128">
        <f t="shared" si="43"/>
        <v>-24297.46</v>
      </c>
      <c r="BW204" s="115">
        <f t="shared" si="44"/>
        <v>-2261.41</v>
      </c>
      <c r="BX204" s="117">
        <v>-2261.41</v>
      </c>
      <c r="BY204" s="117"/>
    </row>
    <row r="205" spans="2:83">
      <c r="B205" s="103" t="s">
        <v>581</v>
      </c>
      <c r="C205" s="101" t="s">
        <v>1038</v>
      </c>
      <c r="D205" s="118">
        <v>-114848.32000000001</v>
      </c>
      <c r="E205" s="118">
        <v>-112917.83</v>
      </c>
      <c r="F205" s="118">
        <v>-76120.25</v>
      </c>
      <c r="G205" s="127">
        <v>-56156.05</v>
      </c>
      <c r="H205" s="102">
        <f t="shared" si="35"/>
        <v>-360042.45</v>
      </c>
      <c r="K205" s="112" t="s">
        <v>581</v>
      </c>
      <c r="L205" s="111" t="s">
        <v>1038</v>
      </c>
      <c r="M205" s="117">
        <v>0</v>
      </c>
      <c r="N205" s="117">
        <v>-129214.23</v>
      </c>
      <c r="O205" s="117">
        <v>-114848.32000000001</v>
      </c>
      <c r="P205" s="117">
        <v>-112917.83</v>
      </c>
      <c r="Q205" s="117">
        <v>-76120.25</v>
      </c>
      <c r="R205" s="117"/>
      <c r="S205" s="117">
        <f t="shared" si="39"/>
        <v>-433100.63</v>
      </c>
      <c r="T205" s="117">
        <v>-590634.95000000077</v>
      </c>
      <c r="U205" s="115">
        <f t="shared" si="40"/>
        <v>157534.32000000076</v>
      </c>
      <c r="Y205" s="115">
        <f t="shared" si="41"/>
        <v>0</v>
      </c>
      <c r="Z205" s="117">
        <v>-157534.32000000076</v>
      </c>
      <c r="AA205" s="115">
        <f t="shared" si="42"/>
        <v>0</v>
      </c>
      <c r="AH205" s="79"/>
      <c r="AI205" s="79"/>
      <c r="AJ205" s="79">
        <v>-36327.199999999997</v>
      </c>
      <c r="AK205" s="79">
        <v>-157534.32000000076</v>
      </c>
      <c r="AL205" s="79">
        <f t="shared" si="36"/>
        <v>-157534.32000000076</v>
      </c>
      <c r="AN205" s="79">
        <v>-36327.199999999997</v>
      </c>
      <c r="AO205" s="79">
        <v>-157534.32000000076</v>
      </c>
      <c r="AP205" s="79">
        <v>-129214.23</v>
      </c>
      <c r="AQ205" s="79">
        <v>-114848.32000000001</v>
      </c>
      <c r="AR205" s="79">
        <v>-112917.83</v>
      </c>
      <c r="AS205" s="79">
        <f t="shared" si="37"/>
        <v>-550841.90000000072</v>
      </c>
      <c r="BB205" s="103" t="s">
        <v>581</v>
      </c>
      <c r="BC205" s="101" t="s">
        <v>1038</v>
      </c>
      <c r="BD205" s="117">
        <v>-129214.23</v>
      </c>
      <c r="BE205" s="117">
        <v>-114848.32000000001</v>
      </c>
      <c r="BF205" s="117">
        <v>-112917.83</v>
      </c>
      <c r="BG205" s="117">
        <v>-76120.25</v>
      </c>
      <c r="BH205" s="129">
        <v>-56156.05</v>
      </c>
      <c r="BI205" s="128">
        <f t="shared" si="38"/>
        <v>-489256.68</v>
      </c>
      <c r="BM205" s="103" t="s">
        <v>581</v>
      </c>
      <c r="BN205" s="101" t="s">
        <v>1038</v>
      </c>
      <c r="BO205" s="117">
        <v>0</v>
      </c>
      <c r="BP205" s="117">
        <v>-114848.32000000001</v>
      </c>
      <c r="BQ205" s="117">
        <v>-112917.83</v>
      </c>
      <c r="BR205" s="117">
        <v>-76120.25</v>
      </c>
      <c r="BS205" s="129">
        <v>-56156.05</v>
      </c>
      <c r="BT205" s="129"/>
      <c r="BU205" s="128">
        <f t="shared" si="43"/>
        <v>-360042.45</v>
      </c>
      <c r="BW205" s="115">
        <f t="shared" si="44"/>
        <v>-129214.22999999998</v>
      </c>
      <c r="BX205" s="117">
        <v>-129214.23</v>
      </c>
      <c r="BY205" s="117"/>
    </row>
    <row r="206" spans="2:83">
      <c r="B206" s="103" t="s">
        <v>583</v>
      </c>
      <c r="C206" s="101" t="s">
        <v>1039</v>
      </c>
      <c r="D206" s="118">
        <v>-169760.74</v>
      </c>
      <c r="E206" s="118">
        <v>-77572.13</v>
      </c>
      <c r="F206" s="118">
        <v>-259662.54</v>
      </c>
      <c r="G206" s="127">
        <v>0</v>
      </c>
      <c r="H206" s="102">
        <f t="shared" si="35"/>
        <v>-506995.41000000003</v>
      </c>
      <c r="K206" s="112" t="s">
        <v>583</v>
      </c>
      <c r="L206" s="111" t="s">
        <v>1039</v>
      </c>
      <c r="M206" s="117">
        <v>0</v>
      </c>
      <c r="N206" s="117">
        <v>-141334.24</v>
      </c>
      <c r="O206" s="117">
        <v>-169760.74</v>
      </c>
      <c r="P206" s="117">
        <v>-77572.13</v>
      </c>
      <c r="Q206" s="117">
        <v>-259662.54</v>
      </c>
      <c r="R206" s="117"/>
      <c r="S206" s="117">
        <f t="shared" si="39"/>
        <v>-648329.65</v>
      </c>
      <c r="T206" s="117">
        <v>-794185.9</v>
      </c>
      <c r="U206" s="115">
        <f t="shared" si="40"/>
        <v>145856.25</v>
      </c>
      <c r="Y206" s="115">
        <f t="shared" si="41"/>
        <v>0</v>
      </c>
      <c r="Z206" s="117">
        <v>-145856.25</v>
      </c>
      <c r="AA206" s="115">
        <f t="shared" si="42"/>
        <v>0</v>
      </c>
      <c r="AH206" s="79"/>
      <c r="AI206" s="79"/>
      <c r="AJ206" s="79">
        <v>-186737.96</v>
      </c>
      <c r="AK206" s="79">
        <v>-145856.25</v>
      </c>
      <c r="AL206" s="79">
        <f t="shared" si="36"/>
        <v>-145856.25</v>
      </c>
      <c r="AN206" s="79">
        <v>-186737.96</v>
      </c>
      <c r="AO206" s="79">
        <v>-145856.25</v>
      </c>
      <c r="AP206" s="79">
        <v>-141334.24</v>
      </c>
      <c r="AQ206" s="79">
        <v>-169760.74</v>
      </c>
      <c r="AR206" s="79">
        <v>-77572.13</v>
      </c>
      <c r="AS206" s="79">
        <f t="shared" si="37"/>
        <v>-721261.32</v>
      </c>
      <c r="BB206" s="103" t="s">
        <v>583</v>
      </c>
      <c r="BC206" s="101" t="s">
        <v>1039</v>
      </c>
      <c r="BD206" s="117">
        <v>-141334.24</v>
      </c>
      <c r="BE206" s="117">
        <v>-169760.74</v>
      </c>
      <c r="BF206" s="117">
        <v>-77572.13</v>
      </c>
      <c r="BG206" s="117">
        <v>-259662.54</v>
      </c>
      <c r="BH206" s="129">
        <v>26845.33</v>
      </c>
      <c r="BI206" s="128">
        <f t="shared" si="38"/>
        <v>-621484.32000000007</v>
      </c>
      <c r="BM206" s="103" t="s">
        <v>583</v>
      </c>
      <c r="BN206" s="101" t="s">
        <v>1039</v>
      </c>
      <c r="BO206" s="117">
        <v>0</v>
      </c>
      <c r="BP206" s="117">
        <v>-169760.74</v>
      </c>
      <c r="BQ206" s="117">
        <v>-77572.13</v>
      </c>
      <c r="BR206" s="117">
        <v>-259662.54</v>
      </c>
      <c r="BS206" s="136">
        <v>0</v>
      </c>
      <c r="BT206" s="129"/>
      <c r="BU206" s="128">
        <f t="shared" si="43"/>
        <v>-506995.41000000003</v>
      </c>
      <c r="BW206" s="137">
        <f t="shared" si="44"/>
        <v>-114488.91000000003</v>
      </c>
      <c r="BX206" s="131">
        <v>-141334.24</v>
      </c>
      <c r="BY206" s="117"/>
      <c r="CB206" s="134">
        <v>26845.33</v>
      </c>
      <c r="CC206" s="130">
        <f>+BO206+BS206</f>
        <v>0</v>
      </c>
      <c r="CD206" s="137">
        <f>+BX206+CB206</f>
        <v>-114488.90999999999</v>
      </c>
      <c r="CE206" s="137">
        <f>+BW206-CD206</f>
        <v>0</v>
      </c>
    </row>
    <row r="207" spans="2:83">
      <c r="B207" s="103" t="s">
        <v>585</v>
      </c>
      <c r="C207" s="101" t="s">
        <v>1040</v>
      </c>
      <c r="D207" s="118">
        <v>-26787.75</v>
      </c>
      <c r="E207" s="118">
        <v>-60357.760000000002</v>
      </c>
      <c r="F207" s="118">
        <v>-84124.28</v>
      </c>
      <c r="G207" s="127">
        <v>-116581.54</v>
      </c>
      <c r="H207" s="102">
        <f t="shared" si="35"/>
        <v>-287851.33</v>
      </c>
      <c r="K207" s="112" t="s">
        <v>585</v>
      </c>
      <c r="L207" s="111" t="s">
        <v>1040</v>
      </c>
      <c r="M207" s="117">
        <v>0</v>
      </c>
      <c r="N207" s="117">
        <v>-65828.75</v>
      </c>
      <c r="O207" s="117">
        <v>-26787.75</v>
      </c>
      <c r="P207" s="117">
        <v>-60357.760000000002</v>
      </c>
      <c r="Q207" s="117">
        <v>-84124.28</v>
      </c>
      <c r="R207" s="117"/>
      <c r="S207" s="117">
        <f t="shared" si="39"/>
        <v>-237098.54</v>
      </c>
      <c r="T207" s="117">
        <v>-320987.83000000089</v>
      </c>
      <c r="U207" s="115">
        <f t="shared" si="40"/>
        <v>83889.290000000881</v>
      </c>
      <c r="Y207" s="115">
        <f t="shared" si="41"/>
        <v>0</v>
      </c>
      <c r="Z207" s="117">
        <v>-83889.290000000852</v>
      </c>
      <c r="AA207" s="115">
        <f t="shared" si="42"/>
        <v>0</v>
      </c>
      <c r="AH207" s="79"/>
      <c r="AI207" s="79"/>
      <c r="AJ207" s="79">
        <v>-45568.23</v>
      </c>
      <c r="AK207" s="79">
        <v>-83889.290000000852</v>
      </c>
      <c r="AL207" s="79">
        <f t="shared" si="36"/>
        <v>-83889.290000000852</v>
      </c>
      <c r="AN207" s="79">
        <v>-45568.23</v>
      </c>
      <c r="AO207" s="79">
        <v>-83889.290000000852</v>
      </c>
      <c r="AP207" s="79">
        <v>-65828.75</v>
      </c>
      <c r="AQ207" s="79">
        <v>-26787.75</v>
      </c>
      <c r="AR207" s="79">
        <v>-60357.760000000002</v>
      </c>
      <c r="AS207" s="79">
        <f t="shared" si="37"/>
        <v>-282431.78000000084</v>
      </c>
      <c r="BB207" s="103" t="s">
        <v>585</v>
      </c>
      <c r="BC207" s="101" t="s">
        <v>1040</v>
      </c>
      <c r="BD207" s="117">
        <v>-65828.75</v>
      </c>
      <c r="BE207" s="117">
        <v>-26787.75</v>
      </c>
      <c r="BF207" s="117">
        <v>-60357.760000000002</v>
      </c>
      <c r="BG207" s="117">
        <v>-84124.28</v>
      </c>
      <c r="BH207" s="129">
        <v>-116581.54</v>
      </c>
      <c r="BI207" s="128">
        <f t="shared" si="38"/>
        <v>-353680.08</v>
      </c>
      <c r="BM207" s="103" t="s">
        <v>585</v>
      </c>
      <c r="BN207" s="101" t="s">
        <v>1040</v>
      </c>
      <c r="BO207" s="117">
        <v>0</v>
      </c>
      <c r="BP207" s="117">
        <v>-26787.75</v>
      </c>
      <c r="BQ207" s="117">
        <v>-60357.760000000002</v>
      </c>
      <c r="BR207" s="117">
        <v>-84124.28</v>
      </c>
      <c r="BS207" s="129">
        <v>-116581.54</v>
      </c>
      <c r="BT207" s="129"/>
      <c r="BU207" s="128">
        <f t="shared" si="43"/>
        <v>-287851.33</v>
      </c>
      <c r="BW207" s="115">
        <f t="shared" si="44"/>
        <v>-65828.75</v>
      </c>
      <c r="BX207" s="117">
        <v>-65828.75</v>
      </c>
      <c r="BY207" s="117"/>
    </row>
    <row r="208" spans="2:83">
      <c r="B208" s="103" t="s">
        <v>587</v>
      </c>
      <c r="C208" s="101" t="s">
        <v>1041</v>
      </c>
      <c r="D208" s="118">
        <v>-72973.929999999993</v>
      </c>
      <c r="E208" s="118">
        <v>-82900.960000000006</v>
      </c>
      <c r="F208" s="118">
        <v>-90811.75</v>
      </c>
      <c r="G208" s="127">
        <v>-84607.72</v>
      </c>
      <c r="H208" s="102">
        <f t="shared" si="35"/>
        <v>-331294.36</v>
      </c>
      <c r="K208" s="112" t="s">
        <v>587</v>
      </c>
      <c r="L208" s="111" t="s">
        <v>1041</v>
      </c>
      <c r="M208" s="117">
        <v>0</v>
      </c>
      <c r="N208" s="117">
        <v>-82914.240000000005</v>
      </c>
      <c r="O208" s="117">
        <v>-72973.929999999993</v>
      </c>
      <c r="P208" s="117">
        <v>-82900.960000000006</v>
      </c>
      <c r="Q208" s="117">
        <v>-90811.75</v>
      </c>
      <c r="R208" s="117"/>
      <c r="S208" s="117">
        <f t="shared" si="39"/>
        <v>-329600.88</v>
      </c>
      <c r="T208" s="117">
        <v>-456729.2000000003</v>
      </c>
      <c r="U208" s="115">
        <f t="shared" si="40"/>
        <v>127128.3200000003</v>
      </c>
      <c r="Y208" s="115">
        <f t="shared" si="41"/>
        <v>0</v>
      </c>
      <c r="Z208" s="117">
        <v>-127128.3200000003</v>
      </c>
      <c r="AA208" s="115">
        <f t="shared" si="42"/>
        <v>0</v>
      </c>
      <c r="AH208" s="79"/>
      <c r="AI208" s="79"/>
      <c r="AJ208" s="79">
        <v>-99949.56</v>
      </c>
      <c r="AK208" s="79">
        <v>-127128.3200000003</v>
      </c>
      <c r="AL208" s="79">
        <f t="shared" si="36"/>
        <v>-127128.3200000003</v>
      </c>
      <c r="AN208" s="79">
        <v>-99949.56</v>
      </c>
      <c r="AO208" s="79">
        <v>-127128.3200000003</v>
      </c>
      <c r="AP208" s="79">
        <v>-82914.240000000005</v>
      </c>
      <c r="AQ208" s="79">
        <v>-72973.929999999993</v>
      </c>
      <c r="AR208" s="79">
        <v>-82900.960000000006</v>
      </c>
      <c r="AS208" s="79">
        <f t="shared" si="37"/>
        <v>-465867.0100000003</v>
      </c>
      <c r="BB208" s="103" t="s">
        <v>587</v>
      </c>
      <c r="BC208" s="101" t="s">
        <v>1041</v>
      </c>
      <c r="BD208" s="117">
        <v>-82914.240000000005</v>
      </c>
      <c r="BE208" s="117">
        <v>-72973.929999999993</v>
      </c>
      <c r="BF208" s="117">
        <v>-82900.960000000006</v>
      </c>
      <c r="BG208" s="117">
        <v>-90811.75</v>
      </c>
      <c r="BH208" s="129">
        <v>-84607.72</v>
      </c>
      <c r="BI208" s="128">
        <f t="shared" si="38"/>
        <v>-414208.6</v>
      </c>
      <c r="BM208" s="103" t="s">
        <v>587</v>
      </c>
      <c r="BN208" s="101" t="s">
        <v>1041</v>
      </c>
      <c r="BO208" s="117">
        <v>0</v>
      </c>
      <c r="BP208" s="117">
        <v>-72973.929999999993</v>
      </c>
      <c r="BQ208" s="117">
        <v>-82900.960000000006</v>
      </c>
      <c r="BR208" s="117">
        <v>-90811.75</v>
      </c>
      <c r="BS208" s="129">
        <v>-84607.72</v>
      </c>
      <c r="BT208" s="129"/>
      <c r="BU208" s="128">
        <f t="shared" si="43"/>
        <v>-331294.36</v>
      </c>
      <c r="BW208" s="115">
        <f t="shared" si="44"/>
        <v>-82914.239999999991</v>
      </c>
      <c r="BX208" s="117">
        <v>-82914.240000000005</v>
      </c>
      <c r="BY208" s="117"/>
    </row>
    <row r="209" spans="2:83">
      <c r="B209" s="103" t="s">
        <v>589</v>
      </c>
      <c r="C209" s="101" t="s">
        <v>1042</v>
      </c>
      <c r="D209" s="118">
        <v>-54815.11</v>
      </c>
      <c r="E209" s="118">
        <v>-76667.399999999994</v>
      </c>
      <c r="F209" s="118">
        <v>-87979.33</v>
      </c>
      <c r="G209" s="127">
        <v>-59522.62</v>
      </c>
      <c r="H209" s="102">
        <f t="shared" si="35"/>
        <v>-278984.46000000002</v>
      </c>
      <c r="K209" s="112" t="s">
        <v>589</v>
      </c>
      <c r="L209" s="111" t="s">
        <v>1042</v>
      </c>
      <c r="M209" s="117">
        <v>0</v>
      </c>
      <c r="N209" s="117">
        <v>-61179.78</v>
      </c>
      <c r="O209" s="117">
        <v>-54815.11</v>
      </c>
      <c r="P209" s="117">
        <v>-76667.399999999994</v>
      </c>
      <c r="Q209" s="117">
        <v>-87979.33</v>
      </c>
      <c r="R209" s="117"/>
      <c r="S209" s="117">
        <f t="shared" si="39"/>
        <v>-280641.62</v>
      </c>
      <c r="T209" s="117">
        <v>-323937.28999999986</v>
      </c>
      <c r="U209" s="115">
        <f t="shared" si="40"/>
        <v>43295.669999999867</v>
      </c>
      <c r="Y209" s="115">
        <f t="shared" si="41"/>
        <v>0</v>
      </c>
      <c r="Z209" s="117">
        <v>-43295.669999999867</v>
      </c>
      <c r="AA209" s="115">
        <f t="shared" si="42"/>
        <v>0</v>
      </c>
      <c r="AH209" s="79"/>
      <c r="AI209" s="79"/>
      <c r="AJ209" s="79">
        <v>-61897.5</v>
      </c>
      <c r="AK209" s="79">
        <v>-43295.669999999867</v>
      </c>
      <c r="AL209" s="79">
        <f t="shared" si="36"/>
        <v>-43295.669999999867</v>
      </c>
      <c r="AN209" s="79">
        <v>-61897.5</v>
      </c>
      <c r="AO209" s="79">
        <v>-43295.669999999867</v>
      </c>
      <c r="AP209" s="79">
        <v>-61179.78</v>
      </c>
      <c r="AQ209" s="79">
        <v>-54815.11</v>
      </c>
      <c r="AR209" s="79">
        <v>-76667.399999999994</v>
      </c>
      <c r="AS209" s="79">
        <f t="shared" si="37"/>
        <v>-297855.45999999985</v>
      </c>
      <c r="BB209" s="103" t="s">
        <v>589</v>
      </c>
      <c r="BC209" s="101" t="s">
        <v>1042</v>
      </c>
      <c r="BD209" s="117">
        <v>-61179.78</v>
      </c>
      <c r="BE209" s="117">
        <v>-54815.11</v>
      </c>
      <c r="BF209" s="117">
        <v>-76667.399999999994</v>
      </c>
      <c r="BG209" s="117">
        <v>-87979.33</v>
      </c>
      <c r="BH209" s="129">
        <v>-59522.62</v>
      </c>
      <c r="BI209" s="128">
        <f t="shared" si="38"/>
        <v>-340164.24</v>
      </c>
      <c r="BM209" s="103" t="s">
        <v>589</v>
      </c>
      <c r="BN209" s="101" t="s">
        <v>1042</v>
      </c>
      <c r="BO209" s="117">
        <v>0</v>
      </c>
      <c r="BP209" s="117">
        <v>-54815.11</v>
      </c>
      <c r="BQ209" s="117">
        <v>-76667.399999999994</v>
      </c>
      <c r="BR209" s="117">
        <v>-87979.33</v>
      </c>
      <c r="BS209" s="129">
        <v>-59522.62</v>
      </c>
      <c r="BT209" s="129"/>
      <c r="BU209" s="128">
        <f t="shared" si="43"/>
        <v>-278984.46000000002</v>
      </c>
      <c r="BW209" s="115">
        <f t="shared" si="44"/>
        <v>-61179.77999999997</v>
      </c>
      <c r="BX209" s="117">
        <v>-61179.78</v>
      </c>
      <c r="BY209" s="117"/>
    </row>
    <row r="210" spans="2:83">
      <c r="B210" s="103" t="s">
        <v>591</v>
      </c>
      <c r="C210" s="101" t="s">
        <v>1043</v>
      </c>
      <c r="D210" s="118">
        <v>-101401.7</v>
      </c>
      <c r="E210" s="118">
        <v>-144935.54</v>
      </c>
      <c r="F210" s="118">
        <v>-153240.88</v>
      </c>
      <c r="G210" s="127">
        <v>-179449.09</v>
      </c>
      <c r="H210" s="102">
        <f t="shared" si="35"/>
        <v>-579027.21</v>
      </c>
      <c r="K210" s="112" t="s">
        <v>591</v>
      </c>
      <c r="L210" s="111" t="s">
        <v>1043</v>
      </c>
      <c r="M210" s="117">
        <v>0</v>
      </c>
      <c r="N210" s="117">
        <v>-63090.44</v>
      </c>
      <c r="O210" s="117">
        <v>-101401.7</v>
      </c>
      <c r="P210" s="117">
        <v>-144935.54</v>
      </c>
      <c r="Q210" s="117">
        <v>-153240.88</v>
      </c>
      <c r="R210" s="117"/>
      <c r="S210" s="117">
        <f t="shared" si="39"/>
        <v>-462668.56000000006</v>
      </c>
      <c r="T210" s="117">
        <v>-503653.02999999933</v>
      </c>
      <c r="U210" s="115">
        <f t="shared" si="40"/>
        <v>40984.469999999274</v>
      </c>
      <c r="Y210" s="115">
        <f t="shared" si="41"/>
        <v>0</v>
      </c>
      <c r="Z210" s="117">
        <v>-40984.469999999274</v>
      </c>
      <c r="AA210" s="115">
        <f t="shared" si="42"/>
        <v>0</v>
      </c>
      <c r="AH210" s="79"/>
      <c r="AI210" s="79"/>
      <c r="AJ210" s="79">
        <v>-19354.919999999998</v>
      </c>
      <c r="AK210" s="79">
        <v>-40984.469999999274</v>
      </c>
      <c r="AL210" s="79">
        <f t="shared" si="36"/>
        <v>-40984.469999999274</v>
      </c>
      <c r="AN210" s="79">
        <v>-19354.919999999998</v>
      </c>
      <c r="AO210" s="79">
        <v>-40984.469999999274</v>
      </c>
      <c r="AP210" s="79">
        <v>-63090.44</v>
      </c>
      <c r="AQ210" s="79">
        <v>-101401.7</v>
      </c>
      <c r="AR210" s="79">
        <v>-144935.54</v>
      </c>
      <c r="AS210" s="79">
        <f t="shared" si="37"/>
        <v>-369767.06999999925</v>
      </c>
      <c r="BB210" s="103" t="s">
        <v>591</v>
      </c>
      <c r="BC210" s="101" t="s">
        <v>1043</v>
      </c>
      <c r="BD210" s="117">
        <v>-63090.44</v>
      </c>
      <c r="BE210" s="117">
        <v>-101401.7</v>
      </c>
      <c r="BF210" s="117">
        <v>-144935.54</v>
      </c>
      <c r="BG210" s="117">
        <v>-153240.88</v>
      </c>
      <c r="BH210" s="129">
        <v>-179449.09</v>
      </c>
      <c r="BI210" s="128">
        <f t="shared" si="38"/>
        <v>-642117.65</v>
      </c>
      <c r="BM210" s="103" t="s">
        <v>591</v>
      </c>
      <c r="BN210" s="101" t="s">
        <v>1043</v>
      </c>
      <c r="BO210" s="117">
        <v>0</v>
      </c>
      <c r="BP210" s="117">
        <v>-101401.7</v>
      </c>
      <c r="BQ210" s="117">
        <v>-144935.54</v>
      </c>
      <c r="BR210" s="117">
        <v>-153240.88</v>
      </c>
      <c r="BS210" s="129">
        <v>-179449.09</v>
      </c>
      <c r="BT210" s="129"/>
      <c r="BU210" s="128">
        <f t="shared" si="43"/>
        <v>-579027.21</v>
      </c>
      <c r="BW210" s="115">
        <f t="shared" si="44"/>
        <v>-63090.440000000061</v>
      </c>
      <c r="BX210" s="117">
        <v>-63090.44</v>
      </c>
      <c r="BY210" s="117"/>
    </row>
    <row r="211" spans="2:83">
      <c r="B211" s="103" t="s">
        <v>593</v>
      </c>
      <c r="C211" s="101" t="s">
        <v>1044</v>
      </c>
      <c r="D211" s="118">
        <v>-383442.78</v>
      </c>
      <c r="E211" s="118">
        <v>-484797.35</v>
      </c>
      <c r="F211" s="118">
        <v>-479665.61</v>
      </c>
      <c r="G211" s="127">
        <v>-523047.33</v>
      </c>
      <c r="H211" s="102">
        <f t="shared" si="35"/>
        <v>-1870953.07</v>
      </c>
      <c r="K211" s="112" t="s">
        <v>593</v>
      </c>
      <c r="L211" s="111" t="s">
        <v>1044</v>
      </c>
      <c r="M211" s="117">
        <v>0</v>
      </c>
      <c r="N211" s="117">
        <v>-287877.46999999997</v>
      </c>
      <c r="O211" s="117">
        <v>-383442.78</v>
      </c>
      <c r="P211" s="117">
        <v>-484797.35</v>
      </c>
      <c r="Q211" s="117">
        <v>-479665.61</v>
      </c>
      <c r="R211" s="117"/>
      <c r="S211" s="117">
        <f t="shared" si="39"/>
        <v>-1635783.21</v>
      </c>
      <c r="T211" s="117">
        <v>-1909311.2800000012</v>
      </c>
      <c r="U211" s="115">
        <f t="shared" si="40"/>
        <v>273528.07000000123</v>
      </c>
      <c r="Y211" s="115">
        <f t="shared" si="41"/>
        <v>0</v>
      </c>
      <c r="Z211" s="117">
        <v>-273528.07000000123</v>
      </c>
      <c r="AA211" s="115">
        <f t="shared" si="42"/>
        <v>0</v>
      </c>
      <c r="AH211" s="79"/>
      <c r="AI211" s="79"/>
      <c r="AJ211" s="79">
        <v>-247988.5</v>
      </c>
      <c r="AK211" s="79">
        <v>-273528.07000000123</v>
      </c>
      <c r="AL211" s="79">
        <f t="shared" si="36"/>
        <v>-273528.07000000123</v>
      </c>
      <c r="AN211" s="79">
        <v>-247988.5</v>
      </c>
      <c r="AO211" s="79">
        <v>-273528.07000000123</v>
      </c>
      <c r="AP211" s="79">
        <v>-287877.46999999997</v>
      </c>
      <c r="AQ211" s="79">
        <v>-383442.78</v>
      </c>
      <c r="AR211" s="79">
        <v>-484797.35</v>
      </c>
      <c r="AS211" s="79">
        <f t="shared" si="37"/>
        <v>-1677634.1700000013</v>
      </c>
      <c r="BB211" s="103" t="s">
        <v>593</v>
      </c>
      <c r="BC211" s="101" t="s">
        <v>1044</v>
      </c>
      <c r="BD211" s="117">
        <v>-287877.46999999997</v>
      </c>
      <c r="BE211" s="117">
        <v>-383442.78</v>
      </c>
      <c r="BF211" s="117">
        <v>-484797.35</v>
      </c>
      <c r="BG211" s="117">
        <v>-479665.61</v>
      </c>
      <c r="BH211" s="129">
        <v>-523047.33</v>
      </c>
      <c r="BI211" s="128">
        <f t="shared" si="38"/>
        <v>-2158830.54</v>
      </c>
      <c r="BM211" s="103" t="s">
        <v>593</v>
      </c>
      <c r="BN211" s="101" t="s">
        <v>1044</v>
      </c>
      <c r="BO211" s="117">
        <v>0</v>
      </c>
      <c r="BP211" s="117">
        <v>-383442.78</v>
      </c>
      <c r="BQ211" s="117">
        <v>-484797.35</v>
      </c>
      <c r="BR211" s="117">
        <v>-479665.61</v>
      </c>
      <c r="BS211" s="129">
        <v>-523047.33</v>
      </c>
      <c r="BT211" s="129"/>
      <c r="BU211" s="128">
        <f t="shared" si="43"/>
        <v>-1870953.07</v>
      </c>
      <c r="BW211" s="115">
        <f t="shared" si="44"/>
        <v>-287877.46999999997</v>
      </c>
      <c r="BX211" s="117">
        <v>-287877.46999999997</v>
      </c>
      <c r="BY211" s="117"/>
    </row>
    <row r="212" spans="2:83">
      <c r="B212" s="103" t="s">
        <v>595</v>
      </c>
      <c r="C212" s="101" t="s">
        <v>1045</v>
      </c>
      <c r="D212" s="118">
        <v>-638850.66</v>
      </c>
      <c r="E212" s="118">
        <v>-301914.65000000002</v>
      </c>
      <c r="F212" s="118">
        <v>-640819.56000000006</v>
      </c>
      <c r="G212" s="127">
        <v>-787041.07</v>
      </c>
      <c r="H212" s="102">
        <f t="shared" si="35"/>
        <v>-2368625.94</v>
      </c>
      <c r="K212" s="112" t="s">
        <v>595</v>
      </c>
      <c r="L212" s="111" t="s">
        <v>1045</v>
      </c>
      <c r="M212" s="117">
        <v>0</v>
      </c>
      <c r="N212" s="117">
        <v>-630540.72</v>
      </c>
      <c r="O212" s="117">
        <v>-638850.66</v>
      </c>
      <c r="P212" s="117">
        <v>-301914.65000000002</v>
      </c>
      <c r="Q212" s="117">
        <v>-640819.56000000006</v>
      </c>
      <c r="R212" s="117"/>
      <c r="S212" s="117">
        <f t="shared" si="39"/>
        <v>-2212125.59</v>
      </c>
      <c r="T212" s="117">
        <v>-2947473.03</v>
      </c>
      <c r="U212" s="115">
        <f t="shared" si="40"/>
        <v>735347.44</v>
      </c>
      <c r="Y212" s="115">
        <f t="shared" si="41"/>
        <v>0</v>
      </c>
      <c r="Z212" s="117">
        <v>-735347.44</v>
      </c>
      <c r="AA212" s="115">
        <f t="shared" si="42"/>
        <v>0</v>
      </c>
      <c r="AH212" s="79"/>
      <c r="AI212" s="79"/>
      <c r="AJ212" s="79">
        <v>312603.87</v>
      </c>
      <c r="AK212" s="79">
        <v>-1047951.3100000005</v>
      </c>
      <c r="AL212" s="79">
        <f t="shared" si="36"/>
        <v>-735347.44000000053</v>
      </c>
      <c r="AN212" s="79">
        <v>312603.87</v>
      </c>
      <c r="AO212" s="79">
        <v>-1047951.3100000005</v>
      </c>
      <c r="AP212" s="79">
        <v>-630540.72</v>
      </c>
      <c r="AQ212" s="79">
        <v>-638850.66</v>
      </c>
      <c r="AR212" s="79">
        <v>-301914.65000000002</v>
      </c>
      <c r="AS212" s="79">
        <f t="shared" si="37"/>
        <v>-2306653.4700000007</v>
      </c>
      <c r="BB212" s="103" t="s">
        <v>595</v>
      </c>
      <c r="BC212" s="101" t="s">
        <v>1045</v>
      </c>
      <c r="BD212" s="117">
        <v>-630540.72</v>
      </c>
      <c r="BE212" s="117">
        <v>-638850.66</v>
      </c>
      <c r="BF212" s="117">
        <v>-301914.65000000002</v>
      </c>
      <c r="BG212" s="117">
        <v>-640819.56000000006</v>
      </c>
      <c r="BH212" s="129">
        <v>-787041.07</v>
      </c>
      <c r="BI212" s="128">
        <f t="shared" si="38"/>
        <v>-2999166.6599999997</v>
      </c>
      <c r="BM212" s="103" t="s">
        <v>595</v>
      </c>
      <c r="BN212" s="101" t="s">
        <v>1045</v>
      </c>
      <c r="BO212" s="117">
        <v>0</v>
      </c>
      <c r="BP212" s="117">
        <v>-638850.66</v>
      </c>
      <c r="BQ212" s="117">
        <v>-301914.65000000002</v>
      </c>
      <c r="BR212" s="117">
        <v>-640819.56000000006</v>
      </c>
      <c r="BS212" s="129">
        <v>-787041.07</v>
      </c>
      <c r="BT212" s="129"/>
      <c r="BU212" s="128">
        <f t="shared" si="43"/>
        <v>-2368625.94</v>
      </c>
      <c r="BW212" s="115">
        <f t="shared" si="44"/>
        <v>-630540.71999999974</v>
      </c>
      <c r="BX212" s="117">
        <v>-630540.72</v>
      </c>
      <c r="BY212" s="117"/>
    </row>
    <row r="213" spans="2:83">
      <c r="B213" s="103" t="s">
        <v>601</v>
      </c>
      <c r="C213" s="101" t="s">
        <v>1046</v>
      </c>
      <c r="D213" s="118">
        <v>-100230.87</v>
      </c>
      <c r="E213" s="118">
        <v>-133877.20000000001</v>
      </c>
      <c r="F213" s="118">
        <v>-166747.07999999999</v>
      </c>
      <c r="G213" s="127">
        <v>-183039.3</v>
      </c>
      <c r="H213" s="102">
        <f t="shared" si="35"/>
        <v>-583894.44999999995</v>
      </c>
      <c r="K213" s="112" t="s">
        <v>601</v>
      </c>
      <c r="L213" s="111" t="s">
        <v>1046</v>
      </c>
      <c r="M213" s="117">
        <v>0</v>
      </c>
      <c r="N213" s="117">
        <v>-181044.93</v>
      </c>
      <c r="O213" s="117">
        <v>-100230.87</v>
      </c>
      <c r="P213" s="117">
        <v>-133877.20000000001</v>
      </c>
      <c r="Q213" s="117">
        <v>-166747.07999999999</v>
      </c>
      <c r="R213" s="117"/>
      <c r="S213" s="117">
        <f t="shared" si="39"/>
        <v>-581900.07999999996</v>
      </c>
      <c r="T213" s="117">
        <v>-693793.32</v>
      </c>
      <c r="U213" s="115">
        <f t="shared" si="40"/>
        <v>111893.23999999999</v>
      </c>
      <c r="Y213" s="115">
        <f t="shared" si="41"/>
        <v>0</v>
      </c>
      <c r="Z213" s="117">
        <v>-111893.23999999999</v>
      </c>
      <c r="AA213" s="115">
        <f t="shared" si="42"/>
        <v>0</v>
      </c>
      <c r="AH213" s="79"/>
      <c r="AI213" s="79"/>
      <c r="AJ213" s="79">
        <v>-109921</v>
      </c>
      <c r="AK213" s="79">
        <v>-111893.23999999999</v>
      </c>
      <c r="AL213" s="79">
        <f t="shared" si="36"/>
        <v>-111893.23999999999</v>
      </c>
      <c r="AN213" s="79">
        <v>-109921</v>
      </c>
      <c r="AO213" s="79">
        <v>-111893.23999999999</v>
      </c>
      <c r="AP213" s="79">
        <v>-181044.93</v>
      </c>
      <c r="AQ213" s="79">
        <v>-100230.87</v>
      </c>
      <c r="AR213" s="79">
        <v>-133877.20000000001</v>
      </c>
      <c r="AS213" s="79">
        <f t="shared" si="37"/>
        <v>-636967.24</v>
      </c>
      <c r="BB213" s="103" t="s">
        <v>601</v>
      </c>
      <c r="BC213" s="101" t="s">
        <v>1046</v>
      </c>
      <c r="BD213" s="117">
        <v>-181044.93</v>
      </c>
      <c r="BE213" s="117">
        <v>-100230.87</v>
      </c>
      <c r="BF213" s="117">
        <v>-133877.20000000001</v>
      </c>
      <c r="BG213" s="117">
        <v>-166747.07999999999</v>
      </c>
      <c r="BH213" s="129">
        <v>-183039.3</v>
      </c>
      <c r="BI213" s="128">
        <f t="shared" si="38"/>
        <v>-764939.37999999989</v>
      </c>
      <c r="BM213" s="103" t="s">
        <v>601</v>
      </c>
      <c r="BN213" s="101" t="s">
        <v>1046</v>
      </c>
      <c r="BO213" s="117">
        <v>0</v>
      </c>
      <c r="BP213" s="117">
        <v>-100230.87</v>
      </c>
      <c r="BQ213" s="117">
        <v>-133877.20000000001</v>
      </c>
      <c r="BR213" s="117">
        <v>-166747.07999999999</v>
      </c>
      <c r="BS213" s="129">
        <v>-183039.3</v>
      </c>
      <c r="BT213" s="129"/>
      <c r="BU213" s="128">
        <f t="shared" si="43"/>
        <v>-583894.44999999995</v>
      </c>
      <c r="BW213" s="115">
        <f t="shared" si="44"/>
        <v>-181044.92999999993</v>
      </c>
      <c r="BX213" s="117">
        <v>-181044.93</v>
      </c>
      <c r="BY213" s="117"/>
    </row>
    <row r="214" spans="2:83">
      <c r="B214" s="103" t="s">
        <v>603</v>
      </c>
      <c r="C214" s="101" t="s">
        <v>1047</v>
      </c>
      <c r="D214" s="118">
        <v>48958.39</v>
      </c>
      <c r="E214" s="118">
        <v>-87823.13</v>
      </c>
      <c r="F214" s="118">
        <v>-22925.05</v>
      </c>
      <c r="G214" s="127">
        <v>-136658.31</v>
      </c>
      <c r="H214" s="102">
        <f t="shared" si="35"/>
        <v>-198448.1</v>
      </c>
      <c r="K214" s="112" t="s">
        <v>603</v>
      </c>
      <c r="L214" s="111" t="s">
        <v>1047</v>
      </c>
      <c r="M214" s="117">
        <v>0</v>
      </c>
      <c r="N214" s="117">
        <v>32265.89</v>
      </c>
      <c r="O214" s="117">
        <v>16692.5</v>
      </c>
      <c r="P214" s="117">
        <v>-87823.13</v>
      </c>
      <c r="Q214" s="117">
        <v>-22925.05</v>
      </c>
      <c r="R214" s="117"/>
      <c r="S214" s="117">
        <f t="shared" si="39"/>
        <v>-61789.790000000008</v>
      </c>
      <c r="T214" s="117">
        <v>-61789.790000000008</v>
      </c>
      <c r="U214" s="115">
        <f t="shared" si="40"/>
        <v>0</v>
      </c>
      <c r="W214" s="115">
        <f>+M214+N214</f>
        <v>32265.89</v>
      </c>
      <c r="Y214" s="115">
        <f t="shared" si="41"/>
        <v>-9196.39</v>
      </c>
      <c r="Z214" s="117">
        <v>-9196.39</v>
      </c>
      <c r="AA214" s="115">
        <f t="shared" si="42"/>
        <v>-9196.39</v>
      </c>
      <c r="AH214" s="79"/>
      <c r="AI214" s="79"/>
      <c r="AJ214" s="79">
        <v>19230.55</v>
      </c>
      <c r="AK214" s="79">
        <v>-28426.939999999944</v>
      </c>
      <c r="AL214" s="79">
        <f t="shared" si="36"/>
        <v>-9196.3899999999448</v>
      </c>
      <c r="AN214" s="79">
        <v>19230.55</v>
      </c>
      <c r="AO214" s="79">
        <v>-28426.939999999944</v>
      </c>
      <c r="AP214" s="79">
        <v>41462.28</v>
      </c>
      <c r="AQ214" s="79">
        <v>16692.5</v>
      </c>
      <c r="AR214" s="79">
        <v>-87823.13</v>
      </c>
      <c r="AS214" s="79">
        <f t="shared" si="37"/>
        <v>-38864.739999999947</v>
      </c>
      <c r="BB214" s="103" t="s">
        <v>603</v>
      </c>
      <c r="BC214" s="101" t="s">
        <v>1047</v>
      </c>
      <c r="BD214" s="117">
        <v>32265.89</v>
      </c>
      <c r="BE214" s="117">
        <v>16692.5</v>
      </c>
      <c r="BF214" s="117">
        <v>-87823.13</v>
      </c>
      <c r="BG214" s="117">
        <v>-22925.05</v>
      </c>
      <c r="BH214" s="129">
        <v>-136658.31</v>
      </c>
      <c r="BI214" s="128">
        <f t="shared" si="38"/>
        <v>-198448.1</v>
      </c>
      <c r="BM214" s="103" t="s">
        <v>603</v>
      </c>
      <c r="BN214" s="101" t="s">
        <v>1047</v>
      </c>
      <c r="BO214" s="117">
        <v>0</v>
      </c>
      <c r="BP214" s="131">
        <v>48958.39</v>
      </c>
      <c r="BQ214" s="117">
        <v>-87823.13</v>
      </c>
      <c r="BR214" s="117">
        <v>-22925.05</v>
      </c>
      <c r="BS214" s="129">
        <v>-136658.31</v>
      </c>
      <c r="BT214" s="129"/>
      <c r="BU214" s="128">
        <f t="shared" si="43"/>
        <v>-198448.1</v>
      </c>
      <c r="BW214" s="115">
        <f t="shared" si="44"/>
        <v>0</v>
      </c>
      <c r="BX214" s="131">
        <v>32265.89</v>
      </c>
      <c r="BY214" s="131">
        <v>16692.5</v>
      </c>
      <c r="CC214" s="130">
        <f>+BO214+BP214</f>
        <v>48958.39</v>
      </c>
      <c r="CD214" s="115">
        <f>+BX214+BY214</f>
        <v>48958.39</v>
      </c>
      <c r="CE214" s="115">
        <f>+CC214-CD214</f>
        <v>0</v>
      </c>
    </row>
    <row r="215" spans="2:83">
      <c r="B215" s="103" t="s">
        <v>605</v>
      </c>
      <c r="C215" s="101" t="s">
        <v>1048</v>
      </c>
      <c r="D215" s="118">
        <v>-173850.13</v>
      </c>
      <c r="E215" s="118">
        <v>-221028.87</v>
      </c>
      <c r="F215" s="118">
        <v>-188355.44</v>
      </c>
      <c r="G215" s="127">
        <v>-182556.11</v>
      </c>
      <c r="H215" s="102">
        <f t="shared" si="35"/>
        <v>-765790.54999999993</v>
      </c>
      <c r="K215" s="112" t="s">
        <v>605</v>
      </c>
      <c r="L215" s="111" t="s">
        <v>1048</v>
      </c>
      <c r="M215" s="117">
        <v>0</v>
      </c>
      <c r="N215" s="117">
        <v>-226047.59</v>
      </c>
      <c r="O215" s="117">
        <v>-173850.13</v>
      </c>
      <c r="P215" s="117">
        <v>-221028.87</v>
      </c>
      <c r="Q215" s="117">
        <v>-188355.44</v>
      </c>
      <c r="R215" s="117"/>
      <c r="S215" s="117">
        <f t="shared" si="39"/>
        <v>-809282.03</v>
      </c>
      <c r="T215" s="117">
        <v>-950962.03999999561</v>
      </c>
      <c r="U215" s="115">
        <f t="shared" si="40"/>
        <v>141680.00999999559</v>
      </c>
      <c r="Y215" s="115">
        <f t="shared" si="41"/>
        <v>0</v>
      </c>
      <c r="Z215" s="117">
        <v>-141680.00999999559</v>
      </c>
      <c r="AA215" s="115">
        <f t="shared" si="42"/>
        <v>0</v>
      </c>
      <c r="AH215" s="79"/>
      <c r="AI215" s="79"/>
      <c r="AJ215" s="79">
        <v>-36683.97</v>
      </c>
      <c r="AK215" s="79">
        <v>-141680.00999999559</v>
      </c>
      <c r="AL215" s="79">
        <f t="shared" si="36"/>
        <v>-141680.00999999559</v>
      </c>
      <c r="AN215" s="79">
        <v>-36683.97</v>
      </c>
      <c r="AO215" s="79">
        <v>-141680.00999999559</v>
      </c>
      <c r="AP215" s="79">
        <v>-226047.59</v>
      </c>
      <c r="AQ215" s="79">
        <v>-173850.13</v>
      </c>
      <c r="AR215" s="79">
        <v>-221028.87</v>
      </c>
      <c r="AS215" s="79">
        <f t="shared" si="37"/>
        <v>-799290.56999999552</v>
      </c>
      <c r="BB215" s="103" t="s">
        <v>605</v>
      </c>
      <c r="BC215" s="101" t="s">
        <v>1048</v>
      </c>
      <c r="BD215" s="117">
        <v>-226047.59</v>
      </c>
      <c r="BE215" s="117">
        <v>-173850.13</v>
      </c>
      <c r="BF215" s="117">
        <v>-221028.87</v>
      </c>
      <c r="BG215" s="117">
        <v>-188355.44</v>
      </c>
      <c r="BH215" s="129">
        <v>-182556.11</v>
      </c>
      <c r="BI215" s="128">
        <f t="shared" si="38"/>
        <v>-991838.14</v>
      </c>
      <c r="BM215" s="103" t="s">
        <v>605</v>
      </c>
      <c r="BN215" s="101" t="s">
        <v>1048</v>
      </c>
      <c r="BO215" s="117">
        <v>0</v>
      </c>
      <c r="BP215" s="117">
        <v>-173850.13</v>
      </c>
      <c r="BQ215" s="117">
        <v>-221028.87</v>
      </c>
      <c r="BR215" s="117">
        <v>-188355.44</v>
      </c>
      <c r="BS215" s="129">
        <v>-182556.11</v>
      </c>
      <c r="BT215" s="129"/>
      <c r="BU215" s="128">
        <f t="shared" si="43"/>
        <v>-765790.54999999993</v>
      </c>
      <c r="BW215" s="115">
        <f t="shared" si="44"/>
        <v>-226047.59000000008</v>
      </c>
      <c r="BX215" s="117">
        <v>-226047.59</v>
      </c>
      <c r="BY215" s="117"/>
    </row>
    <row r="216" spans="2:83">
      <c r="B216" s="103" t="s">
        <v>607</v>
      </c>
      <c r="C216" s="101" t="s">
        <v>1049</v>
      </c>
      <c r="D216" s="118">
        <v>-370463</v>
      </c>
      <c r="E216" s="118">
        <v>-869307.17</v>
      </c>
      <c r="F216" s="118">
        <v>-765926.67</v>
      </c>
      <c r="G216" s="127">
        <v>-895837.5</v>
      </c>
      <c r="H216" s="102">
        <f t="shared" si="35"/>
        <v>-2901534.34</v>
      </c>
      <c r="K216" s="112" t="s">
        <v>607</v>
      </c>
      <c r="L216" s="111" t="s">
        <v>1049</v>
      </c>
      <c r="M216" s="117">
        <v>0</v>
      </c>
      <c r="N216" s="117">
        <v>-457331.3</v>
      </c>
      <c r="O216" s="117">
        <v>-370463</v>
      </c>
      <c r="P216" s="117">
        <v>-869307.17</v>
      </c>
      <c r="Q216" s="117">
        <v>-765926.67</v>
      </c>
      <c r="R216" s="117"/>
      <c r="S216" s="117">
        <f t="shared" si="39"/>
        <v>-2463028.14</v>
      </c>
      <c r="T216" s="117">
        <v>-3135276.8999999971</v>
      </c>
      <c r="U216" s="115">
        <f t="shared" si="40"/>
        <v>672248.75999999698</v>
      </c>
      <c r="Y216" s="115">
        <f t="shared" si="41"/>
        <v>0</v>
      </c>
      <c r="Z216" s="117">
        <v>-672248.75999999698</v>
      </c>
      <c r="AA216" s="115">
        <f t="shared" si="42"/>
        <v>0</v>
      </c>
      <c r="AH216" s="79"/>
      <c r="AI216" s="79"/>
      <c r="AJ216" s="79">
        <v>-542817.5</v>
      </c>
      <c r="AK216" s="79">
        <v>-672248.75999999698</v>
      </c>
      <c r="AL216" s="79">
        <f t="shared" si="36"/>
        <v>-672248.75999999698</v>
      </c>
      <c r="AN216" s="79">
        <v>-542817.5</v>
      </c>
      <c r="AO216" s="79">
        <v>-672248.75999999698</v>
      </c>
      <c r="AP216" s="79">
        <v>-457331.3</v>
      </c>
      <c r="AQ216" s="79">
        <v>-370463</v>
      </c>
      <c r="AR216" s="79">
        <v>-869307.17</v>
      </c>
      <c r="AS216" s="79">
        <f t="shared" si="37"/>
        <v>-2912167.7299999972</v>
      </c>
      <c r="BB216" s="103" t="s">
        <v>607</v>
      </c>
      <c r="BC216" s="101" t="s">
        <v>1049</v>
      </c>
      <c r="BD216" s="117">
        <v>-457331.3</v>
      </c>
      <c r="BE216" s="117">
        <v>-370463</v>
      </c>
      <c r="BF216" s="117">
        <v>-869307.17</v>
      </c>
      <c r="BG216" s="117">
        <v>-765926.67</v>
      </c>
      <c r="BH216" s="129">
        <v>-895837.5</v>
      </c>
      <c r="BI216" s="128">
        <f t="shared" si="38"/>
        <v>-3358865.64</v>
      </c>
      <c r="BM216" s="103" t="s">
        <v>607</v>
      </c>
      <c r="BN216" s="101" t="s">
        <v>1049</v>
      </c>
      <c r="BO216" s="117">
        <v>0</v>
      </c>
      <c r="BP216" s="117">
        <v>-370463</v>
      </c>
      <c r="BQ216" s="117">
        <v>-869307.17</v>
      </c>
      <c r="BR216" s="117">
        <v>-765926.67</v>
      </c>
      <c r="BS216" s="129">
        <v>-895837.5</v>
      </c>
      <c r="BT216" s="129"/>
      <c r="BU216" s="128">
        <f t="shared" si="43"/>
        <v>-2901534.34</v>
      </c>
      <c r="BW216" s="115">
        <f t="shared" si="44"/>
        <v>-457331.30000000028</v>
      </c>
      <c r="BX216" s="117">
        <v>-457331.3</v>
      </c>
      <c r="BY216" s="117"/>
    </row>
    <row r="217" spans="2:83">
      <c r="B217" s="103" t="s">
        <v>609</v>
      </c>
      <c r="C217" s="101" t="s">
        <v>1050</v>
      </c>
      <c r="D217" s="118">
        <v>-40117.58</v>
      </c>
      <c r="E217" s="118">
        <v>-45296.63</v>
      </c>
      <c r="F217" s="118">
        <v>-28870.45</v>
      </c>
      <c r="G217" s="127">
        <v>-77402.990000000005</v>
      </c>
      <c r="H217" s="102">
        <f t="shared" si="35"/>
        <v>-191687.65</v>
      </c>
      <c r="K217" s="112" t="s">
        <v>609</v>
      </c>
      <c r="L217" s="111" t="s">
        <v>1050</v>
      </c>
      <c r="M217" s="117">
        <v>0</v>
      </c>
      <c r="N217" s="117">
        <v>-22151.82</v>
      </c>
      <c r="O217" s="117">
        <v>-40117.58</v>
      </c>
      <c r="P217" s="117">
        <v>-45296.63</v>
      </c>
      <c r="Q217" s="117">
        <v>-28870.45</v>
      </c>
      <c r="R217" s="117"/>
      <c r="S217" s="117">
        <f t="shared" si="39"/>
        <v>-136436.48000000001</v>
      </c>
      <c r="T217" s="117">
        <v>-178227.63999999981</v>
      </c>
      <c r="U217" s="115">
        <f t="shared" si="40"/>
        <v>41791.1599999998</v>
      </c>
      <c r="Y217" s="115">
        <f t="shared" si="41"/>
        <v>0</v>
      </c>
      <c r="Z217" s="117">
        <v>-41791.1599999998</v>
      </c>
      <c r="AA217" s="115">
        <f t="shared" si="42"/>
        <v>0</v>
      </c>
      <c r="AH217" s="79"/>
      <c r="AI217" s="79"/>
      <c r="AJ217" s="79">
        <v>-37455.79</v>
      </c>
      <c r="AK217" s="79">
        <v>-41791.1599999998</v>
      </c>
      <c r="AL217" s="79">
        <f t="shared" si="36"/>
        <v>-41791.1599999998</v>
      </c>
      <c r="AN217" s="79">
        <v>-37455.79</v>
      </c>
      <c r="AO217" s="79">
        <v>-41791.1599999998</v>
      </c>
      <c r="AP217" s="79">
        <v>-22151.82</v>
      </c>
      <c r="AQ217" s="79">
        <v>-40117.58</v>
      </c>
      <c r="AR217" s="79">
        <v>-45296.63</v>
      </c>
      <c r="AS217" s="79">
        <f t="shared" si="37"/>
        <v>-186812.97999999981</v>
      </c>
      <c r="BB217" s="103" t="s">
        <v>609</v>
      </c>
      <c r="BC217" s="101" t="s">
        <v>1050</v>
      </c>
      <c r="BD217" s="117">
        <v>-22151.82</v>
      </c>
      <c r="BE217" s="117">
        <v>-40117.58</v>
      </c>
      <c r="BF217" s="117">
        <v>-45296.63</v>
      </c>
      <c r="BG217" s="117">
        <v>-28870.45</v>
      </c>
      <c r="BH217" s="129">
        <v>-77402.990000000005</v>
      </c>
      <c r="BI217" s="128">
        <f t="shared" si="38"/>
        <v>-213839.47000000003</v>
      </c>
      <c r="BM217" s="103" t="s">
        <v>609</v>
      </c>
      <c r="BN217" s="101" t="s">
        <v>1050</v>
      </c>
      <c r="BO217" s="117">
        <v>0</v>
      </c>
      <c r="BP217" s="117">
        <v>-40117.58</v>
      </c>
      <c r="BQ217" s="117">
        <v>-45296.63</v>
      </c>
      <c r="BR217" s="117">
        <v>-28870.45</v>
      </c>
      <c r="BS217" s="129">
        <v>-77402.990000000005</v>
      </c>
      <c r="BT217" s="129"/>
      <c r="BU217" s="128">
        <f t="shared" si="43"/>
        <v>-191687.65</v>
      </c>
      <c r="BW217" s="115">
        <f t="shared" si="44"/>
        <v>-22151.820000000036</v>
      </c>
      <c r="BX217" s="117">
        <v>-22151.82</v>
      </c>
      <c r="BY217" s="117"/>
    </row>
    <row r="218" spans="2:83">
      <c r="B218" s="103" t="s">
        <v>611</v>
      </c>
      <c r="C218" s="101" t="s">
        <v>1051</v>
      </c>
      <c r="D218" s="118">
        <v>-70499.37</v>
      </c>
      <c r="E218" s="118">
        <v>-282141.69</v>
      </c>
      <c r="F218" s="118">
        <v>-225159.65</v>
      </c>
      <c r="G218" s="127">
        <v>-386238.47</v>
      </c>
      <c r="H218" s="102">
        <f t="shared" si="35"/>
        <v>-964039.17999999993</v>
      </c>
      <c r="K218" s="112" t="s">
        <v>611</v>
      </c>
      <c r="L218" s="111" t="s">
        <v>1051</v>
      </c>
      <c r="M218" s="117">
        <v>0</v>
      </c>
      <c r="N218" s="117">
        <v>-145088.91</v>
      </c>
      <c r="O218" s="117">
        <v>-70499.37</v>
      </c>
      <c r="P218" s="117">
        <v>-282141.69</v>
      </c>
      <c r="Q218" s="117">
        <v>-225159.65</v>
      </c>
      <c r="R218" s="117"/>
      <c r="S218" s="117">
        <f t="shared" si="39"/>
        <v>-722889.62</v>
      </c>
      <c r="T218" s="117">
        <v>-722889.62</v>
      </c>
      <c r="U218" s="115">
        <f t="shared" si="40"/>
        <v>0</v>
      </c>
      <c r="W218" s="115">
        <f>+M218+N218</f>
        <v>-145088.91</v>
      </c>
      <c r="Y218" s="115">
        <f t="shared" si="41"/>
        <v>6368.65</v>
      </c>
      <c r="Z218" s="117">
        <v>6368.65</v>
      </c>
      <c r="AA218" s="115">
        <f t="shared" si="42"/>
        <v>6368.65</v>
      </c>
      <c r="AH218" s="82"/>
      <c r="AI218" s="79"/>
      <c r="AJ218" s="79">
        <v>-11476.9</v>
      </c>
      <c r="AK218" s="79">
        <v>17845.549999999115</v>
      </c>
      <c r="AL218" s="79">
        <f t="shared" si="36"/>
        <v>17845.549999999115</v>
      </c>
      <c r="AN218" s="79">
        <v>-11476.9</v>
      </c>
      <c r="AO218" s="79">
        <v>17845.549999999115</v>
      </c>
      <c r="AP218" s="79">
        <v>-151457.56</v>
      </c>
      <c r="AQ218" s="79">
        <v>-70499.37</v>
      </c>
      <c r="AR218" s="79">
        <v>-282141.69</v>
      </c>
      <c r="AS218" s="79">
        <f t="shared" si="37"/>
        <v>-497729.9700000009</v>
      </c>
      <c r="AT218" s="87"/>
      <c r="AU218" s="79">
        <f>+AN218+AO218</f>
        <v>6368.6499999991156</v>
      </c>
      <c r="BB218" s="103" t="s">
        <v>611</v>
      </c>
      <c r="BC218" s="101" t="s">
        <v>1051</v>
      </c>
      <c r="BD218" s="117">
        <v>-145088.91</v>
      </c>
      <c r="BE218" s="117">
        <v>-70499.37</v>
      </c>
      <c r="BF218" s="117">
        <v>-282141.69</v>
      </c>
      <c r="BG218" s="117">
        <v>-225159.65</v>
      </c>
      <c r="BH218" s="129">
        <v>-386238.47</v>
      </c>
      <c r="BI218" s="128">
        <f t="shared" si="38"/>
        <v>-1109128.0899999999</v>
      </c>
      <c r="BM218" s="103" t="s">
        <v>611</v>
      </c>
      <c r="BN218" s="101" t="s">
        <v>1051</v>
      </c>
      <c r="BO218" s="117">
        <v>0</v>
      </c>
      <c r="BP218" s="117">
        <v>-70499.37</v>
      </c>
      <c r="BQ218" s="117">
        <v>-282141.69</v>
      </c>
      <c r="BR218" s="117">
        <v>-225159.65</v>
      </c>
      <c r="BS218" s="129">
        <v>-386238.47</v>
      </c>
      <c r="BT218" s="129"/>
      <c r="BU218" s="128">
        <f t="shared" si="43"/>
        <v>-964039.17999999993</v>
      </c>
      <c r="BW218" s="115">
        <f t="shared" si="44"/>
        <v>-145088.90999999992</v>
      </c>
      <c r="BX218" s="117">
        <v>-145088.91</v>
      </c>
      <c r="BY218" s="117"/>
    </row>
    <row r="219" spans="2:83">
      <c r="B219" s="103" t="s">
        <v>613</v>
      </c>
      <c r="C219" s="101" t="s">
        <v>1052</v>
      </c>
      <c r="D219" s="118">
        <v>-228770.91</v>
      </c>
      <c r="E219" s="118">
        <v>-378891.05</v>
      </c>
      <c r="F219" s="118">
        <v>-373369.14</v>
      </c>
      <c r="G219" s="127">
        <v>-369510.63</v>
      </c>
      <c r="H219" s="102">
        <f t="shared" si="35"/>
        <v>-1350541.73</v>
      </c>
      <c r="K219" s="112" t="s">
        <v>613</v>
      </c>
      <c r="L219" s="111" t="s">
        <v>1052</v>
      </c>
      <c r="M219" s="117">
        <v>0</v>
      </c>
      <c r="N219" s="117">
        <v>-244499.08</v>
      </c>
      <c r="O219" s="117">
        <v>-228770.91</v>
      </c>
      <c r="P219" s="117">
        <v>-378891.05</v>
      </c>
      <c r="Q219" s="117">
        <v>-373369.14</v>
      </c>
      <c r="R219" s="117"/>
      <c r="S219" s="117">
        <f t="shared" si="39"/>
        <v>-1225530.1800000002</v>
      </c>
      <c r="T219" s="117">
        <v>-1528864.5999999982</v>
      </c>
      <c r="U219" s="115">
        <f t="shared" si="40"/>
        <v>303334.41999999806</v>
      </c>
      <c r="Y219" s="115">
        <f t="shared" si="41"/>
        <v>0</v>
      </c>
      <c r="Z219" s="117">
        <v>-303334.41999999806</v>
      </c>
      <c r="AA219" s="115">
        <f t="shared" si="42"/>
        <v>0</v>
      </c>
      <c r="AH219" s="79"/>
      <c r="AI219" s="79"/>
      <c r="AJ219" s="79">
        <v>-201277.23</v>
      </c>
      <c r="AK219" s="79">
        <v>-303334.41999999806</v>
      </c>
      <c r="AL219" s="79">
        <f t="shared" si="36"/>
        <v>-303334.41999999806</v>
      </c>
      <c r="AN219" s="79">
        <v>-201277.23</v>
      </c>
      <c r="AO219" s="79">
        <v>-303334.41999999806</v>
      </c>
      <c r="AP219" s="79">
        <v>-244499.08</v>
      </c>
      <c r="AQ219" s="79">
        <v>-228770.91</v>
      </c>
      <c r="AR219" s="79">
        <v>-378891.05</v>
      </c>
      <c r="AS219" s="79">
        <f t="shared" si="37"/>
        <v>-1356772.6899999981</v>
      </c>
      <c r="BB219" s="103" t="s">
        <v>613</v>
      </c>
      <c r="BC219" s="101" t="s">
        <v>1052</v>
      </c>
      <c r="BD219" s="117">
        <v>-244499.08</v>
      </c>
      <c r="BE219" s="117">
        <v>-228770.91</v>
      </c>
      <c r="BF219" s="117">
        <v>-378891.05</v>
      </c>
      <c r="BG219" s="117">
        <v>-373369.14</v>
      </c>
      <c r="BH219" s="129">
        <v>-369510.63</v>
      </c>
      <c r="BI219" s="128">
        <f t="shared" si="38"/>
        <v>-1595040.81</v>
      </c>
      <c r="BM219" s="103" t="s">
        <v>613</v>
      </c>
      <c r="BN219" s="101" t="s">
        <v>1052</v>
      </c>
      <c r="BO219" s="117">
        <v>0</v>
      </c>
      <c r="BP219" s="117">
        <v>-228770.91</v>
      </c>
      <c r="BQ219" s="117">
        <v>-378891.05</v>
      </c>
      <c r="BR219" s="117">
        <v>-373369.14</v>
      </c>
      <c r="BS219" s="129">
        <v>-369510.63</v>
      </c>
      <c r="BT219" s="129"/>
      <c r="BU219" s="128">
        <f t="shared" si="43"/>
        <v>-1350541.73</v>
      </c>
      <c r="BW219" s="115">
        <f t="shared" si="44"/>
        <v>-244499.08000000007</v>
      </c>
      <c r="BX219" s="117">
        <v>-244499.08</v>
      </c>
      <c r="BY219" s="117"/>
    </row>
    <row r="220" spans="2:83">
      <c r="B220" s="103" t="s">
        <v>614</v>
      </c>
      <c r="C220" s="101" t="s">
        <v>1053</v>
      </c>
      <c r="D220" s="118">
        <v>-44868.49</v>
      </c>
      <c r="E220" s="118">
        <v>-52909.13</v>
      </c>
      <c r="F220" s="118">
        <v>-54773.22</v>
      </c>
      <c r="G220" s="127">
        <v>-54432.800000000003</v>
      </c>
      <c r="H220" s="102">
        <f t="shared" si="35"/>
        <v>-206983.64</v>
      </c>
      <c r="K220" s="112" t="s">
        <v>614</v>
      </c>
      <c r="L220" s="111" t="s">
        <v>1053</v>
      </c>
      <c r="M220" s="117">
        <v>0</v>
      </c>
      <c r="N220" s="117">
        <v>-61165.55</v>
      </c>
      <c r="O220" s="117">
        <v>-44868.49</v>
      </c>
      <c r="P220" s="117">
        <v>-52909.13</v>
      </c>
      <c r="Q220" s="117">
        <v>-54773.22</v>
      </c>
      <c r="R220" s="117"/>
      <c r="S220" s="117">
        <f t="shared" si="39"/>
        <v>-213716.39</v>
      </c>
      <c r="T220" s="117">
        <v>-280800.01000000018</v>
      </c>
      <c r="U220" s="115">
        <f t="shared" si="40"/>
        <v>67083.62000000017</v>
      </c>
      <c r="Y220" s="115">
        <f t="shared" si="41"/>
        <v>0</v>
      </c>
      <c r="Z220" s="117">
        <v>-67083.62000000017</v>
      </c>
      <c r="AA220" s="115">
        <f t="shared" si="42"/>
        <v>0</v>
      </c>
      <c r="AH220" s="79"/>
      <c r="AI220" s="79"/>
      <c r="AJ220" s="79">
        <v>-62504.09</v>
      </c>
      <c r="AK220" s="79">
        <v>-67083.62000000017</v>
      </c>
      <c r="AL220" s="79">
        <f t="shared" si="36"/>
        <v>-67083.62000000017</v>
      </c>
      <c r="AN220" s="79">
        <v>-62504.09</v>
      </c>
      <c r="AO220" s="79">
        <v>-67083.62000000017</v>
      </c>
      <c r="AP220" s="79">
        <v>-61165.55</v>
      </c>
      <c r="AQ220" s="79">
        <v>-44868.49</v>
      </c>
      <c r="AR220" s="79">
        <v>-52909.13</v>
      </c>
      <c r="AS220" s="79">
        <f t="shared" si="37"/>
        <v>-288530.88000000018</v>
      </c>
      <c r="BB220" s="103" t="s">
        <v>614</v>
      </c>
      <c r="BC220" s="101" t="s">
        <v>1053</v>
      </c>
      <c r="BD220" s="117">
        <v>-61165.55</v>
      </c>
      <c r="BE220" s="117">
        <v>-44868.49</v>
      </c>
      <c r="BF220" s="117">
        <v>-52909.13</v>
      </c>
      <c r="BG220" s="117">
        <v>-54773.22</v>
      </c>
      <c r="BH220" s="129">
        <v>-54432.800000000003</v>
      </c>
      <c r="BI220" s="128">
        <f t="shared" si="38"/>
        <v>-268149.19</v>
      </c>
      <c r="BM220" s="103" t="s">
        <v>614</v>
      </c>
      <c r="BN220" s="101" t="s">
        <v>1053</v>
      </c>
      <c r="BO220" s="117">
        <v>0</v>
      </c>
      <c r="BP220" s="117">
        <v>-44868.49</v>
      </c>
      <c r="BQ220" s="117">
        <v>-52909.13</v>
      </c>
      <c r="BR220" s="117">
        <v>-54773.22</v>
      </c>
      <c r="BS220" s="129">
        <v>-54432.800000000003</v>
      </c>
      <c r="BT220" s="129"/>
      <c r="BU220" s="128">
        <f t="shared" si="43"/>
        <v>-206983.64</v>
      </c>
      <c r="BW220" s="115">
        <f t="shared" si="44"/>
        <v>-61165.549999999988</v>
      </c>
      <c r="BX220" s="117">
        <v>-61165.55</v>
      </c>
      <c r="BY220" s="117"/>
    </row>
    <row r="221" spans="2:83">
      <c r="B221" s="103" t="s">
        <v>616</v>
      </c>
      <c r="C221" s="101" t="s">
        <v>1054</v>
      </c>
      <c r="D221" s="118">
        <v>-146540.82999999999</v>
      </c>
      <c r="E221" s="118">
        <v>-49741.57</v>
      </c>
      <c r="F221" s="118">
        <v>-36578.28</v>
      </c>
      <c r="G221" s="127">
        <v>-132583.37</v>
      </c>
      <c r="H221" s="102">
        <f t="shared" si="35"/>
        <v>-365444.05</v>
      </c>
      <c r="K221" s="112" t="s">
        <v>616</v>
      </c>
      <c r="L221" s="111" t="s">
        <v>1054</v>
      </c>
      <c r="M221" s="117">
        <v>0</v>
      </c>
      <c r="N221" s="117">
        <v>-68632.83</v>
      </c>
      <c r="O221" s="117">
        <v>-146540.82999999999</v>
      </c>
      <c r="P221" s="117">
        <v>-49741.57</v>
      </c>
      <c r="Q221" s="117">
        <v>-36578.28</v>
      </c>
      <c r="R221" s="117"/>
      <c r="S221" s="117">
        <f t="shared" si="39"/>
        <v>-301493.51</v>
      </c>
      <c r="T221" s="117">
        <v>-442888.21000000066</v>
      </c>
      <c r="U221" s="115">
        <f t="shared" si="40"/>
        <v>141394.70000000065</v>
      </c>
      <c r="Y221" s="115">
        <f t="shared" si="41"/>
        <v>0</v>
      </c>
      <c r="Z221" s="117">
        <v>-141394.70000000065</v>
      </c>
      <c r="AA221" s="115">
        <f t="shared" si="42"/>
        <v>0</v>
      </c>
      <c r="AH221" s="79"/>
      <c r="AI221" s="79"/>
      <c r="AJ221" s="79">
        <v>-13364.04</v>
      </c>
      <c r="AK221" s="79">
        <v>-141394.70000000065</v>
      </c>
      <c r="AL221" s="79">
        <f t="shared" si="36"/>
        <v>-141394.70000000065</v>
      </c>
      <c r="AN221" s="79">
        <v>-13364.04</v>
      </c>
      <c r="AO221" s="79">
        <v>-141394.70000000065</v>
      </c>
      <c r="AP221" s="79">
        <v>-68632.83</v>
      </c>
      <c r="AQ221" s="79">
        <v>-146540.82999999999</v>
      </c>
      <c r="AR221" s="79">
        <v>-49741.57</v>
      </c>
      <c r="AS221" s="79">
        <f t="shared" si="37"/>
        <v>-419673.97000000061</v>
      </c>
      <c r="BB221" s="103" t="s">
        <v>616</v>
      </c>
      <c r="BC221" s="101" t="s">
        <v>1054</v>
      </c>
      <c r="BD221" s="117">
        <v>-68632.83</v>
      </c>
      <c r="BE221" s="117">
        <v>-146540.82999999999</v>
      </c>
      <c r="BF221" s="117">
        <v>-49741.57</v>
      </c>
      <c r="BG221" s="117">
        <v>-36578.28</v>
      </c>
      <c r="BH221" s="129">
        <v>-132583.37</v>
      </c>
      <c r="BI221" s="128">
        <f t="shared" si="38"/>
        <v>-434076.88</v>
      </c>
      <c r="BM221" s="103" t="s">
        <v>616</v>
      </c>
      <c r="BN221" s="101" t="s">
        <v>1054</v>
      </c>
      <c r="BO221" s="117">
        <v>0</v>
      </c>
      <c r="BP221" s="117">
        <v>-146540.82999999999</v>
      </c>
      <c r="BQ221" s="117">
        <v>-49741.57</v>
      </c>
      <c r="BR221" s="117">
        <v>-36578.28</v>
      </c>
      <c r="BS221" s="129">
        <v>-132583.37</v>
      </c>
      <c r="BT221" s="129"/>
      <c r="BU221" s="128">
        <f t="shared" si="43"/>
        <v>-365444.05</v>
      </c>
      <c r="BW221" s="115">
        <f t="shared" si="44"/>
        <v>-68632.830000000016</v>
      </c>
      <c r="BX221" s="117">
        <v>-68632.83</v>
      </c>
      <c r="BY221" s="117"/>
    </row>
    <row r="222" spans="2:83">
      <c r="B222" s="103" t="s">
        <v>617</v>
      </c>
      <c r="C222" s="101" t="s">
        <v>1055</v>
      </c>
      <c r="D222" s="118">
        <v>-65845.48</v>
      </c>
      <c r="E222" s="118">
        <v>-97418.81</v>
      </c>
      <c r="F222" s="118">
        <v>-153262.07</v>
      </c>
      <c r="G222" s="127">
        <v>-132137.54999999999</v>
      </c>
      <c r="H222" s="102">
        <f t="shared" si="35"/>
        <v>-448663.91</v>
      </c>
      <c r="K222" s="112" t="s">
        <v>617</v>
      </c>
      <c r="L222" s="111" t="s">
        <v>1055</v>
      </c>
      <c r="M222" s="117">
        <v>0</v>
      </c>
      <c r="N222" s="117">
        <v>-3948.99</v>
      </c>
      <c r="O222" s="117">
        <v>-65845.48</v>
      </c>
      <c r="P222" s="117">
        <v>-97418.81</v>
      </c>
      <c r="Q222" s="117">
        <v>-153262.07</v>
      </c>
      <c r="R222" s="117"/>
      <c r="S222" s="117">
        <f t="shared" si="39"/>
        <v>-320475.34999999998</v>
      </c>
      <c r="T222" s="117">
        <v>-381234.28</v>
      </c>
      <c r="U222" s="115">
        <f t="shared" si="40"/>
        <v>60758.930000000051</v>
      </c>
      <c r="Y222" s="115">
        <f t="shared" si="41"/>
        <v>0</v>
      </c>
      <c r="Z222" s="117">
        <v>-60758.930000000051</v>
      </c>
      <c r="AA222" s="115">
        <f t="shared" si="42"/>
        <v>0</v>
      </c>
      <c r="AH222" s="79"/>
      <c r="AI222" s="79"/>
      <c r="AJ222" s="79">
        <v>-49191.16</v>
      </c>
      <c r="AK222" s="79">
        <v>-60758.930000000051</v>
      </c>
      <c r="AL222" s="79">
        <f t="shared" si="36"/>
        <v>-60758.930000000051</v>
      </c>
      <c r="AN222" s="79">
        <v>-49191.16</v>
      </c>
      <c r="AO222" s="79">
        <v>-60758.930000000051</v>
      </c>
      <c r="AP222" s="79">
        <v>-3948.99</v>
      </c>
      <c r="AQ222" s="79">
        <v>-65845.48</v>
      </c>
      <c r="AR222" s="79">
        <v>-97418.81</v>
      </c>
      <c r="AS222" s="79">
        <f t="shared" si="37"/>
        <v>-277163.37000000005</v>
      </c>
      <c r="BB222" s="103" t="s">
        <v>617</v>
      </c>
      <c r="BC222" s="101" t="s">
        <v>1055</v>
      </c>
      <c r="BD222" s="117">
        <v>-3948.99</v>
      </c>
      <c r="BE222" s="117">
        <v>-65845.48</v>
      </c>
      <c r="BF222" s="117">
        <v>-97418.81</v>
      </c>
      <c r="BG222" s="117">
        <v>-153262.07</v>
      </c>
      <c r="BH222" s="129">
        <v>-132137.54999999999</v>
      </c>
      <c r="BI222" s="128">
        <f t="shared" si="38"/>
        <v>-452612.89999999997</v>
      </c>
      <c r="BM222" s="103" t="s">
        <v>617</v>
      </c>
      <c r="BN222" s="101" t="s">
        <v>1055</v>
      </c>
      <c r="BO222" s="117">
        <v>0</v>
      </c>
      <c r="BP222" s="117">
        <v>-65845.48</v>
      </c>
      <c r="BQ222" s="117">
        <v>-97418.81</v>
      </c>
      <c r="BR222" s="117">
        <v>-153262.07</v>
      </c>
      <c r="BS222" s="129">
        <v>-132137.54999999999</v>
      </c>
      <c r="BT222" s="129"/>
      <c r="BU222" s="128">
        <f t="shared" si="43"/>
        <v>-448663.91</v>
      </c>
      <c r="BW222" s="115">
        <f t="shared" si="44"/>
        <v>-3948.9899999999907</v>
      </c>
      <c r="BX222" s="117">
        <v>-3948.99</v>
      </c>
      <c r="BY222" s="117"/>
    </row>
    <row r="223" spans="2:83">
      <c r="B223" s="103" t="s">
        <v>619</v>
      </c>
      <c r="C223" s="101" t="s">
        <v>1056</v>
      </c>
      <c r="D223" s="118">
        <v>-22185.77</v>
      </c>
      <c r="E223" s="118">
        <v>-67679.13</v>
      </c>
      <c r="F223" s="118">
        <v>-67672.990000000005</v>
      </c>
      <c r="G223" s="127">
        <v>-63896.07</v>
      </c>
      <c r="H223" s="102">
        <f t="shared" si="35"/>
        <v>-221433.96000000002</v>
      </c>
      <c r="K223" s="112" t="s">
        <v>619</v>
      </c>
      <c r="L223" s="111" t="s">
        <v>1056</v>
      </c>
      <c r="M223" s="117">
        <v>0</v>
      </c>
      <c r="N223" s="117">
        <v>-36253.730000000003</v>
      </c>
      <c r="O223" s="117">
        <v>-22185.77</v>
      </c>
      <c r="P223" s="117">
        <v>-67679.13</v>
      </c>
      <c r="Q223" s="117">
        <v>-67672.990000000005</v>
      </c>
      <c r="R223" s="117"/>
      <c r="S223" s="117">
        <f t="shared" si="39"/>
        <v>-193791.62</v>
      </c>
      <c r="T223" s="117">
        <v>-243364.52000000025</v>
      </c>
      <c r="U223" s="115">
        <f t="shared" si="40"/>
        <v>49572.900000000256</v>
      </c>
      <c r="Y223" s="115">
        <f t="shared" si="41"/>
        <v>0</v>
      </c>
      <c r="Z223" s="117">
        <v>-49572.900000000256</v>
      </c>
      <c r="AA223" s="115">
        <f t="shared" si="42"/>
        <v>0</v>
      </c>
      <c r="AH223" s="79"/>
      <c r="AI223" s="79"/>
      <c r="AJ223" s="79">
        <v>-6412.53</v>
      </c>
      <c r="AK223" s="79">
        <v>-49572.900000000256</v>
      </c>
      <c r="AL223" s="79">
        <f t="shared" si="36"/>
        <v>-49572.900000000256</v>
      </c>
      <c r="AN223" s="79">
        <v>-6412.53</v>
      </c>
      <c r="AO223" s="79">
        <v>-49572.900000000256</v>
      </c>
      <c r="AP223" s="79">
        <v>-36253.730000000003</v>
      </c>
      <c r="AQ223" s="79">
        <v>-22185.77</v>
      </c>
      <c r="AR223" s="79">
        <v>-67679.13</v>
      </c>
      <c r="AS223" s="79">
        <f t="shared" si="37"/>
        <v>-182104.06000000029</v>
      </c>
      <c r="BB223" s="103" t="s">
        <v>619</v>
      </c>
      <c r="BC223" s="101" t="s">
        <v>1056</v>
      </c>
      <c r="BD223" s="117">
        <v>-36253.730000000003</v>
      </c>
      <c r="BE223" s="117">
        <v>-22185.77</v>
      </c>
      <c r="BF223" s="117">
        <v>-67679.13</v>
      </c>
      <c r="BG223" s="117">
        <v>-67672.990000000005</v>
      </c>
      <c r="BH223" s="129">
        <v>-63896.07</v>
      </c>
      <c r="BI223" s="128">
        <f t="shared" si="38"/>
        <v>-257687.69</v>
      </c>
      <c r="BM223" s="103" t="s">
        <v>619</v>
      </c>
      <c r="BN223" s="101" t="s">
        <v>1056</v>
      </c>
      <c r="BO223" s="117">
        <v>0</v>
      </c>
      <c r="BP223" s="117">
        <v>-22185.77</v>
      </c>
      <c r="BQ223" s="117">
        <v>-67679.13</v>
      </c>
      <c r="BR223" s="117">
        <v>-67672.990000000005</v>
      </c>
      <c r="BS223" s="129">
        <v>-63896.07</v>
      </c>
      <c r="BT223" s="129"/>
      <c r="BU223" s="128">
        <f t="shared" si="43"/>
        <v>-221433.96000000002</v>
      </c>
      <c r="BW223" s="115">
        <f t="shared" si="44"/>
        <v>-36253.729999999981</v>
      </c>
      <c r="BX223" s="117">
        <v>-36253.730000000003</v>
      </c>
      <c r="BY223" s="117"/>
    </row>
    <row r="224" spans="2:83">
      <c r="B224" s="103" t="s">
        <v>621</v>
      </c>
      <c r="C224" s="101" t="s">
        <v>1057</v>
      </c>
      <c r="D224" s="118">
        <v>-55067.28</v>
      </c>
      <c r="E224" s="118">
        <v>-59605.54</v>
      </c>
      <c r="F224" s="118">
        <v>-64559.839999999997</v>
      </c>
      <c r="G224" s="127">
        <v>-64115.839999999997</v>
      </c>
      <c r="H224" s="102">
        <f t="shared" si="35"/>
        <v>-243348.5</v>
      </c>
      <c r="K224" s="112" t="s">
        <v>621</v>
      </c>
      <c r="L224" s="111" t="s">
        <v>1057</v>
      </c>
      <c r="M224" s="117">
        <v>0</v>
      </c>
      <c r="N224" s="117">
        <v>-43521.32</v>
      </c>
      <c r="O224" s="117">
        <v>-55067.28</v>
      </c>
      <c r="P224" s="117">
        <v>-59605.54</v>
      </c>
      <c r="Q224" s="117">
        <v>-64559.839999999997</v>
      </c>
      <c r="R224" s="117"/>
      <c r="S224" s="117">
        <f t="shared" si="39"/>
        <v>-222753.98</v>
      </c>
      <c r="T224" s="117">
        <v>-258336.4</v>
      </c>
      <c r="U224" s="115">
        <f t="shared" si="40"/>
        <v>35582.419999999984</v>
      </c>
      <c r="Y224" s="115">
        <f t="shared" si="41"/>
        <v>0</v>
      </c>
      <c r="Z224" s="117">
        <v>-35582.42</v>
      </c>
      <c r="AA224" s="115">
        <f t="shared" si="42"/>
        <v>0</v>
      </c>
      <c r="AH224" s="79"/>
      <c r="AI224" s="79"/>
      <c r="AJ224" s="79">
        <v>-41455.5</v>
      </c>
      <c r="AK224" s="79">
        <v>-35582.42</v>
      </c>
      <c r="AL224" s="79">
        <f t="shared" si="36"/>
        <v>-35582.42</v>
      </c>
      <c r="AN224" s="79">
        <v>-41455.5</v>
      </c>
      <c r="AO224" s="79">
        <v>-35582.42</v>
      </c>
      <c r="AP224" s="79">
        <v>-43521.32</v>
      </c>
      <c r="AQ224" s="79">
        <v>-55067.28</v>
      </c>
      <c r="AR224" s="79">
        <v>-59605.54</v>
      </c>
      <c r="AS224" s="79">
        <f t="shared" si="37"/>
        <v>-235232.06</v>
      </c>
      <c r="BB224" s="103" t="s">
        <v>621</v>
      </c>
      <c r="BC224" s="101" t="s">
        <v>1057</v>
      </c>
      <c r="BD224" s="117">
        <v>-43521.32</v>
      </c>
      <c r="BE224" s="117">
        <v>-55067.28</v>
      </c>
      <c r="BF224" s="117">
        <v>-59605.54</v>
      </c>
      <c r="BG224" s="117">
        <v>-64559.839999999997</v>
      </c>
      <c r="BH224" s="129">
        <v>-64115.839999999997</v>
      </c>
      <c r="BI224" s="128">
        <f t="shared" si="38"/>
        <v>-286869.82</v>
      </c>
      <c r="BM224" s="103" t="s">
        <v>621</v>
      </c>
      <c r="BN224" s="101" t="s">
        <v>1057</v>
      </c>
      <c r="BO224" s="117">
        <v>0</v>
      </c>
      <c r="BP224" s="117">
        <v>-55067.28</v>
      </c>
      <c r="BQ224" s="117">
        <v>-59605.54</v>
      </c>
      <c r="BR224" s="117">
        <v>-64559.839999999997</v>
      </c>
      <c r="BS224" s="129">
        <v>-64115.839999999997</v>
      </c>
      <c r="BT224" s="129"/>
      <c r="BU224" s="128">
        <f t="shared" si="43"/>
        <v>-243348.5</v>
      </c>
      <c r="BW224" s="115">
        <f t="shared" si="44"/>
        <v>-43521.320000000007</v>
      </c>
      <c r="BX224" s="117">
        <v>-43521.32</v>
      </c>
      <c r="BY224" s="117"/>
    </row>
    <row r="225" spans="2:83">
      <c r="B225" s="103" t="s">
        <v>623</v>
      </c>
      <c r="C225" s="101" t="s">
        <v>1058</v>
      </c>
      <c r="D225" s="118">
        <v>-17280.810000000001</v>
      </c>
      <c r="E225" s="118">
        <v>-28739.86</v>
      </c>
      <c r="F225" s="118">
        <v>-43445.83</v>
      </c>
      <c r="G225" s="127">
        <v>-67269.34</v>
      </c>
      <c r="H225" s="102">
        <f t="shared" si="35"/>
        <v>-156735.84</v>
      </c>
      <c r="K225" s="112" t="s">
        <v>623</v>
      </c>
      <c r="L225" s="111" t="s">
        <v>1058</v>
      </c>
      <c r="M225" s="117">
        <v>0</v>
      </c>
      <c r="N225" s="117">
        <v>-37302.410000000003</v>
      </c>
      <c r="O225" s="117">
        <v>-17280.810000000001</v>
      </c>
      <c r="P225" s="117">
        <v>-28739.86</v>
      </c>
      <c r="Q225" s="117">
        <v>-43445.83</v>
      </c>
      <c r="R225" s="117"/>
      <c r="S225" s="117">
        <f t="shared" si="39"/>
        <v>-126768.91</v>
      </c>
      <c r="T225" s="117">
        <v>-176866.45999999985</v>
      </c>
      <c r="U225" s="115">
        <f t="shared" si="40"/>
        <v>50097.549999999843</v>
      </c>
      <c r="Y225" s="115">
        <f t="shared" si="41"/>
        <v>0</v>
      </c>
      <c r="Z225" s="117">
        <v>-50097.549999999814</v>
      </c>
      <c r="AA225" s="115">
        <f t="shared" si="42"/>
        <v>0</v>
      </c>
      <c r="AH225" s="79"/>
      <c r="AI225" s="79"/>
      <c r="AJ225" s="79">
        <v>-36775.269999999997</v>
      </c>
      <c r="AK225" s="79">
        <v>-50097.549999999814</v>
      </c>
      <c r="AL225" s="79">
        <f t="shared" si="36"/>
        <v>-50097.549999999814</v>
      </c>
      <c r="AN225" s="79">
        <v>-36775.269999999997</v>
      </c>
      <c r="AO225" s="79">
        <v>-50097.549999999814</v>
      </c>
      <c r="AP225" s="79">
        <v>-37302.410000000003</v>
      </c>
      <c r="AQ225" s="79">
        <v>-17280.810000000001</v>
      </c>
      <c r="AR225" s="79">
        <v>-28739.86</v>
      </c>
      <c r="AS225" s="79">
        <f t="shared" si="37"/>
        <v>-170195.89999999979</v>
      </c>
      <c r="BB225" s="103" t="s">
        <v>623</v>
      </c>
      <c r="BC225" s="101" t="s">
        <v>1058</v>
      </c>
      <c r="BD225" s="117">
        <v>-37302.410000000003</v>
      </c>
      <c r="BE225" s="117">
        <v>-17280.810000000001</v>
      </c>
      <c r="BF225" s="117">
        <v>-28739.86</v>
      </c>
      <c r="BG225" s="117">
        <v>-43445.83</v>
      </c>
      <c r="BH225" s="129">
        <v>-67269.34</v>
      </c>
      <c r="BI225" s="128">
        <f t="shared" si="38"/>
        <v>-194038.25</v>
      </c>
      <c r="BM225" s="103" t="s">
        <v>623</v>
      </c>
      <c r="BN225" s="101" t="s">
        <v>1058</v>
      </c>
      <c r="BO225" s="117">
        <v>0</v>
      </c>
      <c r="BP225" s="117">
        <v>-17280.810000000001</v>
      </c>
      <c r="BQ225" s="117">
        <v>-28739.86</v>
      </c>
      <c r="BR225" s="117">
        <v>-43445.83</v>
      </c>
      <c r="BS225" s="129">
        <v>-67269.34</v>
      </c>
      <c r="BT225" s="129"/>
      <c r="BU225" s="128">
        <f t="shared" si="43"/>
        <v>-156735.84</v>
      </c>
      <c r="BW225" s="115">
        <f t="shared" si="44"/>
        <v>-37302.410000000003</v>
      </c>
      <c r="BX225" s="117">
        <v>-37302.410000000003</v>
      </c>
      <c r="BY225" s="117"/>
    </row>
    <row r="226" spans="2:83">
      <c r="B226" s="103" t="s">
        <v>625</v>
      </c>
      <c r="C226" s="101" t="s">
        <v>1059</v>
      </c>
      <c r="D226" s="118">
        <v>-143639.99</v>
      </c>
      <c r="E226" s="118">
        <v>-141327.12</v>
      </c>
      <c r="F226" s="118">
        <v>-137675.91</v>
      </c>
      <c r="G226" s="127">
        <v>-114241.78</v>
      </c>
      <c r="H226" s="102">
        <f t="shared" si="35"/>
        <v>-536884.80000000005</v>
      </c>
      <c r="K226" s="112" t="s">
        <v>625</v>
      </c>
      <c r="L226" s="111" t="s">
        <v>1059</v>
      </c>
      <c r="M226" s="117">
        <v>0</v>
      </c>
      <c r="N226" s="117">
        <v>-91605.94</v>
      </c>
      <c r="O226" s="117">
        <v>-143639.99</v>
      </c>
      <c r="P226" s="117">
        <v>-141327.12</v>
      </c>
      <c r="Q226" s="117">
        <v>-137675.91</v>
      </c>
      <c r="R226" s="117"/>
      <c r="S226" s="117">
        <f t="shared" si="39"/>
        <v>-514248.95999999996</v>
      </c>
      <c r="T226" s="117">
        <v>-608434.62000000011</v>
      </c>
      <c r="U226" s="115">
        <f t="shared" si="40"/>
        <v>94185.660000000149</v>
      </c>
      <c r="Y226" s="115">
        <f t="shared" si="41"/>
        <v>0</v>
      </c>
      <c r="Z226" s="117">
        <v>-94185.660000000149</v>
      </c>
      <c r="AA226" s="115">
        <f t="shared" si="42"/>
        <v>0</v>
      </c>
      <c r="AH226" s="79"/>
      <c r="AI226" s="79"/>
      <c r="AJ226" s="79">
        <v>-72232.429999999993</v>
      </c>
      <c r="AK226" s="79">
        <v>-94185.660000000149</v>
      </c>
      <c r="AL226" s="79">
        <f t="shared" si="36"/>
        <v>-94185.660000000149</v>
      </c>
      <c r="AN226" s="79">
        <v>-72232.429999999993</v>
      </c>
      <c r="AO226" s="79">
        <v>-94185.660000000149</v>
      </c>
      <c r="AP226" s="79">
        <v>-91605.94</v>
      </c>
      <c r="AQ226" s="79">
        <v>-143639.99</v>
      </c>
      <c r="AR226" s="79">
        <v>-141327.12</v>
      </c>
      <c r="AS226" s="79">
        <f t="shared" si="37"/>
        <v>-542991.14000000013</v>
      </c>
      <c r="BB226" s="103" t="s">
        <v>625</v>
      </c>
      <c r="BC226" s="101" t="s">
        <v>1059</v>
      </c>
      <c r="BD226" s="117">
        <v>-91605.94</v>
      </c>
      <c r="BE226" s="117">
        <v>-143639.99</v>
      </c>
      <c r="BF226" s="117">
        <v>-141327.12</v>
      </c>
      <c r="BG226" s="117">
        <v>-137675.91</v>
      </c>
      <c r="BH226" s="129">
        <v>-114241.78</v>
      </c>
      <c r="BI226" s="128">
        <f t="shared" si="38"/>
        <v>-628490.74</v>
      </c>
      <c r="BM226" s="103" t="s">
        <v>625</v>
      </c>
      <c r="BN226" s="101" t="s">
        <v>1059</v>
      </c>
      <c r="BO226" s="117">
        <v>0</v>
      </c>
      <c r="BP226" s="117">
        <v>-143639.99</v>
      </c>
      <c r="BQ226" s="117">
        <v>-141327.12</v>
      </c>
      <c r="BR226" s="117">
        <v>-137675.91</v>
      </c>
      <c r="BS226" s="129">
        <v>-114241.78</v>
      </c>
      <c r="BT226" s="129"/>
      <c r="BU226" s="128">
        <f t="shared" si="43"/>
        <v>-536884.80000000005</v>
      </c>
      <c r="BW226" s="115">
        <f t="shared" si="44"/>
        <v>-91605.939999999944</v>
      </c>
      <c r="BX226" s="117">
        <v>-91605.94</v>
      </c>
      <c r="BY226" s="117"/>
    </row>
    <row r="227" spans="2:83">
      <c r="B227" s="103" t="s">
        <v>627</v>
      </c>
      <c r="C227" s="101" t="s">
        <v>1060</v>
      </c>
      <c r="D227" s="118">
        <v>-78684.3</v>
      </c>
      <c r="E227" s="118">
        <v>-81565.2</v>
      </c>
      <c r="F227" s="118">
        <v>-74940.89</v>
      </c>
      <c r="G227" s="127">
        <v>-65429.37</v>
      </c>
      <c r="H227" s="102">
        <f t="shared" si="35"/>
        <v>-300619.76</v>
      </c>
      <c r="K227" s="112" t="s">
        <v>627</v>
      </c>
      <c r="L227" s="111" t="s">
        <v>1060</v>
      </c>
      <c r="M227" s="117">
        <v>0</v>
      </c>
      <c r="N227" s="117">
        <v>-70728.5</v>
      </c>
      <c r="O227" s="117">
        <v>-78684.3</v>
      </c>
      <c r="P227" s="117">
        <v>-81565.2</v>
      </c>
      <c r="Q227" s="117">
        <v>-74940.89</v>
      </c>
      <c r="R227" s="117"/>
      <c r="S227" s="117">
        <f t="shared" si="39"/>
        <v>-305918.89</v>
      </c>
      <c r="T227" s="117">
        <v>-369936.09000000037</v>
      </c>
      <c r="U227" s="115">
        <f t="shared" si="40"/>
        <v>64017.200000000361</v>
      </c>
      <c r="Y227" s="115">
        <f t="shared" si="41"/>
        <v>0</v>
      </c>
      <c r="Z227" s="117">
        <v>-64017.200000000332</v>
      </c>
      <c r="AA227" s="115">
        <f t="shared" si="42"/>
        <v>0</v>
      </c>
      <c r="AH227" s="79"/>
      <c r="AI227" s="79"/>
      <c r="AJ227" s="79">
        <v>-25990.7</v>
      </c>
      <c r="AK227" s="79">
        <v>-64017.200000000332</v>
      </c>
      <c r="AL227" s="79">
        <f t="shared" si="36"/>
        <v>-64017.200000000332</v>
      </c>
      <c r="AN227" s="79">
        <v>-25990.7</v>
      </c>
      <c r="AO227" s="79">
        <v>-64017.200000000332</v>
      </c>
      <c r="AP227" s="79">
        <v>-70728.5</v>
      </c>
      <c r="AQ227" s="79">
        <v>-78684.3</v>
      </c>
      <c r="AR227" s="79">
        <v>-81565.2</v>
      </c>
      <c r="AS227" s="79">
        <f t="shared" si="37"/>
        <v>-320985.90000000031</v>
      </c>
      <c r="BB227" s="103" t="s">
        <v>627</v>
      </c>
      <c r="BC227" s="101" t="s">
        <v>1060</v>
      </c>
      <c r="BD227" s="117">
        <v>-70728.5</v>
      </c>
      <c r="BE227" s="117">
        <v>-78684.3</v>
      </c>
      <c r="BF227" s="117">
        <v>-81565.2</v>
      </c>
      <c r="BG227" s="117">
        <v>-74940.89</v>
      </c>
      <c r="BH227" s="129">
        <v>-65429.37</v>
      </c>
      <c r="BI227" s="128">
        <f t="shared" si="38"/>
        <v>-371348.26</v>
      </c>
      <c r="BM227" s="103" t="s">
        <v>627</v>
      </c>
      <c r="BN227" s="101" t="s">
        <v>1060</v>
      </c>
      <c r="BO227" s="117">
        <v>0</v>
      </c>
      <c r="BP227" s="117">
        <v>-78684.3</v>
      </c>
      <c r="BQ227" s="117">
        <v>-81565.2</v>
      </c>
      <c r="BR227" s="117">
        <v>-74940.89</v>
      </c>
      <c r="BS227" s="129">
        <v>-65429.37</v>
      </c>
      <c r="BT227" s="129"/>
      <c r="BU227" s="128">
        <f t="shared" si="43"/>
        <v>-300619.76</v>
      </c>
      <c r="BW227" s="115">
        <f t="shared" si="44"/>
        <v>-70728.5</v>
      </c>
      <c r="BX227" s="117">
        <v>-70728.5</v>
      </c>
      <c r="BY227" s="117"/>
    </row>
    <row r="228" spans="2:83">
      <c r="B228" s="103" t="s">
        <v>629</v>
      </c>
      <c r="C228" s="101" t="s">
        <v>1061</v>
      </c>
      <c r="D228" s="118">
        <v>-194014.56</v>
      </c>
      <c r="E228" s="118">
        <v>-204029.86</v>
      </c>
      <c r="F228" s="118">
        <v>-180980.72</v>
      </c>
      <c r="G228" s="127">
        <v>-215401.49</v>
      </c>
      <c r="H228" s="102">
        <f t="shared" si="35"/>
        <v>-794426.63</v>
      </c>
      <c r="K228" s="112" t="s">
        <v>629</v>
      </c>
      <c r="L228" s="111" t="s">
        <v>1061</v>
      </c>
      <c r="M228" s="117">
        <v>0</v>
      </c>
      <c r="N228" s="117">
        <v>-72148.38</v>
      </c>
      <c r="O228" s="117">
        <v>-194014.56</v>
      </c>
      <c r="P228" s="117">
        <v>-204029.86</v>
      </c>
      <c r="Q228" s="117">
        <v>-180980.72</v>
      </c>
      <c r="R228" s="117"/>
      <c r="S228" s="117">
        <f t="shared" si="39"/>
        <v>-651173.52</v>
      </c>
      <c r="T228" s="117">
        <v>-827896.54999999981</v>
      </c>
      <c r="U228" s="115">
        <f t="shared" si="40"/>
        <v>176723.0299999998</v>
      </c>
      <c r="Y228" s="115">
        <f t="shared" si="41"/>
        <v>0</v>
      </c>
      <c r="Z228" s="117">
        <v>-176723.02999999991</v>
      </c>
      <c r="AA228" s="115">
        <f t="shared" si="42"/>
        <v>0</v>
      </c>
      <c r="AH228" s="79"/>
      <c r="AI228" s="79"/>
      <c r="AJ228" s="79">
        <v>-162021.79999999999</v>
      </c>
      <c r="AK228" s="79">
        <v>-176723.02999999991</v>
      </c>
      <c r="AL228" s="79">
        <f t="shared" si="36"/>
        <v>-176723.02999999991</v>
      </c>
      <c r="AN228" s="79">
        <v>-162021.79999999999</v>
      </c>
      <c r="AO228" s="79">
        <v>-176723.02999999991</v>
      </c>
      <c r="AP228" s="79">
        <v>-72148.38</v>
      </c>
      <c r="AQ228" s="79">
        <v>-194014.56</v>
      </c>
      <c r="AR228" s="79">
        <v>-204029.86</v>
      </c>
      <c r="AS228" s="79">
        <f t="shared" si="37"/>
        <v>-808937.62999999989</v>
      </c>
      <c r="BB228" s="103" t="s">
        <v>629</v>
      </c>
      <c r="BC228" s="101" t="s">
        <v>1061</v>
      </c>
      <c r="BD228" s="117">
        <v>-72148.38</v>
      </c>
      <c r="BE228" s="117">
        <v>-194014.56</v>
      </c>
      <c r="BF228" s="117">
        <v>-204029.86</v>
      </c>
      <c r="BG228" s="117">
        <v>-180980.72</v>
      </c>
      <c r="BH228" s="129">
        <v>-215401.49</v>
      </c>
      <c r="BI228" s="128">
        <f t="shared" si="38"/>
        <v>-866575.01</v>
      </c>
      <c r="BM228" s="103" t="s">
        <v>629</v>
      </c>
      <c r="BN228" s="101" t="s">
        <v>1061</v>
      </c>
      <c r="BO228" s="117">
        <v>0</v>
      </c>
      <c r="BP228" s="117">
        <v>-194014.56</v>
      </c>
      <c r="BQ228" s="117">
        <v>-204029.86</v>
      </c>
      <c r="BR228" s="117">
        <v>-180980.72</v>
      </c>
      <c r="BS228" s="129">
        <v>-215401.49</v>
      </c>
      <c r="BT228" s="129"/>
      <c r="BU228" s="128">
        <f t="shared" si="43"/>
        <v>-794426.63</v>
      </c>
      <c r="BW228" s="115">
        <f t="shared" si="44"/>
        <v>-72148.38</v>
      </c>
      <c r="BX228" s="117">
        <v>-72148.38</v>
      </c>
      <c r="BY228" s="117"/>
    </row>
    <row r="229" spans="2:83">
      <c r="B229" s="103" t="s">
        <v>631</v>
      </c>
      <c r="C229" s="101" t="s">
        <v>1062</v>
      </c>
      <c r="D229" s="118">
        <v>-70108.05</v>
      </c>
      <c r="E229" s="118">
        <v>-44843.75</v>
      </c>
      <c r="F229" s="118">
        <v>-46299.64</v>
      </c>
      <c r="G229" s="127">
        <v>-42809.57</v>
      </c>
      <c r="H229" s="102">
        <f t="shared" si="35"/>
        <v>-204061.01</v>
      </c>
      <c r="K229" s="112" t="s">
        <v>631</v>
      </c>
      <c r="L229" s="111" t="s">
        <v>1062</v>
      </c>
      <c r="M229" s="117">
        <v>0</v>
      </c>
      <c r="N229" s="117">
        <v>-53587.1</v>
      </c>
      <c r="O229" s="117">
        <v>-70108.05</v>
      </c>
      <c r="P229" s="117">
        <v>-44843.75</v>
      </c>
      <c r="Q229" s="117">
        <v>-46299.64</v>
      </c>
      <c r="R229" s="117"/>
      <c r="S229" s="117">
        <f t="shared" si="39"/>
        <v>-214838.53999999998</v>
      </c>
      <c r="T229" s="117">
        <v>-274916.31000000011</v>
      </c>
      <c r="U229" s="115">
        <f t="shared" si="40"/>
        <v>60077.770000000135</v>
      </c>
      <c r="Y229" s="115">
        <f t="shared" si="41"/>
        <v>0</v>
      </c>
      <c r="Z229" s="117">
        <v>-60077.770000000106</v>
      </c>
      <c r="AA229" s="115">
        <f t="shared" si="42"/>
        <v>0</v>
      </c>
      <c r="AH229" s="79"/>
      <c r="AI229" s="79"/>
      <c r="AJ229" s="79">
        <v>-51011.86</v>
      </c>
      <c r="AK229" s="79">
        <v>-60077.770000000106</v>
      </c>
      <c r="AL229" s="79">
        <f t="shared" si="36"/>
        <v>-60077.770000000106</v>
      </c>
      <c r="AN229" s="79">
        <v>-51011.86</v>
      </c>
      <c r="AO229" s="79">
        <v>-60077.770000000106</v>
      </c>
      <c r="AP229" s="79">
        <v>-53587.1</v>
      </c>
      <c r="AQ229" s="79">
        <v>-70108.05</v>
      </c>
      <c r="AR229" s="79">
        <v>-44843.75</v>
      </c>
      <c r="AS229" s="79">
        <f t="shared" si="37"/>
        <v>-279628.53000000009</v>
      </c>
      <c r="BB229" s="103" t="s">
        <v>631</v>
      </c>
      <c r="BC229" s="101" t="s">
        <v>1062</v>
      </c>
      <c r="BD229" s="117">
        <v>-53587.1</v>
      </c>
      <c r="BE229" s="117">
        <v>-70108.05</v>
      </c>
      <c r="BF229" s="117">
        <v>-44843.75</v>
      </c>
      <c r="BG229" s="117">
        <v>-46299.64</v>
      </c>
      <c r="BH229" s="129">
        <v>-42809.57</v>
      </c>
      <c r="BI229" s="128">
        <f t="shared" si="38"/>
        <v>-257648.11</v>
      </c>
      <c r="BM229" s="103" t="s">
        <v>631</v>
      </c>
      <c r="BN229" s="101" t="s">
        <v>1062</v>
      </c>
      <c r="BO229" s="117">
        <v>0</v>
      </c>
      <c r="BP229" s="117">
        <v>-70108.05</v>
      </c>
      <c r="BQ229" s="117">
        <v>-44843.75</v>
      </c>
      <c r="BR229" s="117">
        <v>-46299.64</v>
      </c>
      <c r="BS229" s="129">
        <v>-42809.57</v>
      </c>
      <c r="BT229" s="129"/>
      <c r="BU229" s="128">
        <f t="shared" si="43"/>
        <v>-204061.01</v>
      </c>
      <c r="BW229" s="115">
        <f t="shared" si="44"/>
        <v>-53587.099999999977</v>
      </c>
      <c r="BX229" s="117">
        <v>-53587.1</v>
      </c>
      <c r="BY229" s="117"/>
    </row>
    <row r="230" spans="2:83">
      <c r="B230" s="103" t="s">
        <v>633</v>
      </c>
      <c r="C230" s="101" t="s">
        <v>1063</v>
      </c>
      <c r="D230" s="118">
        <v>-25799.439999999999</v>
      </c>
      <c r="E230" s="118">
        <v>-24949.21</v>
      </c>
      <c r="F230" s="118">
        <v>-48859.85</v>
      </c>
      <c r="G230" s="127">
        <v>-42066.31</v>
      </c>
      <c r="H230" s="102">
        <f t="shared" si="35"/>
        <v>-141674.81</v>
      </c>
      <c r="K230" s="112" t="s">
        <v>633</v>
      </c>
      <c r="L230" s="111" t="s">
        <v>1063</v>
      </c>
      <c r="M230" s="117">
        <v>0</v>
      </c>
      <c r="N230" s="117">
        <v>-29235.03</v>
      </c>
      <c r="O230" s="117">
        <v>-25799.439999999999</v>
      </c>
      <c r="P230" s="117">
        <v>-24949.21</v>
      </c>
      <c r="Q230" s="117">
        <v>-48859.85</v>
      </c>
      <c r="R230" s="117"/>
      <c r="S230" s="117">
        <f t="shared" si="39"/>
        <v>-128843.53</v>
      </c>
      <c r="T230" s="117">
        <v>-158949.4</v>
      </c>
      <c r="U230" s="115">
        <f t="shared" si="40"/>
        <v>30105.869999999995</v>
      </c>
      <c r="Y230" s="115">
        <f t="shared" si="41"/>
        <v>0</v>
      </c>
      <c r="Z230" s="117">
        <v>-30105.869999999981</v>
      </c>
      <c r="AA230" s="115">
        <f t="shared" si="42"/>
        <v>0</v>
      </c>
      <c r="AH230" s="79"/>
      <c r="AI230" s="79"/>
      <c r="AJ230" s="79">
        <v>-23401.3</v>
      </c>
      <c r="AK230" s="79">
        <v>-30105.869999999981</v>
      </c>
      <c r="AL230" s="79">
        <f t="shared" si="36"/>
        <v>-30105.869999999981</v>
      </c>
      <c r="AN230" s="79">
        <v>-23401.3</v>
      </c>
      <c r="AO230" s="79">
        <v>-30105.869999999981</v>
      </c>
      <c r="AP230" s="79">
        <v>-29235.03</v>
      </c>
      <c r="AQ230" s="79">
        <v>-25799.439999999999</v>
      </c>
      <c r="AR230" s="79">
        <v>-24949.21</v>
      </c>
      <c r="AS230" s="79">
        <f t="shared" si="37"/>
        <v>-133490.84999999998</v>
      </c>
      <c r="BB230" s="103" t="s">
        <v>633</v>
      </c>
      <c r="BC230" s="101" t="s">
        <v>1063</v>
      </c>
      <c r="BD230" s="117">
        <v>-29235.03</v>
      </c>
      <c r="BE230" s="117">
        <v>-25799.439999999999</v>
      </c>
      <c r="BF230" s="117">
        <v>-24949.21</v>
      </c>
      <c r="BG230" s="117">
        <v>-48859.85</v>
      </c>
      <c r="BH230" s="129">
        <v>-42066.31</v>
      </c>
      <c r="BI230" s="128">
        <f t="shared" si="38"/>
        <v>-170909.84</v>
      </c>
      <c r="BM230" s="103" t="s">
        <v>633</v>
      </c>
      <c r="BN230" s="101" t="s">
        <v>1063</v>
      </c>
      <c r="BO230" s="117">
        <v>0</v>
      </c>
      <c r="BP230" s="117">
        <v>-25799.439999999999</v>
      </c>
      <c r="BQ230" s="117">
        <v>-24949.21</v>
      </c>
      <c r="BR230" s="117">
        <v>-48859.85</v>
      </c>
      <c r="BS230" s="129">
        <v>-42066.31</v>
      </c>
      <c r="BT230" s="129"/>
      <c r="BU230" s="128">
        <f t="shared" si="43"/>
        <v>-141674.81</v>
      </c>
      <c r="BW230" s="115">
        <f t="shared" si="44"/>
        <v>-29235.03</v>
      </c>
      <c r="BX230" s="117">
        <v>-29235.03</v>
      </c>
      <c r="BY230" s="117"/>
    </row>
    <row r="231" spans="2:83">
      <c r="B231" s="103" t="s">
        <v>635</v>
      </c>
      <c r="C231" s="101" t="s">
        <v>867</v>
      </c>
      <c r="D231" s="118">
        <v>-31628.34</v>
      </c>
      <c r="E231" s="118">
        <v>-35812.81</v>
      </c>
      <c r="F231" s="118">
        <v>-41729.11</v>
      </c>
      <c r="G231" s="127">
        <v>-37849.49</v>
      </c>
      <c r="H231" s="102">
        <f t="shared" si="35"/>
        <v>-147019.75</v>
      </c>
      <c r="K231" s="112" t="s">
        <v>635</v>
      </c>
      <c r="L231" s="111" t="s">
        <v>867</v>
      </c>
      <c r="M231" s="117">
        <v>0</v>
      </c>
      <c r="N231" s="117">
        <v>-11336.28</v>
      </c>
      <c r="O231" s="117">
        <v>-31628.34</v>
      </c>
      <c r="P231" s="117">
        <v>-35812.81</v>
      </c>
      <c r="Q231" s="117">
        <v>-41729.11</v>
      </c>
      <c r="R231" s="117"/>
      <c r="S231" s="117">
        <f t="shared" si="39"/>
        <v>-120506.54</v>
      </c>
      <c r="T231" s="117">
        <v>-137774.77999999997</v>
      </c>
      <c r="U231" s="115">
        <f t="shared" si="40"/>
        <v>17268.239999999976</v>
      </c>
      <c r="Y231" s="115">
        <f t="shared" si="41"/>
        <v>0</v>
      </c>
      <c r="Z231" s="117">
        <v>-17268.239999999987</v>
      </c>
      <c r="AA231" s="115">
        <f t="shared" si="42"/>
        <v>0</v>
      </c>
      <c r="AH231" s="79"/>
      <c r="AI231" s="79"/>
      <c r="AJ231" s="79">
        <v>-16343.72</v>
      </c>
      <c r="AK231" s="79">
        <v>-17268.239999999987</v>
      </c>
      <c r="AL231" s="79">
        <f t="shared" si="36"/>
        <v>-17268.239999999987</v>
      </c>
      <c r="AN231" s="79">
        <v>-16343.72</v>
      </c>
      <c r="AO231" s="79">
        <v>-17268.239999999987</v>
      </c>
      <c r="AP231" s="79">
        <v>-11336.28</v>
      </c>
      <c r="AQ231" s="79">
        <v>-31628.34</v>
      </c>
      <c r="AR231" s="79">
        <v>-35812.81</v>
      </c>
      <c r="AS231" s="79">
        <f t="shared" si="37"/>
        <v>-112389.38999999998</v>
      </c>
      <c r="BB231" s="103" t="s">
        <v>635</v>
      </c>
      <c r="BC231" s="101" t="s">
        <v>867</v>
      </c>
      <c r="BD231" s="117">
        <v>-11336.28</v>
      </c>
      <c r="BE231" s="117">
        <v>-31628.34</v>
      </c>
      <c r="BF231" s="117">
        <v>-35812.81</v>
      </c>
      <c r="BG231" s="117">
        <v>-41729.11</v>
      </c>
      <c r="BH231" s="129">
        <v>-37849.49</v>
      </c>
      <c r="BI231" s="128">
        <f t="shared" si="38"/>
        <v>-158356.03</v>
      </c>
      <c r="BM231" s="103" t="s">
        <v>635</v>
      </c>
      <c r="BN231" s="101" t="s">
        <v>867</v>
      </c>
      <c r="BO231" s="117">
        <v>0</v>
      </c>
      <c r="BP231" s="117">
        <v>-31628.34</v>
      </c>
      <c r="BQ231" s="117">
        <v>-35812.81</v>
      </c>
      <c r="BR231" s="117">
        <v>-41729.11</v>
      </c>
      <c r="BS231" s="129">
        <v>-37849.49</v>
      </c>
      <c r="BT231" s="129"/>
      <c r="BU231" s="128">
        <f t="shared" si="43"/>
        <v>-147019.75</v>
      </c>
      <c r="BW231" s="115">
        <f t="shared" si="44"/>
        <v>-11336.279999999999</v>
      </c>
      <c r="BX231" s="117">
        <v>-11336.28</v>
      </c>
      <c r="BY231" s="117"/>
    </row>
    <row r="232" spans="2:83">
      <c r="B232" s="103" t="s">
        <v>636</v>
      </c>
      <c r="C232" s="101" t="s">
        <v>1064</v>
      </c>
      <c r="D232" s="118">
        <v>-43049.77</v>
      </c>
      <c r="E232" s="118">
        <v>-65798.66</v>
      </c>
      <c r="F232" s="118">
        <v>-57297.41</v>
      </c>
      <c r="G232" s="127">
        <v>-39456.080000000002</v>
      </c>
      <c r="H232" s="102">
        <f t="shared" si="35"/>
        <v>-205601.91999999998</v>
      </c>
      <c r="K232" s="112" t="s">
        <v>636</v>
      </c>
      <c r="L232" s="111" t="s">
        <v>1064</v>
      </c>
      <c r="M232" s="117">
        <v>0</v>
      </c>
      <c r="N232" s="117">
        <v>-36131.620000000003</v>
      </c>
      <c r="O232" s="117">
        <v>-43049.77</v>
      </c>
      <c r="P232" s="117">
        <v>-65798.66</v>
      </c>
      <c r="Q232" s="117">
        <v>-57297.41</v>
      </c>
      <c r="R232" s="117"/>
      <c r="S232" s="117">
        <f t="shared" si="39"/>
        <v>-202277.46</v>
      </c>
      <c r="T232" s="117">
        <v>-224863.14</v>
      </c>
      <c r="U232" s="115">
        <f t="shared" si="40"/>
        <v>22585.680000000022</v>
      </c>
      <c r="Y232" s="115">
        <f t="shared" si="41"/>
        <v>0</v>
      </c>
      <c r="Z232" s="117">
        <v>-22585.68</v>
      </c>
      <c r="AA232" s="115">
        <f t="shared" si="42"/>
        <v>0</v>
      </c>
      <c r="AH232" s="79"/>
      <c r="AI232" s="79"/>
      <c r="AJ232" s="79">
        <v>3626.67</v>
      </c>
      <c r="AK232" s="79">
        <v>-26212.049999999872</v>
      </c>
      <c r="AL232" s="79">
        <f t="shared" si="36"/>
        <v>-22585.379999999874</v>
      </c>
      <c r="AN232" s="79">
        <v>3626.67</v>
      </c>
      <c r="AO232" s="79">
        <v>-26212.049999999872</v>
      </c>
      <c r="AP232" s="79">
        <v>-36131.620000000003</v>
      </c>
      <c r="AQ232" s="79">
        <v>-43049.77</v>
      </c>
      <c r="AR232" s="79">
        <v>-65798.66</v>
      </c>
      <c r="AS232" s="79">
        <f t="shared" si="37"/>
        <v>-167565.42999999988</v>
      </c>
      <c r="BB232" s="103" t="s">
        <v>636</v>
      </c>
      <c r="BC232" s="101" t="s">
        <v>1064</v>
      </c>
      <c r="BD232" s="117">
        <v>-36131.620000000003</v>
      </c>
      <c r="BE232" s="117">
        <v>-43049.77</v>
      </c>
      <c r="BF232" s="117">
        <v>-65798.66</v>
      </c>
      <c r="BG232" s="117">
        <v>-57297.41</v>
      </c>
      <c r="BH232" s="129">
        <v>-39456.080000000002</v>
      </c>
      <c r="BI232" s="128">
        <f t="shared" si="38"/>
        <v>-241733.53999999998</v>
      </c>
      <c r="BM232" s="103" t="s">
        <v>636</v>
      </c>
      <c r="BN232" s="101" t="s">
        <v>1064</v>
      </c>
      <c r="BO232" s="117">
        <v>0</v>
      </c>
      <c r="BP232" s="117">
        <v>-43049.77</v>
      </c>
      <c r="BQ232" s="117">
        <v>-65798.66</v>
      </c>
      <c r="BR232" s="117">
        <v>-57297.41</v>
      </c>
      <c r="BS232" s="129">
        <v>-39456.080000000002</v>
      </c>
      <c r="BT232" s="129"/>
      <c r="BU232" s="128">
        <f t="shared" si="43"/>
        <v>-205601.91999999998</v>
      </c>
      <c r="BW232" s="115">
        <f t="shared" si="44"/>
        <v>-36131.619999999995</v>
      </c>
      <c r="BX232" s="117">
        <v>-36131.620000000003</v>
      </c>
      <c r="BY232" s="117"/>
    </row>
    <row r="233" spans="2:83">
      <c r="B233" s="103" t="s">
        <v>637</v>
      </c>
      <c r="C233" s="101" t="s">
        <v>1065</v>
      </c>
      <c r="D233" s="118">
        <v>-22796.02</v>
      </c>
      <c r="E233" s="118">
        <v>-68828.960000000006</v>
      </c>
      <c r="F233" s="118">
        <v>-47066.41</v>
      </c>
      <c r="G233" s="127">
        <v>-168688.91</v>
      </c>
      <c r="H233" s="102">
        <f t="shared" si="35"/>
        <v>-307380.30000000005</v>
      </c>
      <c r="K233" s="112" t="s">
        <v>637</v>
      </c>
      <c r="L233" s="111" t="s">
        <v>1065</v>
      </c>
      <c r="M233" s="117">
        <v>0</v>
      </c>
      <c r="N233" s="117">
        <v>-59396.89</v>
      </c>
      <c r="O233" s="117">
        <v>-22796.02</v>
      </c>
      <c r="P233" s="117">
        <v>-68828.960000000006</v>
      </c>
      <c r="Q233" s="117">
        <v>-47066.41</v>
      </c>
      <c r="R233" s="117"/>
      <c r="S233" s="117">
        <f t="shared" si="39"/>
        <v>-198088.28</v>
      </c>
      <c r="T233" s="117">
        <v>-238437.97999999989</v>
      </c>
      <c r="U233" s="115">
        <f t="shared" si="40"/>
        <v>40349.699999999895</v>
      </c>
      <c r="Y233" s="115">
        <f t="shared" si="41"/>
        <v>0</v>
      </c>
      <c r="Z233" s="117">
        <v>-40349.699999999895</v>
      </c>
      <c r="AA233" s="115">
        <f t="shared" si="42"/>
        <v>0</v>
      </c>
      <c r="AH233" s="79"/>
      <c r="AI233" s="79"/>
      <c r="AJ233" s="79">
        <v>-35742.639999999999</v>
      </c>
      <c r="AK233" s="79">
        <v>-40349.699999999895</v>
      </c>
      <c r="AL233" s="79">
        <f t="shared" si="36"/>
        <v>-40349.699999999895</v>
      </c>
      <c r="AN233" s="79">
        <v>-35742.639999999999</v>
      </c>
      <c r="AO233" s="79">
        <v>-40349.699999999895</v>
      </c>
      <c r="AP233" s="79">
        <v>-59396.89</v>
      </c>
      <c r="AQ233" s="79">
        <v>-22796.02</v>
      </c>
      <c r="AR233" s="79">
        <v>-68828.960000000006</v>
      </c>
      <c r="AS233" s="79">
        <f t="shared" si="37"/>
        <v>-227114.2099999999</v>
      </c>
      <c r="BB233" s="103" t="s">
        <v>637</v>
      </c>
      <c r="BC233" s="101" t="s">
        <v>1065</v>
      </c>
      <c r="BD233" s="117">
        <v>-59396.89</v>
      </c>
      <c r="BE233" s="117">
        <v>-22796.02</v>
      </c>
      <c r="BF233" s="117">
        <v>-68828.960000000006</v>
      </c>
      <c r="BG233" s="117">
        <v>-47066.41</v>
      </c>
      <c r="BH233" s="129">
        <v>-168688.91</v>
      </c>
      <c r="BI233" s="128">
        <f t="shared" si="38"/>
        <v>-366777.19</v>
      </c>
      <c r="BM233" s="103" t="s">
        <v>637</v>
      </c>
      <c r="BN233" s="101" t="s">
        <v>1065</v>
      </c>
      <c r="BO233" s="117">
        <v>0</v>
      </c>
      <c r="BP233" s="117">
        <v>-22796.02</v>
      </c>
      <c r="BQ233" s="117">
        <v>-68828.960000000006</v>
      </c>
      <c r="BR233" s="117">
        <v>-47066.41</v>
      </c>
      <c r="BS233" s="129">
        <v>-168688.91</v>
      </c>
      <c r="BT233" s="129"/>
      <c r="BU233" s="128">
        <f t="shared" si="43"/>
        <v>-307380.30000000005</v>
      </c>
      <c r="BW233" s="115">
        <f t="shared" si="44"/>
        <v>-59396.889999999956</v>
      </c>
      <c r="BX233" s="117">
        <v>-59396.89</v>
      </c>
      <c r="BY233" s="117"/>
    </row>
    <row r="234" spans="2:83">
      <c r="B234" s="103" t="s">
        <v>639</v>
      </c>
      <c r="C234" s="101" t="s">
        <v>1066</v>
      </c>
      <c r="D234" s="118">
        <v>-56385.57</v>
      </c>
      <c r="E234" s="118">
        <v>-64467.01</v>
      </c>
      <c r="F234" s="118">
        <v>-60305.65</v>
      </c>
      <c r="G234" s="127">
        <v>-73736.479999999996</v>
      </c>
      <c r="H234" s="102">
        <f t="shared" si="35"/>
        <v>-254894.71000000002</v>
      </c>
      <c r="K234" s="112" t="s">
        <v>639</v>
      </c>
      <c r="L234" s="111" t="s">
        <v>1066</v>
      </c>
      <c r="M234" s="117">
        <v>0</v>
      </c>
      <c r="N234" s="117">
        <v>-67094.63</v>
      </c>
      <c r="O234" s="117">
        <v>-56385.57</v>
      </c>
      <c r="P234" s="117">
        <v>-64467.01</v>
      </c>
      <c r="Q234" s="117">
        <v>-60305.65</v>
      </c>
      <c r="R234" s="117"/>
      <c r="S234" s="117">
        <f t="shared" si="39"/>
        <v>-248252.86000000002</v>
      </c>
      <c r="T234" s="117">
        <v>-320930.01</v>
      </c>
      <c r="U234" s="115">
        <f t="shared" si="40"/>
        <v>72677.149999999994</v>
      </c>
      <c r="Y234" s="115">
        <f t="shared" si="41"/>
        <v>0</v>
      </c>
      <c r="Z234" s="117">
        <v>-72677.149999999965</v>
      </c>
      <c r="AA234" s="115">
        <f t="shared" si="42"/>
        <v>0</v>
      </c>
      <c r="AH234" s="79"/>
      <c r="AI234" s="79"/>
      <c r="AJ234" s="79">
        <v>-28935.94</v>
      </c>
      <c r="AK234" s="79">
        <v>-72677.149999999965</v>
      </c>
      <c r="AL234" s="79">
        <f t="shared" si="36"/>
        <v>-72677.149999999965</v>
      </c>
      <c r="AN234" s="79">
        <v>-28935.94</v>
      </c>
      <c r="AO234" s="79">
        <v>-72677.149999999965</v>
      </c>
      <c r="AP234" s="79">
        <v>-67094.63</v>
      </c>
      <c r="AQ234" s="79">
        <v>-56385.57</v>
      </c>
      <c r="AR234" s="79">
        <v>-64467.01</v>
      </c>
      <c r="AS234" s="79">
        <f t="shared" si="37"/>
        <v>-289560.3</v>
      </c>
      <c r="BB234" s="103" t="s">
        <v>639</v>
      </c>
      <c r="BC234" s="101" t="s">
        <v>1066</v>
      </c>
      <c r="BD234" s="117">
        <v>-67094.63</v>
      </c>
      <c r="BE234" s="117">
        <v>-56385.57</v>
      </c>
      <c r="BF234" s="117">
        <v>-64467.01</v>
      </c>
      <c r="BG234" s="117">
        <v>-60305.65</v>
      </c>
      <c r="BH234" s="129">
        <v>-73736.479999999996</v>
      </c>
      <c r="BI234" s="128">
        <f t="shared" si="38"/>
        <v>-321989.34000000003</v>
      </c>
      <c r="BM234" s="103" t="s">
        <v>639</v>
      </c>
      <c r="BN234" s="101" t="s">
        <v>1066</v>
      </c>
      <c r="BO234" s="117">
        <v>0</v>
      </c>
      <c r="BP234" s="117">
        <v>-56385.57</v>
      </c>
      <c r="BQ234" s="117">
        <v>-64467.01</v>
      </c>
      <c r="BR234" s="117">
        <v>-60305.65</v>
      </c>
      <c r="BS234" s="129">
        <v>-73736.479999999996</v>
      </c>
      <c r="BT234" s="129"/>
      <c r="BU234" s="128">
        <f t="shared" si="43"/>
        <v>-254894.71000000002</v>
      </c>
      <c r="BW234" s="115">
        <f t="shared" si="44"/>
        <v>-67094.63</v>
      </c>
      <c r="BX234" s="117">
        <v>-67094.63</v>
      </c>
      <c r="BY234" s="117"/>
    </row>
    <row r="235" spans="2:83">
      <c r="B235" s="103" t="s">
        <v>641</v>
      </c>
      <c r="C235" s="101" t="s">
        <v>1067</v>
      </c>
      <c r="D235" s="118">
        <v>-26495.65</v>
      </c>
      <c r="E235" s="118">
        <v>-34826.699999999997</v>
      </c>
      <c r="F235" s="118">
        <v>-18898.53</v>
      </c>
      <c r="G235" s="127">
        <v>-21280.17</v>
      </c>
      <c r="H235" s="102">
        <f t="shared" si="35"/>
        <v>-101501.05</v>
      </c>
      <c r="K235" s="112" t="s">
        <v>641</v>
      </c>
      <c r="L235" s="111" t="s">
        <v>1067</v>
      </c>
      <c r="M235" s="117">
        <v>0</v>
      </c>
      <c r="N235" s="117">
        <v>-52313.23</v>
      </c>
      <c r="O235" s="117">
        <v>-26495.65</v>
      </c>
      <c r="P235" s="117">
        <v>-34826.699999999997</v>
      </c>
      <c r="Q235" s="117">
        <v>-18898.53</v>
      </c>
      <c r="R235" s="117"/>
      <c r="S235" s="117">
        <f t="shared" si="39"/>
        <v>-132534.10999999999</v>
      </c>
      <c r="T235" s="117">
        <v>-152267.15999999971</v>
      </c>
      <c r="U235" s="115">
        <f t="shared" si="40"/>
        <v>19733.049999999726</v>
      </c>
      <c r="Y235" s="115">
        <f t="shared" si="41"/>
        <v>2.9103830456733704E-11</v>
      </c>
      <c r="Z235" s="117">
        <v>-19733.049999999697</v>
      </c>
      <c r="AA235" s="115">
        <f t="shared" si="42"/>
        <v>2.9103830456733704E-11</v>
      </c>
      <c r="AH235" s="79"/>
      <c r="AI235" s="79"/>
      <c r="AJ235" s="79">
        <v>-19813.16</v>
      </c>
      <c r="AK235" s="79">
        <v>-19733.049999999697</v>
      </c>
      <c r="AL235" s="79">
        <f t="shared" si="36"/>
        <v>-19733.049999999697</v>
      </c>
      <c r="AN235" s="79">
        <v>-19813.16</v>
      </c>
      <c r="AO235" s="79">
        <v>-19733.049999999697</v>
      </c>
      <c r="AP235" s="79">
        <v>-52313.23</v>
      </c>
      <c r="AQ235" s="79">
        <v>-26495.65</v>
      </c>
      <c r="AR235" s="79">
        <v>-34826.699999999997</v>
      </c>
      <c r="AS235" s="79">
        <f t="shared" si="37"/>
        <v>-153181.78999999969</v>
      </c>
      <c r="BB235" s="103" t="s">
        <v>641</v>
      </c>
      <c r="BC235" s="101" t="s">
        <v>1067</v>
      </c>
      <c r="BD235" s="117">
        <v>-52313.23</v>
      </c>
      <c r="BE235" s="117">
        <v>-26495.65</v>
      </c>
      <c r="BF235" s="117">
        <v>-34826.699999999997</v>
      </c>
      <c r="BG235" s="117">
        <v>-18898.53</v>
      </c>
      <c r="BH235" s="129">
        <v>-21280.17</v>
      </c>
      <c r="BI235" s="128">
        <f t="shared" si="38"/>
        <v>-153814.27999999997</v>
      </c>
      <c r="BM235" s="103" t="s">
        <v>641</v>
      </c>
      <c r="BN235" s="101" t="s">
        <v>1067</v>
      </c>
      <c r="BO235" s="117">
        <v>0</v>
      </c>
      <c r="BP235" s="117">
        <v>-26495.65</v>
      </c>
      <c r="BQ235" s="117">
        <v>-34826.699999999997</v>
      </c>
      <c r="BR235" s="117">
        <v>-18898.53</v>
      </c>
      <c r="BS235" s="129">
        <v>-21280.17</v>
      </c>
      <c r="BT235" s="129"/>
      <c r="BU235" s="128">
        <f t="shared" si="43"/>
        <v>-101501.05</v>
      </c>
      <c r="BW235" s="115">
        <f t="shared" si="44"/>
        <v>-52313.229999999967</v>
      </c>
      <c r="BX235" s="117">
        <v>-52313.23</v>
      </c>
      <c r="BY235" s="117"/>
    </row>
    <row r="236" spans="2:83">
      <c r="B236" s="103" t="s">
        <v>643</v>
      </c>
      <c r="C236" s="101" t="s">
        <v>1068</v>
      </c>
      <c r="D236" s="118">
        <v>-146168.54</v>
      </c>
      <c r="E236" s="118">
        <v>-170678.77</v>
      </c>
      <c r="F236" s="118">
        <v>-169043.5</v>
      </c>
      <c r="G236" s="127">
        <v>-171636.37</v>
      </c>
      <c r="H236" s="102">
        <f t="shared" si="35"/>
        <v>-657527.17999999993</v>
      </c>
      <c r="K236" s="112" t="s">
        <v>643</v>
      </c>
      <c r="L236" s="111" t="s">
        <v>1068</v>
      </c>
      <c r="M236" s="117">
        <v>0</v>
      </c>
      <c r="N236" s="117">
        <v>-106284.98</v>
      </c>
      <c r="O236" s="117">
        <v>-146168.54</v>
      </c>
      <c r="P236" s="117">
        <v>-170678.77</v>
      </c>
      <c r="Q236" s="117">
        <v>-169043.5</v>
      </c>
      <c r="R236" s="117"/>
      <c r="S236" s="117">
        <f t="shared" si="39"/>
        <v>-592175.79</v>
      </c>
      <c r="T236" s="117">
        <v>-677426.4999999986</v>
      </c>
      <c r="U236" s="115">
        <f t="shared" si="40"/>
        <v>85250.709999998566</v>
      </c>
      <c r="Y236" s="115">
        <f t="shared" si="41"/>
        <v>0</v>
      </c>
      <c r="Z236" s="117">
        <v>-85250.709999998566</v>
      </c>
      <c r="AA236" s="115">
        <f t="shared" si="42"/>
        <v>0</v>
      </c>
      <c r="AH236" s="79"/>
      <c r="AI236" s="79"/>
      <c r="AJ236" s="79">
        <v>-40203.760000000002</v>
      </c>
      <c r="AK236" s="79">
        <v>-85250.709999998566</v>
      </c>
      <c r="AL236" s="79">
        <f t="shared" si="36"/>
        <v>-85250.709999998566</v>
      </c>
      <c r="AN236" s="79">
        <v>-40203.760000000002</v>
      </c>
      <c r="AO236" s="79">
        <v>-85250.709999998566</v>
      </c>
      <c r="AP236" s="79">
        <v>-106284.98</v>
      </c>
      <c r="AQ236" s="79">
        <v>-146168.54</v>
      </c>
      <c r="AR236" s="79">
        <v>-170678.77</v>
      </c>
      <c r="AS236" s="79">
        <f t="shared" si="37"/>
        <v>-548586.75999999861</v>
      </c>
      <c r="BB236" s="103" t="s">
        <v>643</v>
      </c>
      <c r="BC236" s="101" t="s">
        <v>1068</v>
      </c>
      <c r="BD236" s="117">
        <v>-106284.98</v>
      </c>
      <c r="BE236" s="117">
        <v>-146168.54</v>
      </c>
      <c r="BF236" s="117">
        <v>-170678.77</v>
      </c>
      <c r="BG236" s="117">
        <v>-169043.5</v>
      </c>
      <c r="BH236" s="129">
        <v>-171636.37</v>
      </c>
      <c r="BI236" s="128">
        <f t="shared" si="38"/>
        <v>-763812.16</v>
      </c>
      <c r="BM236" s="103" t="s">
        <v>643</v>
      </c>
      <c r="BN236" s="101" t="s">
        <v>1068</v>
      </c>
      <c r="BO236" s="117">
        <v>0</v>
      </c>
      <c r="BP236" s="117">
        <v>-146168.54</v>
      </c>
      <c r="BQ236" s="117">
        <v>-170678.77</v>
      </c>
      <c r="BR236" s="117">
        <v>-169043.5</v>
      </c>
      <c r="BS236" s="129">
        <v>-171636.37</v>
      </c>
      <c r="BT236" s="129"/>
      <c r="BU236" s="128">
        <f t="shared" si="43"/>
        <v>-657527.17999999993</v>
      </c>
      <c r="BW236" s="115">
        <f t="shared" si="44"/>
        <v>-106284.9800000001</v>
      </c>
      <c r="BX236" s="117">
        <v>-106284.98</v>
      </c>
      <c r="BY236" s="117"/>
    </row>
    <row r="237" spans="2:83">
      <c r="B237" s="103" t="s">
        <v>645</v>
      </c>
      <c r="C237" s="101" t="s">
        <v>1069</v>
      </c>
      <c r="D237" s="118">
        <v>153863.26</v>
      </c>
      <c r="E237" s="118">
        <v>-668929.29</v>
      </c>
      <c r="F237" s="118">
        <v>-129844.15</v>
      </c>
      <c r="G237" s="127">
        <v>-179121.49</v>
      </c>
      <c r="H237" s="102">
        <f t="shared" si="35"/>
        <v>-824031.67</v>
      </c>
      <c r="K237" s="112" t="s">
        <v>645</v>
      </c>
      <c r="L237" s="111" t="s">
        <v>1069</v>
      </c>
      <c r="M237" s="117">
        <v>0</v>
      </c>
      <c r="N237" s="117">
        <v>108092.44</v>
      </c>
      <c r="O237" s="117">
        <v>45770.82</v>
      </c>
      <c r="P237" s="117">
        <v>-668929.29</v>
      </c>
      <c r="Q237" s="117">
        <v>-129844.15</v>
      </c>
      <c r="R237" s="117"/>
      <c r="S237" s="117">
        <f t="shared" si="39"/>
        <v>-644910.18000000005</v>
      </c>
      <c r="T237" s="117">
        <v>-644910.18000000005</v>
      </c>
      <c r="U237" s="115">
        <f t="shared" si="40"/>
        <v>0</v>
      </c>
      <c r="W237" s="115">
        <f>+M237+N237</f>
        <v>108092.44</v>
      </c>
      <c r="Y237" s="115">
        <f t="shared" si="41"/>
        <v>170854.08</v>
      </c>
      <c r="Z237" s="117">
        <v>170854.08</v>
      </c>
      <c r="AA237" s="115">
        <f t="shared" si="42"/>
        <v>170854.08</v>
      </c>
      <c r="AH237" s="79"/>
      <c r="AI237" s="79"/>
      <c r="AJ237" s="79">
        <v>200113.33</v>
      </c>
      <c r="AK237" s="79">
        <v>-29259.249999996275</v>
      </c>
      <c r="AL237" s="79">
        <f t="shared" si="36"/>
        <v>170854.08000000371</v>
      </c>
      <c r="AN237" s="79">
        <v>200113.33</v>
      </c>
      <c r="AO237" s="79">
        <v>-29259.249999996275</v>
      </c>
      <c r="AP237" s="79">
        <v>-62761.64</v>
      </c>
      <c r="AQ237" s="79">
        <v>45770.82</v>
      </c>
      <c r="AR237" s="79">
        <v>-668929.29</v>
      </c>
      <c r="AS237" s="79">
        <f t="shared" si="37"/>
        <v>-515066.0299999963</v>
      </c>
      <c r="BB237" s="103" t="s">
        <v>645</v>
      </c>
      <c r="BC237" s="101" t="s">
        <v>1069</v>
      </c>
      <c r="BD237" s="117">
        <v>108092.44</v>
      </c>
      <c r="BE237" s="117">
        <v>45770.82</v>
      </c>
      <c r="BF237" s="117">
        <v>-668929.29</v>
      </c>
      <c r="BG237" s="117">
        <v>-129844.15</v>
      </c>
      <c r="BH237" s="129">
        <v>-179121.49</v>
      </c>
      <c r="BI237" s="128">
        <f t="shared" si="38"/>
        <v>-824031.67</v>
      </c>
      <c r="BM237" s="103" t="s">
        <v>645</v>
      </c>
      <c r="BN237" s="101" t="s">
        <v>1069</v>
      </c>
      <c r="BO237" s="117">
        <v>0</v>
      </c>
      <c r="BP237" s="131">
        <v>153863.26</v>
      </c>
      <c r="BQ237" s="117">
        <v>-668929.29</v>
      </c>
      <c r="BR237" s="117">
        <v>-129844.15</v>
      </c>
      <c r="BS237" s="129">
        <v>-179121.49</v>
      </c>
      <c r="BT237" s="129"/>
      <c r="BU237" s="128">
        <f t="shared" si="43"/>
        <v>-824031.67</v>
      </c>
      <c r="BW237" s="115">
        <f t="shared" si="44"/>
        <v>0</v>
      </c>
      <c r="BX237" s="131">
        <v>108092.44</v>
      </c>
      <c r="BY237" s="131">
        <v>45770.82</v>
      </c>
      <c r="CC237" s="130">
        <f>+BO237+BP237</f>
        <v>153863.26</v>
      </c>
      <c r="CD237" s="115">
        <f>+BX237+BY237</f>
        <v>153863.26</v>
      </c>
      <c r="CE237" s="115">
        <f>+CC237-CD237</f>
        <v>0</v>
      </c>
    </row>
    <row r="238" spans="2:83">
      <c r="B238" s="103" t="s">
        <v>647</v>
      </c>
      <c r="C238" s="101" t="s">
        <v>1070</v>
      </c>
      <c r="D238" s="118">
        <v>-138543.74</v>
      </c>
      <c r="E238" s="118">
        <v>-126861.63</v>
      </c>
      <c r="F238" s="118">
        <v>-240978.43</v>
      </c>
      <c r="G238" s="127">
        <v>-243011.77</v>
      </c>
      <c r="H238" s="102">
        <f t="shared" si="35"/>
        <v>-749395.57</v>
      </c>
      <c r="K238" s="112" t="s">
        <v>647</v>
      </c>
      <c r="L238" s="111" t="s">
        <v>1070</v>
      </c>
      <c r="M238" s="117">
        <v>0</v>
      </c>
      <c r="N238" s="117">
        <v>-126692.37</v>
      </c>
      <c r="O238" s="117">
        <v>-138543.74</v>
      </c>
      <c r="P238" s="117">
        <v>-126861.63</v>
      </c>
      <c r="Q238" s="117">
        <v>-240978.43</v>
      </c>
      <c r="R238" s="117"/>
      <c r="S238" s="117">
        <f t="shared" si="39"/>
        <v>-633076.16999999993</v>
      </c>
      <c r="T238" s="117">
        <v>-770595.34000000171</v>
      </c>
      <c r="U238" s="115">
        <f t="shared" si="40"/>
        <v>137519.17000000179</v>
      </c>
      <c r="Y238" s="115">
        <f t="shared" si="41"/>
        <v>0</v>
      </c>
      <c r="Z238" s="117">
        <v>-137519.17000000179</v>
      </c>
      <c r="AA238" s="115">
        <f t="shared" si="42"/>
        <v>0</v>
      </c>
      <c r="AH238" s="79"/>
      <c r="AI238" s="79"/>
      <c r="AJ238" s="79">
        <v>-129742.21</v>
      </c>
      <c r="AK238" s="79">
        <v>-137519.17000000179</v>
      </c>
      <c r="AL238" s="79">
        <f t="shared" si="36"/>
        <v>-137519.17000000179</v>
      </c>
      <c r="AN238" s="79">
        <v>-129742.21</v>
      </c>
      <c r="AO238" s="79">
        <v>-137519.17000000179</v>
      </c>
      <c r="AP238" s="79">
        <v>-126692.37</v>
      </c>
      <c r="AQ238" s="79">
        <v>-138543.74</v>
      </c>
      <c r="AR238" s="79">
        <v>-126861.63</v>
      </c>
      <c r="AS238" s="79">
        <f t="shared" si="37"/>
        <v>-659359.12000000186</v>
      </c>
      <c r="BB238" s="103" t="s">
        <v>647</v>
      </c>
      <c r="BC238" s="101" t="s">
        <v>1070</v>
      </c>
      <c r="BD238" s="117">
        <v>-126692.37</v>
      </c>
      <c r="BE238" s="117">
        <v>-138543.74</v>
      </c>
      <c r="BF238" s="117">
        <v>-126861.63</v>
      </c>
      <c r="BG238" s="117">
        <v>-240978.43</v>
      </c>
      <c r="BH238" s="129">
        <v>-243011.77</v>
      </c>
      <c r="BI238" s="128">
        <f t="shared" si="38"/>
        <v>-876087.94</v>
      </c>
      <c r="BM238" s="103" t="s">
        <v>647</v>
      </c>
      <c r="BN238" s="101" t="s">
        <v>1070</v>
      </c>
      <c r="BO238" s="117">
        <v>0</v>
      </c>
      <c r="BP238" s="117">
        <v>-138543.74</v>
      </c>
      <c r="BQ238" s="117">
        <v>-126861.63</v>
      </c>
      <c r="BR238" s="117">
        <v>-240978.43</v>
      </c>
      <c r="BS238" s="129">
        <v>-243011.77</v>
      </c>
      <c r="BT238" s="129"/>
      <c r="BU238" s="128">
        <f t="shared" si="43"/>
        <v>-749395.57</v>
      </c>
      <c r="BW238" s="115">
        <f t="shared" si="44"/>
        <v>-126692.37</v>
      </c>
      <c r="BX238" s="117">
        <v>-126692.37</v>
      </c>
      <c r="BY238" s="117"/>
    </row>
    <row r="239" spans="2:83">
      <c r="B239" s="103" t="s">
        <v>649</v>
      </c>
      <c r="C239" s="101" t="s">
        <v>1071</v>
      </c>
      <c r="D239" s="118">
        <v>-210516.73</v>
      </c>
      <c r="E239" s="118">
        <v>-344764.55</v>
      </c>
      <c r="F239" s="118">
        <v>-319451.61</v>
      </c>
      <c r="G239" s="127">
        <v>-363539.57</v>
      </c>
      <c r="H239" s="102">
        <f t="shared" si="35"/>
        <v>-1238272.46</v>
      </c>
      <c r="K239" s="112" t="s">
        <v>649</v>
      </c>
      <c r="L239" s="111" t="s">
        <v>1071</v>
      </c>
      <c r="M239" s="117">
        <v>0</v>
      </c>
      <c r="N239" s="117">
        <v>-261852.15</v>
      </c>
      <c r="O239" s="117">
        <v>-210516.73</v>
      </c>
      <c r="P239" s="117">
        <v>-344764.55</v>
      </c>
      <c r="Q239" s="117">
        <v>-319451.61</v>
      </c>
      <c r="R239" s="117"/>
      <c r="S239" s="117">
        <f t="shared" si="39"/>
        <v>-1136585.04</v>
      </c>
      <c r="T239" s="117">
        <v>-1391022.5999999996</v>
      </c>
      <c r="U239" s="115">
        <f t="shared" si="40"/>
        <v>254437.55999999959</v>
      </c>
      <c r="Y239" s="115">
        <f t="shared" si="41"/>
        <v>0</v>
      </c>
      <c r="Z239" s="117">
        <v>-254437.55999999959</v>
      </c>
      <c r="AA239" s="115">
        <f t="shared" si="42"/>
        <v>0</v>
      </c>
      <c r="AH239" s="79"/>
      <c r="AI239" s="79"/>
      <c r="AJ239" s="79">
        <v>-168079.27</v>
      </c>
      <c r="AK239" s="79">
        <v>-254437.55999999959</v>
      </c>
      <c r="AL239" s="79">
        <f t="shared" si="36"/>
        <v>-254437.55999999959</v>
      </c>
      <c r="AN239" s="79">
        <v>-168079.27</v>
      </c>
      <c r="AO239" s="79">
        <v>-254437.55999999959</v>
      </c>
      <c r="AP239" s="79">
        <v>-261852.15</v>
      </c>
      <c r="AQ239" s="79">
        <v>-210516.73</v>
      </c>
      <c r="AR239" s="79">
        <v>-344764.55</v>
      </c>
      <c r="AS239" s="79">
        <f t="shared" si="37"/>
        <v>-1239650.2599999995</v>
      </c>
      <c r="BB239" s="103" t="s">
        <v>649</v>
      </c>
      <c r="BC239" s="101" t="s">
        <v>1071</v>
      </c>
      <c r="BD239" s="117">
        <v>-261852.15</v>
      </c>
      <c r="BE239" s="117">
        <v>-210516.73</v>
      </c>
      <c r="BF239" s="117">
        <v>-344764.55</v>
      </c>
      <c r="BG239" s="117">
        <v>-319451.61</v>
      </c>
      <c r="BH239" s="129">
        <v>-363539.57</v>
      </c>
      <c r="BI239" s="128">
        <f t="shared" si="38"/>
        <v>-1500124.61</v>
      </c>
      <c r="BM239" s="103" t="s">
        <v>649</v>
      </c>
      <c r="BN239" s="101" t="s">
        <v>1071</v>
      </c>
      <c r="BO239" s="117">
        <v>0</v>
      </c>
      <c r="BP239" s="117">
        <v>-210516.73</v>
      </c>
      <c r="BQ239" s="117">
        <v>-344764.55</v>
      </c>
      <c r="BR239" s="117">
        <v>-319451.61</v>
      </c>
      <c r="BS239" s="129">
        <v>-363539.57</v>
      </c>
      <c r="BT239" s="129"/>
      <c r="BU239" s="128">
        <f t="shared" si="43"/>
        <v>-1238272.46</v>
      </c>
      <c r="BW239" s="115">
        <f t="shared" si="44"/>
        <v>-261852.15000000014</v>
      </c>
      <c r="BX239" s="117">
        <v>-261852.15</v>
      </c>
      <c r="BY239" s="117"/>
    </row>
    <row r="240" spans="2:83">
      <c r="B240" s="103" t="s">
        <v>651</v>
      </c>
      <c r="C240" s="101" t="s">
        <v>1072</v>
      </c>
      <c r="D240" s="118">
        <v>-45331.16</v>
      </c>
      <c r="E240" s="118">
        <v>-73347.429999999993</v>
      </c>
      <c r="F240" s="118">
        <v>-100725.81</v>
      </c>
      <c r="G240" s="127">
        <v>-103355.71</v>
      </c>
      <c r="H240" s="102">
        <f t="shared" si="35"/>
        <v>-322760.11</v>
      </c>
      <c r="K240" s="112" t="s">
        <v>651</v>
      </c>
      <c r="L240" s="111" t="s">
        <v>1072</v>
      </c>
      <c r="M240" s="117">
        <v>0</v>
      </c>
      <c r="N240" s="117">
        <v>-79239.759999999995</v>
      </c>
      <c r="O240" s="117">
        <v>-45331.16</v>
      </c>
      <c r="P240" s="117">
        <v>-73347.429999999993</v>
      </c>
      <c r="Q240" s="117">
        <v>-100725.81</v>
      </c>
      <c r="R240" s="117"/>
      <c r="S240" s="117">
        <f t="shared" si="39"/>
        <v>-298644.15999999997</v>
      </c>
      <c r="T240" s="117">
        <v>-403558.99000000005</v>
      </c>
      <c r="U240" s="115">
        <f t="shared" si="40"/>
        <v>104914.83000000007</v>
      </c>
      <c r="Y240" s="115">
        <f t="shared" si="41"/>
        <v>0</v>
      </c>
      <c r="Z240" s="117">
        <v>-104914.83000000002</v>
      </c>
      <c r="AA240" s="115">
        <f t="shared" si="42"/>
        <v>0</v>
      </c>
      <c r="AH240" s="79"/>
      <c r="AI240" s="79"/>
      <c r="AJ240" s="79">
        <v>-105603.54</v>
      </c>
      <c r="AK240" s="79">
        <v>-104914.83000000002</v>
      </c>
      <c r="AL240" s="79">
        <f t="shared" si="36"/>
        <v>-104914.83000000002</v>
      </c>
      <c r="AN240" s="79">
        <v>-105603.54</v>
      </c>
      <c r="AO240" s="79">
        <v>-104914.83000000002</v>
      </c>
      <c r="AP240" s="79">
        <v>-79239.759999999995</v>
      </c>
      <c r="AQ240" s="79">
        <v>-45331.16</v>
      </c>
      <c r="AR240" s="79">
        <v>-73347.429999999993</v>
      </c>
      <c r="AS240" s="79">
        <f t="shared" si="37"/>
        <v>-408436.72000000003</v>
      </c>
      <c r="BB240" s="103" t="s">
        <v>651</v>
      </c>
      <c r="BC240" s="101" t="s">
        <v>1072</v>
      </c>
      <c r="BD240" s="117">
        <v>-79239.759999999995</v>
      </c>
      <c r="BE240" s="117">
        <v>-45331.16</v>
      </c>
      <c r="BF240" s="117">
        <v>-73347.429999999993</v>
      </c>
      <c r="BG240" s="117">
        <v>-100725.81</v>
      </c>
      <c r="BH240" s="129">
        <v>-103355.71</v>
      </c>
      <c r="BI240" s="128">
        <f t="shared" si="38"/>
        <v>-401999.87</v>
      </c>
      <c r="BM240" s="103" t="s">
        <v>651</v>
      </c>
      <c r="BN240" s="101" t="s">
        <v>1072</v>
      </c>
      <c r="BO240" s="117">
        <v>0</v>
      </c>
      <c r="BP240" s="117">
        <v>-45331.16</v>
      </c>
      <c r="BQ240" s="117">
        <v>-73347.429999999993</v>
      </c>
      <c r="BR240" s="117">
        <v>-100725.81</v>
      </c>
      <c r="BS240" s="129">
        <v>-103355.71</v>
      </c>
      <c r="BT240" s="129"/>
      <c r="BU240" s="128">
        <f t="shared" si="43"/>
        <v>-322760.11</v>
      </c>
      <c r="BW240" s="115">
        <f t="shared" si="44"/>
        <v>-79239.760000000009</v>
      </c>
      <c r="BX240" s="117">
        <v>-79239.759999999995</v>
      </c>
      <c r="BY240" s="117"/>
    </row>
    <row r="241" spans="2:83">
      <c r="B241" s="103" t="s">
        <v>653</v>
      </c>
      <c r="C241" s="101" t="s">
        <v>1073</v>
      </c>
      <c r="D241" s="118">
        <v>-32869.839999999997</v>
      </c>
      <c r="E241" s="118">
        <v>-48204.22</v>
      </c>
      <c r="F241" s="118">
        <v>-33634.25</v>
      </c>
      <c r="G241" s="127">
        <v>-42593.23</v>
      </c>
      <c r="H241" s="102">
        <f t="shared" si="35"/>
        <v>-157301.54</v>
      </c>
      <c r="K241" s="112" t="s">
        <v>653</v>
      </c>
      <c r="L241" s="111" t="s">
        <v>1073</v>
      </c>
      <c r="M241" s="117">
        <v>0</v>
      </c>
      <c r="N241" s="117">
        <v>-30544.15</v>
      </c>
      <c r="O241" s="117">
        <v>-32869.839999999997</v>
      </c>
      <c r="P241" s="117">
        <v>-48204.22</v>
      </c>
      <c r="Q241" s="117">
        <v>-33634.25</v>
      </c>
      <c r="R241" s="117"/>
      <c r="S241" s="117">
        <f t="shared" si="39"/>
        <v>-145252.46</v>
      </c>
      <c r="T241" s="117">
        <v>-168467.53</v>
      </c>
      <c r="U241" s="115">
        <f t="shared" si="40"/>
        <v>23215.070000000007</v>
      </c>
      <c r="Y241" s="115">
        <f t="shared" si="41"/>
        <v>0</v>
      </c>
      <c r="Z241" s="117">
        <v>-23215.070000000007</v>
      </c>
      <c r="AA241" s="115">
        <f t="shared" si="42"/>
        <v>0</v>
      </c>
      <c r="AH241" s="79"/>
      <c r="AI241" s="79"/>
      <c r="AJ241" s="79">
        <v>-20098.82</v>
      </c>
      <c r="AK241" s="79">
        <v>-23215.070000000007</v>
      </c>
      <c r="AL241" s="79">
        <f t="shared" si="36"/>
        <v>-23215.070000000007</v>
      </c>
      <c r="AN241" s="79">
        <v>-20098.82</v>
      </c>
      <c r="AO241" s="79">
        <v>-23215.070000000007</v>
      </c>
      <c r="AP241" s="79">
        <v>-30544.15</v>
      </c>
      <c r="AQ241" s="79">
        <v>-32869.839999999997</v>
      </c>
      <c r="AR241" s="79">
        <v>-48204.22</v>
      </c>
      <c r="AS241" s="79">
        <f t="shared" si="37"/>
        <v>-154932.1</v>
      </c>
      <c r="BB241" s="103" t="s">
        <v>653</v>
      </c>
      <c r="BC241" s="101" t="s">
        <v>1073</v>
      </c>
      <c r="BD241" s="117">
        <v>-30544.15</v>
      </c>
      <c r="BE241" s="117">
        <v>-32869.839999999997</v>
      </c>
      <c r="BF241" s="117">
        <v>-48204.22</v>
      </c>
      <c r="BG241" s="117">
        <v>-33634.25</v>
      </c>
      <c r="BH241" s="129">
        <v>-42593.23</v>
      </c>
      <c r="BI241" s="128">
        <f t="shared" si="38"/>
        <v>-187845.69</v>
      </c>
      <c r="BM241" s="103" t="s">
        <v>653</v>
      </c>
      <c r="BN241" s="101" t="s">
        <v>1073</v>
      </c>
      <c r="BO241" s="117">
        <v>0</v>
      </c>
      <c r="BP241" s="117">
        <v>-32869.839999999997</v>
      </c>
      <c r="BQ241" s="117">
        <v>-48204.22</v>
      </c>
      <c r="BR241" s="117">
        <v>-33634.25</v>
      </c>
      <c r="BS241" s="129">
        <v>-42593.23</v>
      </c>
      <c r="BT241" s="129"/>
      <c r="BU241" s="128">
        <f t="shared" si="43"/>
        <v>-157301.54</v>
      </c>
      <c r="BW241" s="115">
        <f t="shared" si="44"/>
        <v>-30544.149999999994</v>
      </c>
      <c r="BX241" s="117">
        <v>-30544.15</v>
      </c>
      <c r="BY241" s="117"/>
    </row>
    <row r="242" spans="2:83">
      <c r="B242" s="103" t="s">
        <v>655</v>
      </c>
      <c r="C242" s="101" t="s">
        <v>1074</v>
      </c>
      <c r="D242" s="118">
        <v>-86332.51</v>
      </c>
      <c r="E242" s="118">
        <v>-95656.47</v>
      </c>
      <c r="F242" s="118">
        <v>-55799.95</v>
      </c>
      <c r="G242" s="127">
        <v>-41933.879999999997</v>
      </c>
      <c r="H242" s="102">
        <f t="shared" si="35"/>
        <v>-279722.81</v>
      </c>
      <c r="K242" s="112" t="s">
        <v>655</v>
      </c>
      <c r="L242" s="111" t="s">
        <v>1074</v>
      </c>
      <c r="M242" s="117">
        <v>0</v>
      </c>
      <c r="N242" s="117">
        <v>-125391.96</v>
      </c>
      <c r="O242" s="117">
        <v>-86332.51</v>
      </c>
      <c r="P242" s="117">
        <v>-95656.47</v>
      </c>
      <c r="Q242" s="117">
        <v>-55799.95</v>
      </c>
      <c r="R242" s="117"/>
      <c r="S242" s="117">
        <f t="shared" si="39"/>
        <v>-363180.89</v>
      </c>
      <c r="T242" s="117">
        <v>-448719.14999999915</v>
      </c>
      <c r="U242" s="115">
        <f t="shared" si="40"/>
        <v>85538.259999999136</v>
      </c>
      <c r="Y242" s="115">
        <f t="shared" si="41"/>
        <v>0</v>
      </c>
      <c r="Z242" s="117">
        <v>-85538.259999999078</v>
      </c>
      <c r="AA242" s="115">
        <f t="shared" si="42"/>
        <v>0</v>
      </c>
      <c r="AH242" s="79"/>
      <c r="AI242" s="79"/>
      <c r="AJ242" s="79">
        <v>-14989.75</v>
      </c>
      <c r="AK242" s="79">
        <v>-85538.259999999078</v>
      </c>
      <c r="AL242" s="79">
        <f t="shared" si="36"/>
        <v>-85538.259999999078</v>
      </c>
      <c r="AN242" s="79">
        <v>-14989.75</v>
      </c>
      <c r="AO242" s="79">
        <v>-85538.259999999078</v>
      </c>
      <c r="AP242" s="79">
        <v>-125391.96</v>
      </c>
      <c r="AQ242" s="79">
        <v>-86332.51</v>
      </c>
      <c r="AR242" s="79">
        <v>-95656.47</v>
      </c>
      <c r="AS242" s="79">
        <f t="shared" si="37"/>
        <v>-407908.94999999914</v>
      </c>
      <c r="BB242" s="103" t="s">
        <v>655</v>
      </c>
      <c r="BC242" s="101" t="s">
        <v>1074</v>
      </c>
      <c r="BD242" s="117">
        <v>-125391.96</v>
      </c>
      <c r="BE242" s="117">
        <v>-86332.51</v>
      </c>
      <c r="BF242" s="117">
        <v>-95656.47</v>
      </c>
      <c r="BG242" s="117">
        <v>-55799.95</v>
      </c>
      <c r="BH242" s="129">
        <v>-41933.879999999997</v>
      </c>
      <c r="BI242" s="128">
        <f t="shared" si="38"/>
        <v>-405114.77</v>
      </c>
      <c r="BM242" s="103" t="s">
        <v>655</v>
      </c>
      <c r="BN242" s="101" t="s">
        <v>1074</v>
      </c>
      <c r="BO242" s="117">
        <v>0</v>
      </c>
      <c r="BP242" s="117">
        <v>-86332.51</v>
      </c>
      <c r="BQ242" s="117">
        <v>-95656.47</v>
      </c>
      <c r="BR242" s="117">
        <v>-55799.95</v>
      </c>
      <c r="BS242" s="129">
        <v>-41933.879999999997</v>
      </c>
      <c r="BT242" s="129"/>
      <c r="BU242" s="128">
        <f t="shared" si="43"/>
        <v>-279722.81</v>
      </c>
      <c r="BW242" s="115">
        <f t="shared" si="44"/>
        <v>-125391.96000000002</v>
      </c>
      <c r="BX242" s="117">
        <v>-125391.96</v>
      </c>
      <c r="BY242" s="117"/>
    </row>
    <row r="243" spans="2:83">
      <c r="B243" s="103" t="s">
        <v>657</v>
      </c>
      <c r="C243" s="101" t="s">
        <v>1075</v>
      </c>
      <c r="D243" s="118">
        <v>-112274.55</v>
      </c>
      <c r="E243" s="118">
        <v>-119738.61</v>
      </c>
      <c r="F243" s="118">
        <v>-147595.94</v>
      </c>
      <c r="G243" s="127">
        <v>-246076.99</v>
      </c>
      <c r="H243" s="102">
        <f t="shared" si="35"/>
        <v>-625686.09</v>
      </c>
      <c r="K243" s="112" t="s">
        <v>657</v>
      </c>
      <c r="L243" s="111" t="s">
        <v>1075</v>
      </c>
      <c r="M243" s="117">
        <v>0</v>
      </c>
      <c r="N243" s="117">
        <v>-100887.67999999999</v>
      </c>
      <c r="O243" s="117">
        <v>-112274.55</v>
      </c>
      <c r="P243" s="117">
        <v>-119738.61</v>
      </c>
      <c r="Q243" s="117">
        <v>-147595.94</v>
      </c>
      <c r="R243" s="117"/>
      <c r="S243" s="117">
        <f t="shared" si="39"/>
        <v>-480496.77999999997</v>
      </c>
      <c r="T243" s="117">
        <v>-542731.11000000034</v>
      </c>
      <c r="U243" s="115">
        <f t="shared" si="40"/>
        <v>62234.330000000366</v>
      </c>
      <c r="Y243" s="115">
        <f t="shared" si="41"/>
        <v>0</v>
      </c>
      <c r="Z243" s="117">
        <v>-62234.330000000366</v>
      </c>
      <c r="AA243" s="115">
        <f t="shared" si="42"/>
        <v>0</v>
      </c>
      <c r="AH243" s="79"/>
      <c r="AI243" s="79"/>
      <c r="AJ243" s="79">
        <v>-102300.7</v>
      </c>
      <c r="AK243" s="79">
        <v>-62234.330000000366</v>
      </c>
      <c r="AL243" s="79">
        <f t="shared" si="36"/>
        <v>-62234.330000000366</v>
      </c>
      <c r="AN243" s="79">
        <v>-102300.7</v>
      </c>
      <c r="AO243" s="79">
        <v>-62234.330000000366</v>
      </c>
      <c r="AP243" s="79">
        <v>-100887.67999999999</v>
      </c>
      <c r="AQ243" s="79">
        <v>-112274.55</v>
      </c>
      <c r="AR243" s="79">
        <v>-119738.61</v>
      </c>
      <c r="AS243" s="79">
        <f t="shared" si="37"/>
        <v>-497435.87000000034</v>
      </c>
      <c r="BB243" s="103" t="s">
        <v>657</v>
      </c>
      <c r="BC243" s="101" t="s">
        <v>1075</v>
      </c>
      <c r="BD243" s="117">
        <v>-100887.67999999999</v>
      </c>
      <c r="BE243" s="117">
        <v>-112274.55</v>
      </c>
      <c r="BF243" s="117">
        <v>-119738.61</v>
      </c>
      <c r="BG243" s="117">
        <v>-147595.94</v>
      </c>
      <c r="BH243" s="129">
        <v>-246076.99</v>
      </c>
      <c r="BI243" s="128">
        <f t="shared" si="38"/>
        <v>-726573.77</v>
      </c>
      <c r="BM243" s="103" t="s">
        <v>657</v>
      </c>
      <c r="BN243" s="101" t="s">
        <v>1075</v>
      </c>
      <c r="BO243" s="117">
        <v>0</v>
      </c>
      <c r="BP243" s="117">
        <v>-112274.55</v>
      </c>
      <c r="BQ243" s="117">
        <v>-119738.61</v>
      </c>
      <c r="BR243" s="117">
        <v>-147595.94</v>
      </c>
      <c r="BS243" s="129">
        <v>-246076.99</v>
      </c>
      <c r="BT243" s="129"/>
      <c r="BU243" s="128">
        <f t="shared" si="43"/>
        <v>-625686.09</v>
      </c>
      <c r="BW243" s="115">
        <f t="shared" si="44"/>
        <v>-100887.68000000005</v>
      </c>
      <c r="BX243" s="117">
        <v>-100887.67999999999</v>
      </c>
      <c r="BY243" s="117"/>
    </row>
    <row r="244" spans="2:83">
      <c r="B244" s="103" t="s">
        <v>659</v>
      </c>
      <c r="C244" s="101" t="s">
        <v>1076</v>
      </c>
      <c r="D244" s="118">
        <v>-82549.31</v>
      </c>
      <c r="E244" s="118">
        <v>-87583.11</v>
      </c>
      <c r="F244" s="118">
        <v>-52906.31</v>
      </c>
      <c r="G244" s="127">
        <v>-66101.63</v>
      </c>
      <c r="H244" s="102">
        <f t="shared" si="35"/>
        <v>-289140.36</v>
      </c>
      <c r="K244" s="112" t="s">
        <v>659</v>
      </c>
      <c r="L244" s="111" t="s">
        <v>1076</v>
      </c>
      <c r="M244" s="117">
        <v>0</v>
      </c>
      <c r="N244" s="117">
        <v>-73127.759999999995</v>
      </c>
      <c r="O244" s="117">
        <v>-82549.31</v>
      </c>
      <c r="P244" s="117">
        <v>-87583.11</v>
      </c>
      <c r="Q244" s="117">
        <v>-52906.31</v>
      </c>
      <c r="R244" s="117"/>
      <c r="S244" s="117">
        <f t="shared" si="39"/>
        <v>-296166.49</v>
      </c>
      <c r="T244" s="117">
        <v>-377875.72999999992</v>
      </c>
      <c r="U244" s="115">
        <f t="shared" si="40"/>
        <v>81709.239999999932</v>
      </c>
      <c r="Y244" s="115">
        <f t="shared" si="41"/>
        <v>0</v>
      </c>
      <c r="Z244" s="117">
        <v>-81709.239999999962</v>
      </c>
      <c r="AA244" s="115">
        <f t="shared" si="42"/>
        <v>0</v>
      </c>
      <c r="AH244" s="79"/>
      <c r="AI244" s="79"/>
      <c r="AJ244" s="79">
        <v>-57693.4</v>
      </c>
      <c r="AK244" s="79">
        <v>-81709.239999999962</v>
      </c>
      <c r="AL244" s="79">
        <f t="shared" si="36"/>
        <v>-81709.239999999962</v>
      </c>
      <c r="AN244" s="79">
        <v>-57693.4</v>
      </c>
      <c r="AO244" s="79">
        <v>-81709.239999999962</v>
      </c>
      <c r="AP244" s="79">
        <v>-73127.759999999995</v>
      </c>
      <c r="AQ244" s="79">
        <v>-82549.31</v>
      </c>
      <c r="AR244" s="79">
        <v>-87583.11</v>
      </c>
      <c r="AS244" s="79">
        <f t="shared" si="37"/>
        <v>-382662.81999999995</v>
      </c>
      <c r="BB244" s="103" t="s">
        <v>659</v>
      </c>
      <c r="BC244" s="101" t="s">
        <v>1076</v>
      </c>
      <c r="BD244" s="117">
        <v>-73127.759999999995</v>
      </c>
      <c r="BE244" s="117">
        <v>-82549.31</v>
      </c>
      <c r="BF244" s="117">
        <v>-87583.11</v>
      </c>
      <c r="BG244" s="117">
        <v>-52906.31</v>
      </c>
      <c r="BH244" s="129">
        <v>-66101.63</v>
      </c>
      <c r="BI244" s="128">
        <f t="shared" si="38"/>
        <v>-362268.12</v>
      </c>
      <c r="BM244" s="103" t="s">
        <v>659</v>
      </c>
      <c r="BN244" s="101" t="s">
        <v>1076</v>
      </c>
      <c r="BO244" s="117">
        <v>0</v>
      </c>
      <c r="BP244" s="117">
        <v>-82549.31</v>
      </c>
      <c r="BQ244" s="117">
        <v>-87583.11</v>
      </c>
      <c r="BR244" s="117">
        <v>-52906.31</v>
      </c>
      <c r="BS244" s="129">
        <v>-66101.63</v>
      </c>
      <c r="BT244" s="129"/>
      <c r="BU244" s="128">
        <f t="shared" si="43"/>
        <v>-289140.36</v>
      </c>
      <c r="BW244" s="115">
        <f t="shared" si="44"/>
        <v>-73127.760000000009</v>
      </c>
      <c r="BX244" s="117">
        <v>-73127.759999999995</v>
      </c>
      <c r="BY244" s="117"/>
    </row>
    <row r="245" spans="2:83">
      <c r="B245" s="103" t="s">
        <v>661</v>
      </c>
      <c r="C245" s="101" t="s">
        <v>1077</v>
      </c>
      <c r="D245" s="118">
        <v>-46867.03</v>
      </c>
      <c r="E245" s="118">
        <v>-54582.080000000002</v>
      </c>
      <c r="F245" s="118">
        <v>-45764.23</v>
      </c>
      <c r="G245" s="127">
        <v>-53993.88</v>
      </c>
      <c r="H245" s="102">
        <f t="shared" si="35"/>
        <v>-201207.22</v>
      </c>
      <c r="K245" s="112" t="s">
        <v>661</v>
      </c>
      <c r="L245" s="111" t="s">
        <v>1077</v>
      </c>
      <c r="M245" s="117">
        <v>0</v>
      </c>
      <c r="N245" s="117">
        <v>-30439.27</v>
      </c>
      <c r="O245" s="117">
        <v>-46867.03</v>
      </c>
      <c r="P245" s="117">
        <v>-54582.080000000002</v>
      </c>
      <c r="Q245" s="117">
        <v>-45764.23</v>
      </c>
      <c r="R245" s="117"/>
      <c r="S245" s="117">
        <f t="shared" si="39"/>
        <v>-177652.61000000002</v>
      </c>
      <c r="T245" s="117">
        <v>-210798.22000000003</v>
      </c>
      <c r="U245" s="115">
        <f t="shared" si="40"/>
        <v>33145.610000000015</v>
      </c>
      <c r="Y245" s="115">
        <f t="shared" si="41"/>
        <v>0</v>
      </c>
      <c r="Z245" s="117">
        <v>-33145.610000000015</v>
      </c>
      <c r="AA245" s="115">
        <f t="shared" si="42"/>
        <v>0</v>
      </c>
      <c r="AH245" s="79"/>
      <c r="AI245" s="79"/>
      <c r="AJ245" s="79">
        <v>-20749.900000000001</v>
      </c>
      <c r="AK245" s="79">
        <v>-33145.610000000015</v>
      </c>
      <c r="AL245" s="79">
        <f t="shared" si="36"/>
        <v>-33145.610000000015</v>
      </c>
      <c r="AN245" s="79">
        <v>-20749.900000000001</v>
      </c>
      <c r="AO245" s="79">
        <v>-33145.610000000015</v>
      </c>
      <c r="AP245" s="79">
        <v>-30439.27</v>
      </c>
      <c r="AQ245" s="79">
        <v>-46867.03</v>
      </c>
      <c r="AR245" s="79">
        <v>-54582.080000000002</v>
      </c>
      <c r="AS245" s="79">
        <f t="shared" si="37"/>
        <v>-185783.89</v>
      </c>
      <c r="BB245" s="103" t="s">
        <v>661</v>
      </c>
      <c r="BC245" s="101" t="s">
        <v>1077</v>
      </c>
      <c r="BD245" s="117">
        <v>-30439.27</v>
      </c>
      <c r="BE245" s="117">
        <v>-46867.03</v>
      </c>
      <c r="BF245" s="117">
        <v>-54582.080000000002</v>
      </c>
      <c r="BG245" s="117">
        <v>-45764.23</v>
      </c>
      <c r="BH245" s="129">
        <v>-53993.88</v>
      </c>
      <c r="BI245" s="128">
        <f t="shared" si="38"/>
        <v>-231646.49000000002</v>
      </c>
      <c r="BM245" s="103" t="s">
        <v>661</v>
      </c>
      <c r="BN245" s="101" t="s">
        <v>1077</v>
      </c>
      <c r="BO245" s="117">
        <v>0</v>
      </c>
      <c r="BP245" s="117">
        <v>-46867.03</v>
      </c>
      <c r="BQ245" s="117">
        <v>-54582.080000000002</v>
      </c>
      <c r="BR245" s="117">
        <v>-45764.23</v>
      </c>
      <c r="BS245" s="129">
        <v>-53993.88</v>
      </c>
      <c r="BT245" s="129"/>
      <c r="BU245" s="128">
        <f t="shared" si="43"/>
        <v>-201207.22</v>
      </c>
      <c r="BW245" s="115">
        <f t="shared" si="44"/>
        <v>-30439.270000000019</v>
      </c>
      <c r="BX245" s="117">
        <v>-30439.27</v>
      </c>
      <c r="BY245" s="117"/>
    </row>
    <row r="246" spans="2:83">
      <c r="B246" s="103" t="s">
        <v>663</v>
      </c>
      <c r="C246" s="101" t="s">
        <v>1078</v>
      </c>
      <c r="D246" s="118">
        <v>-119501.34</v>
      </c>
      <c r="E246" s="118">
        <v>-371749.03</v>
      </c>
      <c r="F246" s="118">
        <v>-191110.23</v>
      </c>
      <c r="G246" s="127">
        <v>-289139.84999999998</v>
      </c>
      <c r="H246" s="102">
        <f t="shared" si="35"/>
        <v>-971500.45</v>
      </c>
      <c r="K246" s="112" t="s">
        <v>663</v>
      </c>
      <c r="L246" s="111" t="s">
        <v>1078</v>
      </c>
      <c r="M246" s="117">
        <v>0</v>
      </c>
      <c r="N246" s="117">
        <v>32204.73</v>
      </c>
      <c r="O246" s="117">
        <v>-151706.07</v>
      </c>
      <c r="P246" s="117">
        <v>-371749.03</v>
      </c>
      <c r="Q246" s="117">
        <v>-191110.23</v>
      </c>
      <c r="R246" s="117"/>
      <c r="S246" s="117">
        <f t="shared" si="39"/>
        <v>-682360.60000000009</v>
      </c>
      <c r="T246" s="117">
        <v>-682360.6</v>
      </c>
      <c r="U246" s="115">
        <f t="shared" si="40"/>
        <v>0</v>
      </c>
      <c r="W246" s="115">
        <f t="shared" ref="W246:W247" si="45">+M246+N246</f>
        <v>32204.73</v>
      </c>
      <c r="Y246" s="115">
        <f t="shared" si="41"/>
        <v>96023.360000000001</v>
      </c>
      <c r="Z246" s="117">
        <v>96023.360000000001</v>
      </c>
      <c r="AA246" s="115">
        <f t="shared" si="42"/>
        <v>96023.360000000001</v>
      </c>
      <c r="AH246" s="79"/>
      <c r="AI246" s="79"/>
      <c r="AJ246" s="79">
        <v>61636.56</v>
      </c>
      <c r="AK246" s="79">
        <v>34386.800000000279</v>
      </c>
      <c r="AL246" s="79">
        <f t="shared" si="36"/>
        <v>96023.360000000277</v>
      </c>
      <c r="AN246" s="79">
        <v>61636.56</v>
      </c>
      <c r="AO246" s="79">
        <v>34386.800000000279</v>
      </c>
      <c r="AP246" s="79">
        <v>-63818.63</v>
      </c>
      <c r="AQ246" s="79">
        <v>-151706.07</v>
      </c>
      <c r="AR246" s="79">
        <v>-371749.03</v>
      </c>
      <c r="AS246" s="79">
        <f t="shared" si="37"/>
        <v>-491250.36999999976</v>
      </c>
      <c r="BB246" s="103" t="s">
        <v>663</v>
      </c>
      <c r="BC246" s="101" t="s">
        <v>1078</v>
      </c>
      <c r="BD246" s="117">
        <v>32204.73</v>
      </c>
      <c r="BE246" s="117">
        <v>-151706.07</v>
      </c>
      <c r="BF246" s="117">
        <v>-371749.03</v>
      </c>
      <c r="BG246" s="117">
        <v>-191110.23</v>
      </c>
      <c r="BH246" s="129">
        <v>-289139.84999999998</v>
      </c>
      <c r="BI246" s="128">
        <f t="shared" si="38"/>
        <v>-971500.45000000007</v>
      </c>
      <c r="BM246" s="103" t="s">
        <v>663</v>
      </c>
      <c r="BN246" s="101" t="s">
        <v>1078</v>
      </c>
      <c r="BO246" s="117">
        <v>0</v>
      </c>
      <c r="BP246" s="131">
        <v>-119501.34</v>
      </c>
      <c r="BQ246" s="117">
        <v>-371749.03</v>
      </c>
      <c r="BR246" s="117">
        <v>-191110.23</v>
      </c>
      <c r="BS246" s="129">
        <v>-289139.84999999998</v>
      </c>
      <c r="BT246" s="129"/>
      <c r="BU246" s="128">
        <f t="shared" si="43"/>
        <v>-971500.45</v>
      </c>
      <c r="BW246" s="115">
        <f t="shared" si="44"/>
        <v>0</v>
      </c>
      <c r="BX246" s="131">
        <v>32204.73</v>
      </c>
      <c r="BY246" s="131">
        <v>-151706.07</v>
      </c>
      <c r="CC246" s="130">
        <f>+BO246+BP246</f>
        <v>-119501.34</v>
      </c>
      <c r="CD246" s="115">
        <f>+BX246+BY246</f>
        <v>-119501.34000000001</v>
      </c>
      <c r="CE246" s="115">
        <f>+CC246-CD246</f>
        <v>0</v>
      </c>
    </row>
    <row r="247" spans="2:83">
      <c r="B247" s="103" t="s">
        <v>665</v>
      </c>
      <c r="C247" s="101" t="s">
        <v>1079</v>
      </c>
      <c r="D247" s="118">
        <v>49669.440000000002</v>
      </c>
      <c r="E247" s="118">
        <v>-27439.89</v>
      </c>
      <c r="F247" s="118">
        <v>-24476.080000000002</v>
      </c>
      <c r="G247" s="127">
        <v>-33637.68</v>
      </c>
      <c r="H247" s="102">
        <f t="shared" si="35"/>
        <v>-35884.21</v>
      </c>
      <c r="K247" s="112" t="s">
        <v>665</v>
      </c>
      <c r="L247" s="111" t="s">
        <v>1079</v>
      </c>
      <c r="M247" s="117">
        <v>0</v>
      </c>
      <c r="N247" s="117">
        <v>52270.13</v>
      </c>
      <c r="O247" s="117">
        <v>-2600.69</v>
      </c>
      <c r="P247" s="117">
        <v>-27439.89</v>
      </c>
      <c r="Q247" s="117">
        <v>-24476.080000000002</v>
      </c>
      <c r="R247" s="117"/>
      <c r="S247" s="117">
        <f t="shared" si="39"/>
        <v>-2246.5300000000061</v>
      </c>
      <c r="T247" s="117">
        <v>-2246.5299999999988</v>
      </c>
      <c r="U247" s="115">
        <f t="shared" si="40"/>
        <v>-7.2759576141834259E-12</v>
      </c>
      <c r="W247" s="115">
        <f t="shared" si="45"/>
        <v>52270.13</v>
      </c>
      <c r="Y247" s="115">
        <f t="shared" si="41"/>
        <v>28561.649999999994</v>
      </c>
      <c r="Z247" s="117">
        <v>28561.65</v>
      </c>
      <c r="AA247" s="115">
        <f t="shared" si="42"/>
        <v>28561.649999999994</v>
      </c>
      <c r="AH247" s="79"/>
      <c r="AI247" s="79"/>
      <c r="AJ247" s="79">
        <v>11579.6</v>
      </c>
      <c r="AK247" s="79">
        <v>16982.050000000221</v>
      </c>
      <c r="AL247" s="79">
        <f t="shared" si="36"/>
        <v>28561.65000000022</v>
      </c>
      <c r="AN247" s="79">
        <v>11579.6</v>
      </c>
      <c r="AO247" s="79">
        <v>16982.050000000221</v>
      </c>
      <c r="AP247" s="79">
        <v>23708.48</v>
      </c>
      <c r="AQ247" s="79">
        <v>-2600.69</v>
      </c>
      <c r="AR247" s="79">
        <v>-27439.89</v>
      </c>
      <c r="AS247" s="79">
        <f t="shared" si="37"/>
        <v>22229.550000000221</v>
      </c>
      <c r="BB247" s="103" t="s">
        <v>665</v>
      </c>
      <c r="BC247" s="101" t="s">
        <v>1079</v>
      </c>
      <c r="BD247" s="117">
        <v>52270.13</v>
      </c>
      <c r="BE247" s="117">
        <v>-2600.69</v>
      </c>
      <c r="BF247" s="117">
        <v>-27439.89</v>
      </c>
      <c r="BG247" s="117">
        <v>-24476.080000000002</v>
      </c>
      <c r="BH247" s="129">
        <v>-33637.68</v>
      </c>
      <c r="BI247" s="128">
        <f t="shared" si="38"/>
        <v>-35884.210000000006</v>
      </c>
      <c r="BM247" s="103" t="s">
        <v>665</v>
      </c>
      <c r="BN247" s="101" t="s">
        <v>1079</v>
      </c>
      <c r="BO247" s="117">
        <v>0</v>
      </c>
      <c r="BP247" s="131">
        <v>49669.440000000002</v>
      </c>
      <c r="BQ247" s="117">
        <v>-27439.89</v>
      </c>
      <c r="BR247" s="117">
        <v>-24476.080000000002</v>
      </c>
      <c r="BS247" s="129">
        <v>-33637.68</v>
      </c>
      <c r="BT247" s="129"/>
      <c r="BU247" s="128">
        <f t="shared" si="43"/>
        <v>-35884.21</v>
      </c>
      <c r="BW247" s="115">
        <f t="shared" si="44"/>
        <v>0</v>
      </c>
      <c r="BX247" s="131">
        <v>52270.13</v>
      </c>
      <c r="BY247" s="131">
        <v>-2600.69</v>
      </c>
      <c r="CC247" s="130">
        <f>+BO247+BP247</f>
        <v>49669.440000000002</v>
      </c>
      <c r="CD247" s="115">
        <f>+BX247+BY247</f>
        <v>49669.439999999995</v>
      </c>
      <c r="CE247" s="115">
        <f>+CC247-CD247</f>
        <v>0</v>
      </c>
    </row>
    <row r="248" spans="2:83">
      <c r="B248" s="103" t="s">
        <v>667</v>
      </c>
      <c r="C248" s="101" t="s">
        <v>1080</v>
      </c>
      <c r="D248" s="118">
        <v>-89506.11</v>
      </c>
      <c r="E248" s="118">
        <v>-95802.880000000005</v>
      </c>
      <c r="F248" s="118">
        <v>-103000.06</v>
      </c>
      <c r="G248" s="127">
        <v>-118434.63</v>
      </c>
      <c r="H248" s="102">
        <f t="shared" si="35"/>
        <v>-406743.68</v>
      </c>
      <c r="K248" s="112" t="s">
        <v>667</v>
      </c>
      <c r="L248" s="111" t="s">
        <v>1080</v>
      </c>
      <c r="M248" s="117">
        <v>0</v>
      </c>
      <c r="N248" s="117">
        <v>-88166.65</v>
      </c>
      <c r="O248" s="117">
        <v>-89506.11</v>
      </c>
      <c r="P248" s="117">
        <v>-95802.880000000005</v>
      </c>
      <c r="Q248" s="117">
        <v>-103000.06</v>
      </c>
      <c r="R248" s="117"/>
      <c r="S248" s="117">
        <f t="shared" si="39"/>
        <v>-376475.7</v>
      </c>
      <c r="T248" s="117">
        <v>-436260.04000000004</v>
      </c>
      <c r="U248" s="115">
        <f t="shared" si="40"/>
        <v>59784.340000000026</v>
      </c>
      <c r="Y248" s="115">
        <f t="shared" si="41"/>
        <v>0</v>
      </c>
      <c r="Z248" s="117">
        <v>-59784.340000000055</v>
      </c>
      <c r="AA248" s="115">
        <f t="shared" si="42"/>
        <v>0</v>
      </c>
      <c r="AH248" s="79"/>
      <c r="AI248" s="79"/>
      <c r="AJ248" s="79">
        <v>-53122.04</v>
      </c>
      <c r="AK248" s="79">
        <v>-59784.340000000055</v>
      </c>
      <c r="AL248" s="79">
        <f t="shared" si="36"/>
        <v>-59784.340000000055</v>
      </c>
      <c r="AN248" s="79">
        <v>-53122.04</v>
      </c>
      <c r="AO248" s="79">
        <v>-59784.340000000055</v>
      </c>
      <c r="AP248" s="79">
        <v>-88166.65</v>
      </c>
      <c r="AQ248" s="79">
        <v>-89506.11</v>
      </c>
      <c r="AR248" s="79">
        <v>-95802.880000000005</v>
      </c>
      <c r="AS248" s="79">
        <f t="shared" si="37"/>
        <v>-386382.02000000008</v>
      </c>
      <c r="BB248" s="103" t="s">
        <v>667</v>
      </c>
      <c r="BC248" s="101" t="s">
        <v>1080</v>
      </c>
      <c r="BD248" s="117">
        <v>-88166.65</v>
      </c>
      <c r="BE248" s="117">
        <v>-89506.11</v>
      </c>
      <c r="BF248" s="117">
        <v>-95802.880000000005</v>
      </c>
      <c r="BG248" s="117">
        <v>-103000.06</v>
      </c>
      <c r="BH248" s="129">
        <v>-118434.63</v>
      </c>
      <c r="BI248" s="128">
        <f t="shared" si="38"/>
        <v>-494910.33</v>
      </c>
      <c r="BM248" s="103" t="s">
        <v>667</v>
      </c>
      <c r="BN248" s="101" t="s">
        <v>1080</v>
      </c>
      <c r="BO248" s="117">
        <v>0</v>
      </c>
      <c r="BP248" s="117">
        <v>-89506.11</v>
      </c>
      <c r="BQ248" s="117">
        <v>-95802.880000000005</v>
      </c>
      <c r="BR248" s="117">
        <v>-103000.06</v>
      </c>
      <c r="BS248" s="129">
        <v>-118434.63</v>
      </c>
      <c r="BT248" s="129"/>
      <c r="BU248" s="128">
        <f t="shared" si="43"/>
        <v>-406743.68</v>
      </c>
      <c r="BW248" s="115">
        <f t="shared" si="44"/>
        <v>-88166.650000000023</v>
      </c>
      <c r="BX248" s="117">
        <v>-88166.65</v>
      </c>
      <c r="BY248" s="117"/>
    </row>
    <row r="249" spans="2:83">
      <c r="B249" s="103" t="s">
        <v>669</v>
      </c>
      <c r="C249" s="101" t="s">
        <v>1064</v>
      </c>
      <c r="D249" s="118">
        <v>-83560.12</v>
      </c>
      <c r="E249" s="118">
        <v>-92857.53</v>
      </c>
      <c r="F249" s="118">
        <v>-89959.51</v>
      </c>
      <c r="G249" s="127">
        <v>-113207.51</v>
      </c>
      <c r="H249" s="102">
        <f t="shared" si="35"/>
        <v>-379584.67</v>
      </c>
      <c r="K249" s="112" t="s">
        <v>669</v>
      </c>
      <c r="L249" s="111" t="s">
        <v>1064</v>
      </c>
      <c r="M249" s="117">
        <v>0</v>
      </c>
      <c r="N249" s="117">
        <v>-90769.13</v>
      </c>
      <c r="O249" s="117">
        <v>-83560.12</v>
      </c>
      <c r="P249" s="117">
        <v>-92857.53</v>
      </c>
      <c r="Q249" s="117">
        <v>-89959.51</v>
      </c>
      <c r="R249" s="117"/>
      <c r="S249" s="117">
        <f t="shared" si="39"/>
        <v>-357146.29000000004</v>
      </c>
      <c r="T249" s="117">
        <v>-430442.2300000001</v>
      </c>
      <c r="U249" s="115">
        <f t="shared" si="40"/>
        <v>73295.940000000061</v>
      </c>
      <c r="Y249" s="115">
        <f t="shared" si="41"/>
        <v>0</v>
      </c>
      <c r="Z249" s="117">
        <v>-73295.940000000119</v>
      </c>
      <c r="AA249" s="115">
        <f t="shared" si="42"/>
        <v>0</v>
      </c>
      <c r="AH249" s="79"/>
      <c r="AI249" s="79"/>
      <c r="AJ249" s="79">
        <v>-67408.56</v>
      </c>
      <c r="AK249" s="79">
        <v>-73295.940000000119</v>
      </c>
      <c r="AL249" s="79">
        <f t="shared" si="36"/>
        <v>-73295.940000000119</v>
      </c>
      <c r="AN249" s="79">
        <v>-67408.56</v>
      </c>
      <c r="AO249" s="79">
        <v>-73295.940000000119</v>
      </c>
      <c r="AP249" s="79">
        <v>-90769.13</v>
      </c>
      <c r="AQ249" s="79">
        <v>-83560.12</v>
      </c>
      <c r="AR249" s="79">
        <v>-92857.53</v>
      </c>
      <c r="AS249" s="79">
        <f t="shared" si="37"/>
        <v>-407891.28000000014</v>
      </c>
      <c r="BB249" s="103" t="s">
        <v>669</v>
      </c>
      <c r="BC249" s="101" t="s">
        <v>1064</v>
      </c>
      <c r="BD249" s="117">
        <v>-90769.13</v>
      </c>
      <c r="BE249" s="117">
        <v>-83560.12</v>
      </c>
      <c r="BF249" s="117">
        <v>-92857.53</v>
      </c>
      <c r="BG249" s="117">
        <v>-89959.51</v>
      </c>
      <c r="BH249" s="129">
        <v>-113207.51</v>
      </c>
      <c r="BI249" s="128">
        <f t="shared" si="38"/>
        <v>-470353.80000000005</v>
      </c>
      <c r="BM249" s="103" t="s">
        <v>669</v>
      </c>
      <c r="BN249" s="101" t="s">
        <v>1064</v>
      </c>
      <c r="BO249" s="117">
        <v>0</v>
      </c>
      <c r="BP249" s="117">
        <v>-83560.12</v>
      </c>
      <c r="BQ249" s="117">
        <v>-92857.53</v>
      </c>
      <c r="BR249" s="117">
        <v>-89959.51</v>
      </c>
      <c r="BS249" s="129">
        <v>-113207.51</v>
      </c>
      <c r="BT249" s="129"/>
      <c r="BU249" s="128">
        <f t="shared" si="43"/>
        <v>-379584.67</v>
      </c>
      <c r="BW249" s="115">
        <f t="shared" si="44"/>
        <v>-90769.130000000063</v>
      </c>
      <c r="BX249" s="117">
        <v>-90769.13</v>
      </c>
      <c r="BY249" s="117"/>
    </row>
    <row r="250" spans="2:83">
      <c r="B250" s="103" t="s">
        <v>670</v>
      </c>
      <c r="C250" s="101" t="s">
        <v>1081</v>
      </c>
      <c r="D250" s="118">
        <v>-53477.9</v>
      </c>
      <c r="E250" s="118">
        <v>-55459.79</v>
      </c>
      <c r="F250" s="118">
        <v>-65905.02</v>
      </c>
      <c r="G250" s="127">
        <v>-92209.7</v>
      </c>
      <c r="H250" s="102">
        <f t="shared" si="35"/>
        <v>-267052.41000000003</v>
      </c>
      <c r="K250" s="112" t="s">
        <v>670</v>
      </c>
      <c r="L250" s="111" t="s">
        <v>1081</v>
      </c>
      <c r="M250" s="117">
        <v>0</v>
      </c>
      <c r="N250" s="117">
        <v>-51822.67</v>
      </c>
      <c r="O250" s="117">
        <v>-53477.9</v>
      </c>
      <c r="P250" s="117">
        <v>-55459.79</v>
      </c>
      <c r="Q250" s="117">
        <v>-65905.02</v>
      </c>
      <c r="R250" s="117"/>
      <c r="S250" s="117">
        <f t="shared" si="39"/>
        <v>-226665.38</v>
      </c>
      <c r="T250" s="117">
        <v>-276867.55999999988</v>
      </c>
      <c r="U250" s="115">
        <f t="shared" si="40"/>
        <v>50202.179999999877</v>
      </c>
      <c r="Y250" s="115">
        <f t="shared" si="41"/>
        <v>0</v>
      </c>
      <c r="Z250" s="117">
        <v>-50202.179999999877</v>
      </c>
      <c r="AA250" s="115">
        <f t="shared" si="42"/>
        <v>0</v>
      </c>
      <c r="AH250" s="79"/>
      <c r="AI250" s="79"/>
      <c r="AJ250" s="79">
        <v>-51585.27</v>
      </c>
      <c r="AK250" s="79">
        <v>-50202.179999999877</v>
      </c>
      <c r="AL250" s="79">
        <f t="shared" si="36"/>
        <v>-50202.179999999877</v>
      </c>
      <c r="AN250" s="79">
        <v>-51585.27</v>
      </c>
      <c r="AO250" s="79">
        <v>-50202.179999999877</v>
      </c>
      <c r="AP250" s="79">
        <v>-51822.67</v>
      </c>
      <c r="AQ250" s="79">
        <v>-53477.9</v>
      </c>
      <c r="AR250" s="79">
        <v>-55459.79</v>
      </c>
      <c r="AS250" s="79">
        <f t="shared" si="37"/>
        <v>-262547.80999999988</v>
      </c>
      <c r="BB250" s="103" t="s">
        <v>670</v>
      </c>
      <c r="BC250" s="101" t="s">
        <v>1081</v>
      </c>
      <c r="BD250" s="117">
        <v>-51822.67</v>
      </c>
      <c r="BE250" s="117">
        <v>-53477.9</v>
      </c>
      <c r="BF250" s="117">
        <v>-55459.79</v>
      </c>
      <c r="BG250" s="117">
        <v>-65905.02</v>
      </c>
      <c r="BH250" s="129">
        <v>-92209.7</v>
      </c>
      <c r="BI250" s="128">
        <f t="shared" si="38"/>
        <v>-318875.08</v>
      </c>
      <c r="BM250" s="103" t="s">
        <v>670</v>
      </c>
      <c r="BN250" s="101" t="s">
        <v>1081</v>
      </c>
      <c r="BO250" s="117">
        <v>0</v>
      </c>
      <c r="BP250" s="117">
        <v>-53477.9</v>
      </c>
      <c r="BQ250" s="117">
        <v>-55459.79</v>
      </c>
      <c r="BR250" s="117">
        <v>-65905.02</v>
      </c>
      <c r="BS250" s="129">
        <v>-92209.7</v>
      </c>
      <c r="BT250" s="129"/>
      <c r="BU250" s="128">
        <f t="shared" si="43"/>
        <v>-267052.41000000003</v>
      </c>
      <c r="BW250" s="115">
        <f t="shared" si="44"/>
        <v>-51822.669999999984</v>
      </c>
      <c r="BX250" s="117">
        <v>-51822.67</v>
      </c>
      <c r="BY250" s="117"/>
    </row>
    <row r="251" spans="2:83">
      <c r="B251" s="103" t="s">
        <v>672</v>
      </c>
      <c r="C251" s="101" t="s">
        <v>1082</v>
      </c>
      <c r="D251" s="118">
        <v>-88564.35</v>
      </c>
      <c r="E251" s="118">
        <v>-82588.94</v>
      </c>
      <c r="F251" s="118">
        <v>-111065.8</v>
      </c>
      <c r="G251" s="127">
        <v>-122792.22</v>
      </c>
      <c r="H251" s="102">
        <f t="shared" si="35"/>
        <v>-405011.31000000006</v>
      </c>
      <c r="K251" s="112" t="s">
        <v>672</v>
      </c>
      <c r="L251" s="111" t="s">
        <v>1082</v>
      </c>
      <c r="M251" s="117">
        <v>0</v>
      </c>
      <c r="N251" s="117">
        <v>-82355.850000000006</v>
      </c>
      <c r="O251" s="117">
        <v>-88564.35</v>
      </c>
      <c r="P251" s="117">
        <v>-82588.94</v>
      </c>
      <c r="Q251" s="117">
        <v>-111065.8</v>
      </c>
      <c r="R251" s="117"/>
      <c r="S251" s="117">
        <f t="shared" si="39"/>
        <v>-364574.94</v>
      </c>
      <c r="T251" s="117">
        <v>-422620.85999999993</v>
      </c>
      <c r="U251" s="115">
        <f t="shared" si="40"/>
        <v>58045.919999999925</v>
      </c>
      <c r="Y251" s="115">
        <f t="shared" si="41"/>
        <v>0</v>
      </c>
      <c r="Z251" s="117">
        <v>-58045.919999999896</v>
      </c>
      <c r="AA251" s="115">
        <f t="shared" si="42"/>
        <v>0</v>
      </c>
      <c r="AH251" s="79"/>
      <c r="AI251" s="79"/>
      <c r="AJ251" s="79">
        <v>-62678.38</v>
      </c>
      <c r="AK251" s="79">
        <v>-58045.919999999896</v>
      </c>
      <c r="AL251" s="79">
        <f t="shared" si="36"/>
        <v>-58045.919999999896</v>
      </c>
      <c r="AN251" s="79">
        <v>-62678.38</v>
      </c>
      <c r="AO251" s="79">
        <v>-58045.919999999896</v>
      </c>
      <c r="AP251" s="79">
        <v>-82355.850000000006</v>
      </c>
      <c r="AQ251" s="79">
        <v>-88564.35</v>
      </c>
      <c r="AR251" s="79">
        <v>-82588.94</v>
      </c>
      <c r="AS251" s="79">
        <f t="shared" si="37"/>
        <v>-374233.43999999989</v>
      </c>
      <c r="BB251" s="103" t="s">
        <v>672</v>
      </c>
      <c r="BC251" s="101" t="s">
        <v>1082</v>
      </c>
      <c r="BD251" s="117">
        <v>-82355.850000000006</v>
      </c>
      <c r="BE251" s="117">
        <v>-88564.35</v>
      </c>
      <c r="BF251" s="117">
        <v>-82588.94</v>
      </c>
      <c r="BG251" s="117">
        <v>-111065.8</v>
      </c>
      <c r="BH251" s="129">
        <v>-122792.22</v>
      </c>
      <c r="BI251" s="128">
        <f t="shared" si="38"/>
        <v>-487367.16000000003</v>
      </c>
      <c r="BM251" s="103" t="s">
        <v>672</v>
      </c>
      <c r="BN251" s="101" t="s">
        <v>1082</v>
      </c>
      <c r="BO251" s="117">
        <v>0</v>
      </c>
      <c r="BP251" s="117">
        <v>-88564.35</v>
      </c>
      <c r="BQ251" s="117">
        <v>-82588.94</v>
      </c>
      <c r="BR251" s="117">
        <v>-111065.8</v>
      </c>
      <c r="BS251" s="129">
        <v>-122792.22</v>
      </c>
      <c r="BT251" s="129"/>
      <c r="BU251" s="128">
        <f t="shared" si="43"/>
        <v>-405011.31000000006</v>
      </c>
      <c r="BW251" s="115">
        <f t="shared" si="44"/>
        <v>-82355.849999999977</v>
      </c>
      <c r="BX251" s="117">
        <v>-82355.850000000006</v>
      </c>
      <c r="BY251" s="117"/>
    </row>
    <row r="252" spans="2:83">
      <c r="B252" s="103" t="s">
        <v>674</v>
      </c>
      <c r="C252" s="101" t="s">
        <v>1083</v>
      </c>
      <c r="D252" s="118">
        <v>-366148.71</v>
      </c>
      <c r="E252" s="118">
        <v>-568719.85</v>
      </c>
      <c r="F252" s="118">
        <v>-782707.61</v>
      </c>
      <c r="G252" s="127">
        <v>-948756.13</v>
      </c>
      <c r="H252" s="102">
        <f t="shared" si="35"/>
        <v>-2666332.2999999998</v>
      </c>
      <c r="K252" s="112" t="s">
        <v>674</v>
      </c>
      <c r="L252" s="111" t="s">
        <v>1083</v>
      </c>
      <c r="M252" s="117">
        <v>0</v>
      </c>
      <c r="N252" s="117">
        <v>-361472.59</v>
      </c>
      <c r="O252" s="117">
        <v>-366148.71</v>
      </c>
      <c r="P252" s="117">
        <v>-568719.85</v>
      </c>
      <c r="Q252" s="117">
        <v>-782707.61</v>
      </c>
      <c r="R252" s="117"/>
      <c r="S252" s="117">
        <f t="shared" si="39"/>
        <v>-2079048.7599999998</v>
      </c>
      <c r="T252" s="117">
        <v>-2465532.0100000021</v>
      </c>
      <c r="U252" s="115">
        <f t="shared" si="40"/>
        <v>386483.25000000233</v>
      </c>
      <c r="Y252" s="115">
        <f t="shared" si="41"/>
        <v>0</v>
      </c>
      <c r="Z252" s="117">
        <v>-386483.25000000233</v>
      </c>
      <c r="AA252" s="115">
        <f t="shared" si="42"/>
        <v>0</v>
      </c>
      <c r="AH252" s="79"/>
      <c r="AI252" s="79"/>
      <c r="AJ252" s="79">
        <v>-65630.19</v>
      </c>
      <c r="AK252" s="79">
        <v>-386483.25000000233</v>
      </c>
      <c r="AL252" s="79">
        <f t="shared" si="36"/>
        <v>-386483.25000000233</v>
      </c>
      <c r="AN252" s="79">
        <v>-65630.19</v>
      </c>
      <c r="AO252" s="79">
        <v>-386483.25000000233</v>
      </c>
      <c r="AP252" s="79">
        <v>-361472.59</v>
      </c>
      <c r="AQ252" s="79">
        <v>-366148.71</v>
      </c>
      <c r="AR252" s="79">
        <v>-568719.85</v>
      </c>
      <c r="AS252" s="79">
        <f t="shared" si="37"/>
        <v>-1748454.5900000022</v>
      </c>
      <c r="BB252" s="103" t="s">
        <v>674</v>
      </c>
      <c r="BC252" s="101" t="s">
        <v>1083</v>
      </c>
      <c r="BD252" s="117">
        <v>-361472.59</v>
      </c>
      <c r="BE252" s="117">
        <v>-366148.71</v>
      </c>
      <c r="BF252" s="117">
        <v>-568719.85</v>
      </c>
      <c r="BG252" s="117">
        <v>-782707.61</v>
      </c>
      <c r="BH252" s="129">
        <v>-948756.13</v>
      </c>
      <c r="BI252" s="128">
        <f t="shared" si="38"/>
        <v>-3027804.8899999997</v>
      </c>
      <c r="BM252" s="103" t="s">
        <v>674</v>
      </c>
      <c r="BN252" s="101" t="s">
        <v>1083</v>
      </c>
      <c r="BO252" s="117">
        <v>0</v>
      </c>
      <c r="BP252" s="117">
        <v>-366148.71</v>
      </c>
      <c r="BQ252" s="117">
        <v>-568719.85</v>
      </c>
      <c r="BR252" s="117">
        <v>-782707.61</v>
      </c>
      <c r="BS252" s="129">
        <v>-948756.13</v>
      </c>
      <c r="BT252" s="129"/>
      <c r="BU252" s="128">
        <f t="shared" si="43"/>
        <v>-2666332.2999999998</v>
      </c>
      <c r="BW252" s="115">
        <f t="shared" si="44"/>
        <v>-361472.58999999985</v>
      </c>
      <c r="BX252" s="117">
        <v>-361472.59</v>
      </c>
      <c r="BY252" s="117"/>
    </row>
    <row r="253" spans="2:83">
      <c r="B253" s="103" t="s">
        <v>676</v>
      </c>
      <c r="C253" s="101" t="s">
        <v>1084</v>
      </c>
      <c r="D253" s="118">
        <v>-318112.13</v>
      </c>
      <c r="E253" s="118">
        <v>-305206.57</v>
      </c>
      <c r="F253" s="118">
        <v>-259270.82</v>
      </c>
      <c r="G253" s="127">
        <v>-344842.95</v>
      </c>
      <c r="H253" s="102">
        <f t="shared" si="35"/>
        <v>-1227432.47</v>
      </c>
      <c r="K253" s="112" t="s">
        <v>676</v>
      </c>
      <c r="L253" s="111" t="s">
        <v>1084</v>
      </c>
      <c r="M253" s="117">
        <v>0</v>
      </c>
      <c r="N253" s="117">
        <v>-176964.37</v>
      </c>
      <c r="O253" s="117">
        <v>-318112.13</v>
      </c>
      <c r="P253" s="117">
        <v>-305206.57</v>
      </c>
      <c r="Q253" s="117">
        <v>-259270.82</v>
      </c>
      <c r="R253" s="117"/>
      <c r="S253" s="117">
        <f t="shared" si="39"/>
        <v>-1059553.8900000001</v>
      </c>
      <c r="T253" s="117">
        <v>-1216745.3200000022</v>
      </c>
      <c r="U253" s="115">
        <f t="shared" si="40"/>
        <v>157191.43000000203</v>
      </c>
      <c r="Y253" s="115">
        <f t="shared" si="41"/>
        <v>0</v>
      </c>
      <c r="Z253" s="117">
        <v>-157191.43000000203</v>
      </c>
      <c r="AA253" s="115">
        <f t="shared" si="42"/>
        <v>0</v>
      </c>
      <c r="AH253" s="79"/>
      <c r="AI253" s="79"/>
      <c r="AJ253" s="79">
        <v>-206234.14</v>
      </c>
      <c r="AK253" s="79">
        <v>-157191.43000000203</v>
      </c>
      <c r="AL253" s="79">
        <f t="shared" si="36"/>
        <v>-157191.43000000203</v>
      </c>
      <c r="AN253" s="79">
        <v>-206234.14</v>
      </c>
      <c r="AO253" s="79">
        <v>-157191.43000000203</v>
      </c>
      <c r="AP253" s="79">
        <v>-176964.37</v>
      </c>
      <c r="AQ253" s="79">
        <v>-318112.13</v>
      </c>
      <c r="AR253" s="79">
        <v>-305206.57</v>
      </c>
      <c r="AS253" s="79">
        <f t="shared" si="37"/>
        <v>-1163708.640000002</v>
      </c>
      <c r="BB253" s="103" t="s">
        <v>676</v>
      </c>
      <c r="BC253" s="101" t="s">
        <v>1084</v>
      </c>
      <c r="BD253" s="117">
        <v>-176964.37</v>
      </c>
      <c r="BE253" s="117">
        <v>-318112.13</v>
      </c>
      <c r="BF253" s="117">
        <v>-305206.57</v>
      </c>
      <c r="BG253" s="117">
        <v>-259270.82</v>
      </c>
      <c r="BH253" s="129">
        <v>-344842.95</v>
      </c>
      <c r="BI253" s="128">
        <f t="shared" si="38"/>
        <v>-1404396.84</v>
      </c>
      <c r="BM253" s="103" t="s">
        <v>676</v>
      </c>
      <c r="BN253" s="101" t="s">
        <v>1084</v>
      </c>
      <c r="BO253" s="117">
        <v>0</v>
      </c>
      <c r="BP253" s="117">
        <v>-318112.13</v>
      </c>
      <c r="BQ253" s="117">
        <v>-305206.57</v>
      </c>
      <c r="BR253" s="117">
        <v>-259270.82</v>
      </c>
      <c r="BS253" s="129">
        <v>-344842.95</v>
      </c>
      <c r="BT253" s="129"/>
      <c r="BU253" s="128">
        <f t="shared" si="43"/>
        <v>-1227432.47</v>
      </c>
      <c r="BW253" s="115">
        <f t="shared" si="44"/>
        <v>-176964.37000000011</v>
      </c>
      <c r="BX253" s="117">
        <v>-176964.37</v>
      </c>
      <c r="BY253" s="117"/>
    </row>
    <row r="254" spans="2:83">
      <c r="B254" s="103" t="s">
        <v>678</v>
      </c>
      <c r="C254" s="101" t="s">
        <v>1085</v>
      </c>
      <c r="D254" s="118">
        <v>-45410.66</v>
      </c>
      <c r="E254" s="118">
        <v>-66029.66</v>
      </c>
      <c r="F254" s="118">
        <v>-23572.79</v>
      </c>
      <c r="G254" s="127">
        <v>-107907.89</v>
      </c>
      <c r="H254" s="102">
        <f t="shared" si="35"/>
        <v>-242921</v>
      </c>
      <c r="K254" s="112" t="s">
        <v>678</v>
      </c>
      <c r="L254" s="111" t="s">
        <v>1085</v>
      </c>
      <c r="M254" s="117">
        <v>0</v>
      </c>
      <c r="N254" s="117">
        <v>-16434.7</v>
      </c>
      <c r="O254" s="117">
        <v>-45410.66</v>
      </c>
      <c r="P254" s="117">
        <v>-66029.66</v>
      </c>
      <c r="Q254" s="117">
        <v>-23572.79</v>
      </c>
      <c r="R254" s="117"/>
      <c r="S254" s="117">
        <f t="shared" si="39"/>
        <v>-151447.81</v>
      </c>
      <c r="T254" s="117">
        <v>-168315.70999999958</v>
      </c>
      <c r="U254" s="115">
        <f t="shared" si="40"/>
        <v>16867.899999999587</v>
      </c>
      <c r="Y254" s="115">
        <f t="shared" si="41"/>
        <v>2.9103830456733704E-11</v>
      </c>
      <c r="Z254" s="117">
        <v>-16867.899999999558</v>
      </c>
      <c r="AA254" s="115">
        <f t="shared" si="42"/>
        <v>2.9103830456733704E-11</v>
      </c>
      <c r="AH254" s="79"/>
      <c r="AI254" s="79"/>
      <c r="AJ254" s="79">
        <v>-31789.360000000001</v>
      </c>
      <c r="AK254" s="79">
        <v>-16867.899999999558</v>
      </c>
      <c r="AL254" s="79">
        <f t="shared" si="36"/>
        <v>-16867.899999999558</v>
      </c>
      <c r="AN254" s="79">
        <v>-31789.360000000001</v>
      </c>
      <c r="AO254" s="79">
        <v>-16867.899999999558</v>
      </c>
      <c r="AP254" s="79">
        <v>-16434.7</v>
      </c>
      <c r="AQ254" s="79">
        <v>-45410.66</v>
      </c>
      <c r="AR254" s="79">
        <v>-66029.66</v>
      </c>
      <c r="AS254" s="79">
        <f t="shared" si="37"/>
        <v>-176532.27999999956</v>
      </c>
      <c r="BB254" s="103" t="s">
        <v>678</v>
      </c>
      <c r="BC254" s="101" t="s">
        <v>1085</v>
      </c>
      <c r="BD254" s="117">
        <v>-16434.7</v>
      </c>
      <c r="BE254" s="117">
        <v>-45410.66</v>
      </c>
      <c r="BF254" s="117">
        <v>-66029.66</v>
      </c>
      <c r="BG254" s="117">
        <v>-23572.79</v>
      </c>
      <c r="BH254" s="129">
        <v>-107907.89</v>
      </c>
      <c r="BI254" s="128">
        <f t="shared" si="38"/>
        <v>-259355.7</v>
      </c>
      <c r="BM254" s="103" t="s">
        <v>678</v>
      </c>
      <c r="BN254" s="101" t="s">
        <v>1085</v>
      </c>
      <c r="BO254" s="117">
        <v>0</v>
      </c>
      <c r="BP254" s="117">
        <v>-45410.66</v>
      </c>
      <c r="BQ254" s="117">
        <v>-66029.66</v>
      </c>
      <c r="BR254" s="117">
        <v>-23572.79</v>
      </c>
      <c r="BS254" s="129">
        <v>-107907.89</v>
      </c>
      <c r="BT254" s="129"/>
      <c r="BU254" s="128">
        <f t="shared" si="43"/>
        <v>-242921</v>
      </c>
      <c r="BW254" s="115">
        <f t="shared" si="44"/>
        <v>-16434.700000000012</v>
      </c>
      <c r="BX254" s="117">
        <v>-16434.7</v>
      </c>
      <c r="BY254" s="117"/>
    </row>
    <row r="255" spans="2:83">
      <c r="B255" s="103" t="s">
        <v>680</v>
      </c>
      <c r="C255" s="101" t="s">
        <v>1086</v>
      </c>
      <c r="D255" s="118">
        <v>92322.2</v>
      </c>
      <c r="E255" s="118">
        <v>-10316.98</v>
      </c>
      <c r="F255" s="118">
        <v>41450</v>
      </c>
      <c r="G255" s="127">
        <v>21900.87</v>
      </c>
      <c r="H255" s="102">
        <f t="shared" si="35"/>
        <v>145356.09</v>
      </c>
      <c r="K255" s="112" t="s">
        <v>680</v>
      </c>
      <c r="L255" s="111" t="s">
        <v>1086</v>
      </c>
      <c r="M255" s="117">
        <v>0</v>
      </c>
      <c r="N255" s="117">
        <v>84773.34</v>
      </c>
      <c r="O255" s="117">
        <v>7548.86</v>
      </c>
      <c r="P255" s="117">
        <v>-10316.98</v>
      </c>
      <c r="Q255" s="117">
        <v>41450</v>
      </c>
      <c r="R255" s="117"/>
      <c r="S255" s="117">
        <f t="shared" si="39"/>
        <v>123455.22</v>
      </c>
      <c r="T255" s="117">
        <v>123455.22</v>
      </c>
      <c r="U255" s="115">
        <f t="shared" si="40"/>
        <v>0</v>
      </c>
      <c r="W255" s="115">
        <f t="shared" ref="W255" si="46">+M255+N255</f>
        <v>84773.34</v>
      </c>
      <c r="Y255" s="115">
        <f t="shared" si="41"/>
        <v>34183.39</v>
      </c>
      <c r="Z255" s="117">
        <v>34183.39</v>
      </c>
      <c r="AA255" s="115">
        <f t="shared" si="42"/>
        <v>34183.39</v>
      </c>
      <c r="AH255" s="79"/>
      <c r="AI255" s="79"/>
      <c r="AJ255" s="79">
        <v>6623.5</v>
      </c>
      <c r="AK255" s="79">
        <v>27559.889999999898</v>
      </c>
      <c r="AL255" s="79">
        <f t="shared" si="36"/>
        <v>34183.389999999898</v>
      </c>
      <c r="AN255" s="79">
        <v>6623.5</v>
      </c>
      <c r="AO255" s="79">
        <v>27559.889999999898</v>
      </c>
      <c r="AP255" s="79">
        <v>50589.95</v>
      </c>
      <c r="AQ255" s="79">
        <v>7548.86</v>
      </c>
      <c r="AR255" s="79">
        <v>-10316.98</v>
      </c>
      <c r="AS255" s="79">
        <f t="shared" si="37"/>
        <v>82005.219999999899</v>
      </c>
      <c r="BB255" s="103" t="s">
        <v>680</v>
      </c>
      <c r="BC255" s="101" t="s">
        <v>1086</v>
      </c>
      <c r="BD255" s="117">
        <v>84773.34</v>
      </c>
      <c r="BE255" s="117">
        <v>7548.86</v>
      </c>
      <c r="BF255" s="117">
        <v>-10316.98</v>
      </c>
      <c r="BG255" s="117">
        <v>41450</v>
      </c>
      <c r="BH255" s="129">
        <v>21900.87</v>
      </c>
      <c r="BI255" s="128">
        <f t="shared" si="38"/>
        <v>145356.09</v>
      </c>
      <c r="BM255" s="103" t="s">
        <v>680</v>
      </c>
      <c r="BN255" s="101" t="s">
        <v>1086</v>
      </c>
      <c r="BO255" s="117">
        <v>0</v>
      </c>
      <c r="BP255" s="131">
        <v>92322.2</v>
      </c>
      <c r="BQ255" s="117">
        <v>-10316.98</v>
      </c>
      <c r="BR255" s="117">
        <v>41450</v>
      </c>
      <c r="BS255" s="129">
        <v>21900.87</v>
      </c>
      <c r="BT255" s="129"/>
      <c r="BU255" s="128">
        <f t="shared" si="43"/>
        <v>145356.09</v>
      </c>
      <c r="BW255" s="115">
        <f t="shared" si="44"/>
        <v>0</v>
      </c>
      <c r="BX255" s="131">
        <v>84773.34</v>
      </c>
      <c r="BY255" s="131">
        <v>7548.86</v>
      </c>
      <c r="CC255" s="130">
        <f>+BO255+BP255</f>
        <v>92322.2</v>
      </c>
      <c r="CD255" s="115">
        <f>+BX255+BY255</f>
        <v>92322.2</v>
      </c>
      <c r="CE255" s="115">
        <f>+CC255-CD255</f>
        <v>0</v>
      </c>
    </row>
    <row r="256" spans="2:83">
      <c r="B256" s="103" t="s">
        <v>682</v>
      </c>
      <c r="C256" s="101" t="s">
        <v>1087</v>
      </c>
      <c r="D256" s="118">
        <v>-32039.62</v>
      </c>
      <c r="E256" s="118">
        <v>-79411.73</v>
      </c>
      <c r="F256" s="118">
        <v>-1224.24</v>
      </c>
      <c r="G256" s="127">
        <v>0</v>
      </c>
      <c r="H256" s="102">
        <f t="shared" si="35"/>
        <v>-112675.59</v>
      </c>
      <c r="K256" s="112" t="s">
        <v>682</v>
      </c>
      <c r="L256" s="111" t="s">
        <v>1087</v>
      </c>
      <c r="M256" s="117">
        <v>0</v>
      </c>
      <c r="N256" s="117">
        <v>-8809.8799999999992</v>
      </c>
      <c r="O256" s="117">
        <v>-32039.62</v>
      </c>
      <c r="P256" s="117">
        <v>-79411.73</v>
      </c>
      <c r="Q256" s="117">
        <v>-1224.24</v>
      </c>
      <c r="R256" s="117"/>
      <c r="S256" s="117">
        <f t="shared" si="39"/>
        <v>-121485.47</v>
      </c>
      <c r="T256" s="117">
        <v>-151215.5199999999</v>
      </c>
      <c r="U256" s="115">
        <f t="shared" si="40"/>
        <v>29730.049999999901</v>
      </c>
      <c r="Y256" s="115">
        <f t="shared" si="41"/>
        <v>-2.9103830456733704E-11</v>
      </c>
      <c r="Z256" s="117">
        <v>-29730.04999999993</v>
      </c>
      <c r="AA256" s="115">
        <f t="shared" si="42"/>
        <v>-2.9103830456733704E-11</v>
      </c>
      <c r="AH256" s="79"/>
      <c r="AI256" s="79"/>
      <c r="AJ256" s="79">
        <v>-7669.39</v>
      </c>
      <c r="AK256" s="79">
        <v>-29730.04999999993</v>
      </c>
      <c r="AL256" s="79">
        <f t="shared" si="36"/>
        <v>-29730.04999999993</v>
      </c>
      <c r="AN256" s="79">
        <v>-7669.39</v>
      </c>
      <c r="AO256" s="79">
        <v>-29730.04999999993</v>
      </c>
      <c r="AP256" s="79">
        <v>-8809.8799999999992</v>
      </c>
      <c r="AQ256" s="79">
        <v>-32039.62</v>
      </c>
      <c r="AR256" s="79">
        <v>-79411.73</v>
      </c>
      <c r="AS256" s="79">
        <f t="shared" si="37"/>
        <v>-157660.66999999993</v>
      </c>
      <c r="BB256" s="103" t="s">
        <v>682</v>
      </c>
      <c r="BC256" s="101" t="s">
        <v>1087</v>
      </c>
      <c r="BD256" s="117">
        <v>-8809.8799999999992</v>
      </c>
      <c r="BE256" s="117">
        <v>-32039.62</v>
      </c>
      <c r="BF256" s="117">
        <v>-79411.73</v>
      </c>
      <c r="BG256" s="117">
        <v>-1224.24</v>
      </c>
      <c r="BH256" s="129">
        <v>6971.53</v>
      </c>
      <c r="BI256" s="128">
        <f t="shared" si="38"/>
        <v>-114513.94</v>
      </c>
      <c r="BM256" s="103" t="s">
        <v>682</v>
      </c>
      <c r="BN256" s="101" t="s">
        <v>1087</v>
      </c>
      <c r="BO256" s="117">
        <v>0</v>
      </c>
      <c r="BP256" s="117">
        <v>-32039.62</v>
      </c>
      <c r="BQ256" s="117">
        <v>-79411.73</v>
      </c>
      <c r="BR256" s="117">
        <v>-1224.24</v>
      </c>
      <c r="BS256" s="136">
        <v>0</v>
      </c>
      <c r="BT256" s="129"/>
      <c r="BU256" s="128">
        <f t="shared" si="43"/>
        <v>-112675.59</v>
      </c>
      <c r="BW256" s="115">
        <f t="shared" si="44"/>
        <v>-1838.3500000000058</v>
      </c>
      <c r="BX256" s="131">
        <v>-8809.8799999999992</v>
      </c>
      <c r="BY256" s="117"/>
      <c r="CB256" s="134">
        <v>6971.53</v>
      </c>
      <c r="CC256" s="130">
        <f>+BO256+BS256</f>
        <v>0</v>
      </c>
      <c r="CD256" s="137">
        <f>+BX256+CB256</f>
        <v>-1838.3499999999995</v>
      </c>
      <c r="CE256" s="137">
        <f>+BW256-CD256</f>
        <v>-6.3664629124104977E-12</v>
      </c>
    </row>
    <row r="257" spans="2:83">
      <c r="B257" s="103" t="s">
        <v>684</v>
      </c>
      <c r="C257" s="101" t="s">
        <v>1088</v>
      </c>
      <c r="D257" s="118">
        <v>85558.81</v>
      </c>
      <c r="E257" s="118">
        <v>-76609.56</v>
      </c>
      <c r="F257" s="118">
        <v>-50949.1</v>
      </c>
      <c r="G257" s="127">
        <v>-54277.61</v>
      </c>
      <c r="H257" s="102">
        <f t="shared" si="35"/>
        <v>-96277.459999999992</v>
      </c>
      <c r="K257" s="112" t="s">
        <v>684</v>
      </c>
      <c r="L257" s="111" t="s">
        <v>1088</v>
      </c>
      <c r="M257" s="117">
        <v>0</v>
      </c>
      <c r="N257" s="117">
        <v>67244.61</v>
      </c>
      <c r="O257" s="117">
        <v>18314.2</v>
      </c>
      <c r="P257" s="117">
        <v>-76609.56</v>
      </c>
      <c r="Q257" s="117">
        <v>-50949.1</v>
      </c>
      <c r="R257" s="117"/>
      <c r="S257" s="117">
        <f t="shared" si="39"/>
        <v>-41999.85</v>
      </c>
      <c r="T257" s="117">
        <v>-41999.85</v>
      </c>
      <c r="U257" s="115">
        <f t="shared" si="40"/>
        <v>0</v>
      </c>
      <c r="W257" s="115">
        <f t="shared" ref="W257:W258" si="47">+M257+N257</f>
        <v>67244.61</v>
      </c>
      <c r="Y257" s="115">
        <f t="shared" si="41"/>
        <v>81481.77</v>
      </c>
      <c r="Z257" s="117">
        <v>81481.77</v>
      </c>
      <c r="AA257" s="115">
        <f t="shared" si="42"/>
        <v>81481.77</v>
      </c>
      <c r="AH257" s="79"/>
      <c r="AI257" s="79"/>
      <c r="AJ257" s="79">
        <v>53115.28</v>
      </c>
      <c r="AK257" s="79">
        <v>28366.489999999991</v>
      </c>
      <c r="AL257" s="79">
        <f t="shared" si="36"/>
        <v>81481.76999999999</v>
      </c>
      <c r="AN257" s="79">
        <v>53115.28</v>
      </c>
      <c r="AO257" s="79">
        <v>28366.489999999991</v>
      </c>
      <c r="AP257" s="79">
        <v>-14237.16</v>
      </c>
      <c r="AQ257" s="79">
        <v>18314.2</v>
      </c>
      <c r="AR257" s="79">
        <v>-76609.56</v>
      </c>
      <c r="AS257" s="79">
        <f t="shared" si="37"/>
        <v>8949.2499999999854</v>
      </c>
      <c r="BB257" s="103" t="s">
        <v>684</v>
      </c>
      <c r="BC257" s="101" t="s">
        <v>1088</v>
      </c>
      <c r="BD257" s="117">
        <v>67244.61</v>
      </c>
      <c r="BE257" s="117">
        <v>18314.2</v>
      </c>
      <c r="BF257" s="117">
        <v>-76609.56</v>
      </c>
      <c r="BG257" s="117">
        <v>-50949.1</v>
      </c>
      <c r="BH257" s="129">
        <v>-54277.61</v>
      </c>
      <c r="BI257" s="128">
        <f t="shared" si="38"/>
        <v>-96277.459999999992</v>
      </c>
      <c r="BM257" s="103" t="s">
        <v>684</v>
      </c>
      <c r="BN257" s="101" t="s">
        <v>1088</v>
      </c>
      <c r="BO257" s="117">
        <v>0</v>
      </c>
      <c r="BP257" s="131">
        <v>85558.81</v>
      </c>
      <c r="BQ257" s="117">
        <v>-76609.56</v>
      </c>
      <c r="BR257" s="117">
        <v>-50949.1</v>
      </c>
      <c r="BS257" s="129">
        <v>-54277.61</v>
      </c>
      <c r="BT257" s="129"/>
      <c r="BU257" s="128">
        <f t="shared" si="43"/>
        <v>-96277.459999999992</v>
      </c>
      <c r="BW257" s="115">
        <f t="shared" si="44"/>
        <v>0</v>
      </c>
      <c r="BX257" s="131">
        <v>67244.61</v>
      </c>
      <c r="BY257" s="131">
        <v>18314.2</v>
      </c>
      <c r="CC257" s="130">
        <f>+BO257+BP257</f>
        <v>85558.81</v>
      </c>
      <c r="CD257" s="115">
        <f>+BX257+BY257</f>
        <v>85558.81</v>
      </c>
      <c r="CE257" s="115">
        <f>+CC257-CD257</f>
        <v>0</v>
      </c>
    </row>
    <row r="258" spans="2:83">
      <c r="B258" s="103" t="s">
        <v>686</v>
      </c>
      <c r="C258" s="101" t="s">
        <v>1089</v>
      </c>
      <c r="D258" s="118">
        <v>-18243.11</v>
      </c>
      <c r="E258" s="118">
        <v>-56550.27</v>
      </c>
      <c r="F258" s="118">
        <v>-17495.38</v>
      </c>
      <c r="G258" s="127">
        <v>-99396.36</v>
      </c>
      <c r="H258" s="102">
        <f t="shared" si="35"/>
        <v>-191685.12</v>
      </c>
      <c r="K258" s="112" t="s">
        <v>686</v>
      </c>
      <c r="L258" s="111" t="s">
        <v>1089</v>
      </c>
      <c r="M258" s="117">
        <v>0</v>
      </c>
      <c r="N258" s="117">
        <v>13300.05</v>
      </c>
      <c r="O258" s="117">
        <v>-31543.16</v>
      </c>
      <c r="P258" s="117">
        <v>-56550.27</v>
      </c>
      <c r="Q258" s="117">
        <v>-17495.38</v>
      </c>
      <c r="R258" s="117"/>
      <c r="S258" s="117">
        <f t="shared" si="39"/>
        <v>-92288.760000000009</v>
      </c>
      <c r="T258" s="117">
        <v>-92288.760000000009</v>
      </c>
      <c r="U258" s="115">
        <f t="shared" si="40"/>
        <v>0</v>
      </c>
      <c r="W258" s="115">
        <f t="shared" si="47"/>
        <v>13300.05</v>
      </c>
      <c r="Y258" s="115">
        <f t="shared" si="41"/>
        <v>4950.2</v>
      </c>
      <c r="Z258" s="117">
        <v>4950.2</v>
      </c>
      <c r="AA258" s="115">
        <f t="shared" si="42"/>
        <v>4950.2</v>
      </c>
      <c r="AH258" s="82"/>
      <c r="AI258" s="79"/>
      <c r="AJ258" s="79">
        <v>-14911.09</v>
      </c>
      <c r="AK258" s="79">
        <v>19861.289999999572</v>
      </c>
      <c r="AL258" s="79">
        <f t="shared" si="36"/>
        <v>19861.289999999572</v>
      </c>
      <c r="AN258" s="79">
        <v>-14911.09</v>
      </c>
      <c r="AO258" s="79">
        <v>19861.289999999572</v>
      </c>
      <c r="AP258" s="79">
        <v>8349.85</v>
      </c>
      <c r="AQ258" s="79">
        <v>-31543.16</v>
      </c>
      <c r="AR258" s="79">
        <v>-56550.27</v>
      </c>
      <c r="AS258" s="79">
        <f t="shared" si="37"/>
        <v>-74793.380000000427</v>
      </c>
      <c r="AT258" s="87"/>
      <c r="AU258" s="79">
        <f>+AN258+AO258</f>
        <v>4950.1999999995714</v>
      </c>
      <c r="BB258" s="103" t="s">
        <v>686</v>
      </c>
      <c r="BC258" s="101" t="s">
        <v>1089</v>
      </c>
      <c r="BD258" s="117">
        <v>13300.05</v>
      </c>
      <c r="BE258" s="117">
        <v>-31543.16</v>
      </c>
      <c r="BF258" s="117">
        <v>-56550.27</v>
      </c>
      <c r="BG258" s="117">
        <v>-17495.38</v>
      </c>
      <c r="BH258" s="129">
        <v>-99396.36</v>
      </c>
      <c r="BI258" s="128">
        <f t="shared" si="38"/>
        <v>-191685.12</v>
      </c>
      <c r="BM258" s="103" t="s">
        <v>686</v>
      </c>
      <c r="BN258" s="101" t="s">
        <v>1089</v>
      </c>
      <c r="BO258" s="117">
        <v>0</v>
      </c>
      <c r="BP258" s="131">
        <v>-18243.11</v>
      </c>
      <c r="BQ258" s="117">
        <v>-56550.27</v>
      </c>
      <c r="BR258" s="117">
        <v>-17495.38</v>
      </c>
      <c r="BS258" s="129">
        <v>-99396.36</v>
      </c>
      <c r="BT258" s="129"/>
      <c r="BU258" s="128">
        <f t="shared" si="43"/>
        <v>-191685.12</v>
      </c>
      <c r="BW258" s="115">
        <f t="shared" si="44"/>
        <v>0</v>
      </c>
      <c r="BX258" s="131">
        <v>13300.05</v>
      </c>
      <c r="BY258" s="131">
        <v>-31543.16</v>
      </c>
      <c r="CC258" s="130">
        <f>+BO258+BP258</f>
        <v>-18243.11</v>
      </c>
      <c r="CD258" s="115">
        <f>+BX258+BY258</f>
        <v>-18243.11</v>
      </c>
      <c r="CE258" s="115">
        <f>+CC258-CD258</f>
        <v>0</v>
      </c>
    </row>
    <row r="259" spans="2:83">
      <c r="B259" s="103" t="s">
        <v>688</v>
      </c>
      <c r="C259" s="101" t="s">
        <v>1090</v>
      </c>
      <c r="D259" s="118">
        <v>-59243.53</v>
      </c>
      <c r="E259" s="118">
        <v>-101209.83</v>
      </c>
      <c r="F259" s="118">
        <v>-86648.23</v>
      </c>
      <c r="G259" s="118"/>
      <c r="H259" s="102">
        <f t="shared" si="35"/>
        <v>-247101.58999999997</v>
      </c>
      <c r="K259" s="112" t="s">
        <v>688</v>
      </c>
      <c r="L259" s="111" t="s">
        <v>1090</v>
      </c>
      <c r="M259" s="117">
        <v>0</v>
      </c>
      <c r="N259" s="117">
        <v>-52886.28</v>
      </c>
      <c r="O259" s="117">
        <v>-59243.53</v>
      </c>
      <c r="P259" s="117">
        <v>-101209.83</v>
      </c>
      <c r="Q259" s="117">
        <v>-86648.23</v>
      </c>
      <c r="R259" s="117"/>
      <c r="S259" s="117">
        <f t="shared" si="39"/>
        <v>-299987.87</v>
      </c>
      <c r="T259" s="117">
        <v>-356555.90999999992</v>
      </c>
      <c r="U259" s="115">
        <f t="shared" si="40"/>
        <v>56568.039999999921</v>
      </c>
      <c r="Y259" s="115">
        <f t="shared" si="41"/>
        <v>0</v>
      </c>
      <c r="Z259" s="117">
        <v>-56568.039999999935</v>
      </c>
      <c r="AA259" s="115">
        <f t="shared" si="42"/>
        <v>0</v>
      </c>
      <c r="AH259" s="79"/>
      <c r="AI259" s="79"/>
      <c r="AJ259" s="79">
        <v>-46864.21</v>
      </c>
      <c r="AK259" s="79">
        <v>-56568.039999999935</v>
      </c>
      <c r="AL259" s="79">
        <f t="shared" si="36"/>
        <v>-56568.039999999935</v>
      </c>
      <c r="AN259" s="79">
        <v>-46864.21</v>
      </c>
      <c r="AO259" s="79">
        <v>-56568.039999999935</v>
      </c>
      <c r="AP259" s="79">
        <v>-52886.28</v>
      </c>
      <c r="AQ259" s="79">
        <v>-59243.53</v>
      </c>
      <c r="AR259" s="79">
        <v>-101209.83</v>
      </c>
      <c r="AS259" s="79">
        <f t="shared" si="37"/>
        <v>-316771.88999999996</v>
      </c>
      <c r="BB259" s="103" t="s">
        <v>688</v>
      </c>
      <c r="BC259" s="101" t="s">
        <v>1090</v>
      </c>
      <c r="BD259" s="117">
        <v>-52886.28</v>
      </c>
      <c r="BE259" s="117">
        <v>-59243.53</v>
      </c>
      <c r="BF259" s="117">
        <v>-101209.83</v>
      </c>
      <c r="BG259" s="117">
        <v>-86648.23</v>
      </c>
      <c r="BH259" s="117"/>
      <c r="BI259" s="128">
        <f t="shared" si="38"/>
        <v>-299987.87</v>
      </c>
      <c r="BM259" s="103" t="s">
        <v>688</v>
      </c>
      <c r="BN259" s="101" t="s">
        <v>1090</v>
      </c>
      <c r="BO259" s="117">
        <v>0</v>
      </c>
      <c r="BP259" s="117">
        <v>-59243.53</v>
      </c>
      <c r="BQ259" s="117">
        <v>-101209.83</v>
      </c>
      <c r="BR259" s="117">
        <v>-86648.23</v>
      </c>
      <c r="BS259" s="117"/>
      <c r="BT259" s="117"/>
      <c r="BU259" s="128">
        <f t="shared" si="43"/>
        <v>-247101.58999999997</v>
      </c>
      <c r="BW259" s="115">
        <f t="shared" si="44"/>
        <v>-52886.280000000028</v>
      </c>
      <c r="BX259" s="117">
        <v>-52886.28</v>
      </c>
      <c r="BY259" s="117"/>
    </row>
    <row r="260" spans="2:83">
      <c r="B260" s="103" t="s">
        <v>690</v>
      </c>
      <c r="C260" s="101" t="s">
        <v>1091</v>
      </c>
      <c r="D260" s="118">
        <v>-25934.04</v>
      </c>
      <c r="E260" s="118">
        <v>-27804.81</v>
      </c>
      <c r="F260" s="118">
        <v>-14740.08</v>
      </c>
      <c r="G260" s="127">
        <v>-20349.560000000001</v>
      </c>
      <c r="H260" s="102">
        <f t="shared" si="35"/>
        <v>-88828.49</v>
      </c>
      <c r="K260" s="112" t="s">
        <v>690</v>
      </c>
      <c r="L260" s="111" t="s">
        <v>1091</v>
      </c>
      <c r="M260" s="117">
        <v>0</v>
      </c>
      <c r="N260" s="117">
        <v>-24996.53</v>
      </c>
      <c r="O260" s="117">
        <v>-25934.04</v>
      </c>
      <c r="P260" s="117">
        <v>-27804.81</v>
      </c>
      <c r="Q260" s="117">
        <v>-14740.08</v>
      </c>
      <c r="R260" s="117"/>
      <c r="S260" s="117">
        <f t="shared" si="39"/>
        <v>-93475.46</v>
      </c>
      <c r="T260" s="117">
        <v>-119914.36000000003</v>
      </c>
      <c r="U260" s="115">
        <f t="shared" si="40"/>
        <v>26438.900000000023</v>
      </c>
      <c r="Y260" s="115">
        <f t="shared" si="41"/>
        <v>0</v>
      </c>
      <c r="Z260" s="117">
        <v>-26438.900000000023</v>
      </c>
      <c r="AA260" s="115">
        <f t="shared" si="42"/>
        <v>0</v>
      </c>
      <c r="AH260" s="79"/>
      <c r="AI260" s="79"/>
      <c r="AJ260" s="79">
        <v>-26592.57</v>
      </c>
      <c r="AK260" s="79">
        <v>-26438.900000000023</v>
      </c>
      <c r="AL260" s="79">
        <f t="shared" si="36"/>
        <v>-26438.900000000023</v>
      </c>
      <c r="AN260" s="79">
        <v>-26592.57</v>
      </c>
      <c r="AO260" s="79">
        <v>-26438.900000000023</v>
      </c>
      <c r="AP260" s="79">
        <v>-24996.53</v>
      </c>
      <c r="AQ260" s="79">
        <v>-25934.04</v>
      </c>
      <c r="AR260" s="79">
        <v>-27804.81</v>
      </c>
      <c r="AS260" s="79">
        <f t="shared" si="37"/>
        <v>-131766.85000000003</v>
      </c>
      <c r="BB260" s="103" t="s">
        <v>690</v>
      </c>
      <c r="BC260" s="101" t="s">
        <v>1091</v>
      </c>
      <c r="BD260" s="117">
        <v>-24996.53</v>
      </c>
      <c r="BE260" s="117">
        <v>-25934.04</v>
      </c>
      <c r="BF260" s="117">
        <v>-27804.81</v>
      </c>
      <c r="BG260" s="117">
        <v>-14740.08</v>
      </c>
      <c r="BH260" s="129">
        <v>-20349.560000000001</v>
      </c>
      <c r="BI260" s="128">
        <f t="shared" si="38"/>
        <v>-113825.02</v>
      </c>
      <c r="BM260" s="103" t="s">
        <v>690</v>
      </c>
      <c r="BN260" s="101" t="s">
        <v>1091</v>
      </c>
      <c r="BO260" s="117">
        <v>0</v>
      </c>
      <c r="BP260" s="117">
        <v>-25934.04</v>
      </c>
      <c r="BQ260" s="117">
        <v>-27804.81</v>
      </c>
      <c r="BR260" s="117">
        <v>-14740.08</v>
      </c>
      <c r="BS260" s="129">
        <v>-20349.560000000001</v>
      </c>
      <c r="BT260" s="129"/>
      <c r="BU260" s="128">
        <f t="shared" si="43"/>
        <v>-88828.49</v>
      </c>
      <c r="BW260" s="115">
        <f t="shared" si="44"/>
        <v>-24996.53</v>
      </c>
      <c r="BX260" s="117">
        <v>-24996.53</v>
      </c>
      <c r="BY260" s="117"/>
    </row>
    <row r="261" spans="2:83">
      <c r="B261" s="103" t="s">
        <v>692</v>
      </c>
      <c r="C261" s="101" t="s">
        <v>1092</v>
      </c>
      <c r="D261" s="118">
        <v>-12552.47</v>
      </c>
      <c r="E261" s="118">
        <v>-18392.23</v>
      </c>
      <c r="F261" s="118">
        <v>-26666.65</v>
      </c>
      <c r="G261" s="127">
        <v>-23061.95</v>
      </c>
      <c r="H261" s="102">
        <f t="shared" ref="H261:H285" si="48">SUM(D261:G261)</f>
        <v>-80673.3</v>
      </c>
      <c r="K261" s="112" t="s">
        <v>692</v>
      </c>
      <c r="L261" s="111" t="s">
        <v>1092</v>
      </c>
      <c r="M261" s="117">
        <v>0</v>
      </c>
      <c r="N261" s="117">
        <v>-13546.22</v>
      </c>
      <c r="O261" s="117">
        <v>-12552.47</v>
      </c>
      <c r="P261" s="117">
        <v>-18392.23</v>
      </c>
      <c r="Q261" s="117">
        <v>-26666.65</v>
      </c>
      <c r="R261" s="117"/>
      <c r="S261" s="117">
        <f t="shared" si="39"/>
        <v>-71157.570000000007</v>
      </c>
      <c r="T261" s="117">
        <v>-89701.81999999992</v>
      </c>
      <c r="U261" s="115">
        <f t="shared" si="40"/>
        <v>18544.249999999913</v>
      </c>
      <c r="Y261" s="115">
        <f t="shared" si="41"/>
        <v>0</v>
      </c>
      <c r="Z261" s="117">
        <v>-18544.249999999927</v>
      </c>
      <c r="AA261" s="115">
        <f t="shared" si="42"/>
        <v>0</v>
      </c>
      <c r="AH261" s="79"/>
      <c r="AI261" s="79"/>
      <c r="AJ261" s="79">
        <v>-9217.41</v>
      </c>
      <c r="AK261" s="79">
        <v>-18544.249999999927</v>
      </c>
      <c r="AL261" s="79">
        <f t="shared" ref="AL261:AL285" si="49">IF(AJ261&gt;0,+AJ261+AK261,AK261)</f>
        <v>-18544.249999999927</v>
      </c>
      <c r="AN261" s="79">
        <v>-9217.41</v>
      </c>
      <c r="AO261" s="79">
        <v>-18544.249999999927</v>
      </c>
      <c r="AP261" s="79">
        <v>-13546.22</v>
      </c>
      <c r="AQ261" s="79">
        <v>-12552.47</v>
      </c>
      <c r="AR261" s="79">
        <v>-18392.23</v>
      </c>
      <c r="AS261" s="79">
        <f t="shared" ref="AS261:AS285" si="50">SUM(AN261:AR261)</f>
        <v>-72252.579999999929</v>
      </c>
      <c r="BB261" s="103" t="s">
        <v>692</v>
      </c>
      <c r="BC261" s="101" t="s">
        <v>1092</v>
      </c>
      <c r="BD261" s="117">
        <v>-13546.22</v>
      </c>
      <c r="BE261" s="117">
        <v>-12552.47</v>
      </c>
      <c r="BF261" s="117">
        <v>-18392.23</v>
      </c>
      <c r="BG261" s="117">
        <v>-26666.65</v>
      </c>
      <c r="BH261" s="129">
        <v>-23061.95</v>
      </c>
      <c r="BI261" s="128">
        <f t="shared" ref="BI261:BI285" si="51">SUM(BD261:BH261)</f>
        <v>-94219.520000000004</v>
      </c>
      <c r="BM261" s="103" t="s">
        <v>692</v>
      </c>
      <c r="BN261" s="101" t="s">
        <v>1092</v>
      </c>
      <c r="BO261" s="117">
        <v>0</v>
      </c>
      <c r="BP261" s="117">
        <v>-12552.47</v>
      </c>
      <c r="BQ261" s="117">
        <v>-18392.23</v>
      </c>
      <c r="BR261" s="117">
        <v>-26666.65</v>
      </c>
      <c r="BS261" s="129">
        <v>-23061.95</v>
      </c>
      <c r="BT261" s="129"/>
      <c r="BU261" s="128">
        <f t="shared" si="43"/>
        <v>-80673.3</v>
      </c>
      <c r="BW261" s="115">
        <f t="shared" si="44"/>
        <v>-13546.220000000001</v>
      </c>
      <c r="BX261" s="117">
        <v>-13546.22</v>
      </c>
      <c r="BY261" s="117"/>
    </row>
    <row r="262" spans="2:83">
      <c r="B262" s="103" t="s">
        <v>694</v>
      </c>
      <c r="C262" s="101" t="s">
        <v>1093</v>
      </c>
      <c r="D262" s="118">
        <v>-57578.85</v>
      </c>
      <c r="E262" s="118">
        <v>-69806.490000000005</v>
      </c>
      <c r="F262" s="118">
        <v>-28458.71</v>
      </c>
      <c r="G262" s="127">
        <v>-65464.46</v>
      </c>
      <c r="H262" s="102">
        <f t="shared" si="48"/>
        <v>-221308.50999999998</v>
      </c>
      <c r="K262" s="112" t="s">
        <v>694</v>
      </c>
      <c r="L262" s="111" t="s">
        <v>1093</v>
      </c>
      <c r="M262" s="117">
        <v>0</v>
      </c>
      <c r="N262" s="117">
        <v>-107154.35</v>
      </c>
      <c r="O262" s="117">
        <v>-57578.85</v>
      </c>
      <c r="P262" s="117">
        <v>-69806.490000000005</v>
      </c>
      <c r="Q262" s="117">
        <v>-28458.71</v>
      </c>
      <c r="R262" s="117"/>
      <c r="S262" s="117">
        <f t="shared" ref="S262:S285" si="52">SUM(M262:R262)</f>
        <v>-262998.40000000002</v>
      </c>
      <c r="T262" s="117">
        <v>-327159.41999999946</v>
      </c>
      <c r="U262" s="115">
        <f t="shared" ref="U262:U285" si="53">+S262-T262</f>
        <v>64161.019999999437</v>
      </c>
      <c r="Y262" s="115">
        <f t="shared" ref="Y262:Y285" si="54">+U262+Z262</f>
        <v>0</v>
      </c>
      <c r="Z262" s="117">
        <v>-64161.019999999437</v>
      </c>
      <c r="AA262" s="115">
        <f t="shared" ref="AA262:AA285" si="55">+U262+Z262</f>
        <v>0</v>
      </c>
      <c r="AH262" s="79"/>
      <c r="AI262" s="79"/>
      <c r="AJ262" s="79">
        <v>-127178.31</v>
      </c>
      <c r="AK262" s="79">
        <v>-64161.019999999437</v>
      </c>
      <c r="AL262" s="79">
        <f t="shared" si="49"/>
        <v>-64161.019999999437</v>
      </c>
      <c r="AN262" s="79">
        <v>-127178.31</v>
      </c>
      <c r="AO262" s="79">
        <v>-64161.019999999437</v>
      </c>
      <c r="AP262" s="79">
        <v>-107154.35</v>
      </c>
      <c r="AQ262" s="79">
        <v>-57578.85</v>
      </c>
      <c r="AR262" s="79">
        <v>-69806.490000000005</v>
      </c>
      <c r="AS262" s="79">
        <f t="shared" si="50"/>
        <v>-425879.01999999944</v>
      </c>
      <c r="BB262" s="103" t="s">
        <v>694</v>
      </c>
      <c r="BC262" s="101" t="s">
        <v>1093</v>
      </c>
      <c r="BD262" s="117">
        <v>-107154.35</v>
      </c>
      <c r="BE262" s="117">
        <v>-57578.85</v>
      </c>
      <c r="BF262" s="117">
        <v>-69806.490000000005</v>
      </c>
      <c r="BG262" s="117">
        <v>-28458.71</v>
      </c>
      <c r="BH262" s="129">
        <v>-65464.46</v>
      </c>
      <c r="BI262" s="128">
        <f t="shared" si="51"/>
        <v>-328462.86000000004</v>
      </c>
      <c r="BM262" s="103" t="s">
        <v>694</v>
      </c>
      <c r="BN262" s="101" t="s">
        <v>1093</v>
      </c>
      <c r="BO262" s="117">
        <v>0</v>
      </c>
      <c r="BP262" s="117">
        <v>-57578.85</v>
      </c>
      <c r="BQ262" s="117">
        <v>-69806.490000000005</v>
      </c>
      <c r="BR262" s="117">
        <v>-28458.71</v>
      </c>
      <c r="BS262" s="129">
        <v>-65464.46</v>
      </c>
      <c r="BT262" s="129"/>
      <c r="BU262" s="128">
        <f t="shared" ref="BU262:BU285" si="56">SUM(BP262:BT262)</f>
        <v>-221308.50999999998</v>
      </c>
      <c r="BW262" s="115">
        <f t="shared" ref="BW262:BW285" si="57">+BI262-BU262</f>
        <v>-107154.35000000006</v>
      </c>
      <c r="BX262" s="117">
        <v>-107154.35</v>
      </c>
      <c r="BY262" s="117"/>
    </row>
    <row r="263" spans="2:83">
      <c r="B263" s="103" t="s">
        <v>696</v>
      </c>
      <c r="C263" s="101" t="s">
        <v>1094</v>
      </c>
      <c r="D263" s="118">
        <v>-26876.65</v>
      </c>
      <c r="E263" s="118">
        <v>-6396.6</v>
      </c>
      <c r="F263" s="118">
        <v>-21305.48</v>
      </c>
      <c r="G263" s="127">
        <v>-67750.240000000005</v>
      </c>
      <c r="H263" s="102">
        <f t="shared" si="48"/>
        <v>-122328.97</v>
      </c>
      <c r="K263" s="112" t="s">
        <v>696</v>
      </c>
      <c r="L263" s="111" t="s">
        <v>1094</v>
      </c>
      <c r="M263" s="117">
        <v>0</v>
      </c>
      <c r="N263" s="117">
        <v>-9758.73</v>
      </c>
      <c r="O263" s="117">
        <v>-26876.65</v>
      </c>
      <c r="P263" s="117">
        <v>-6396.6</v>
      </c>
      <c r="Q263" s="117">
        <v>-21305.48</v>
      </c>
      <c r="R263" s="117"/>
      <c r="S263" s="117">
        <f t="shared" si="52"/>
        <v>-64337.460000000006</v>
      </c>
      <c r="T263" s="117">
        <v>-80061.600000000195</v>
      </c>
      <c r="U263" s="115">
        <f t="shared" si="53"/>
        <v>15724.140000000189</v>
      </c>
      <c r="Y263" s="115">
        <f t="shared" si="54"/>
        <v>0</v>
      </c>
      <c r="Z263" s="117">
        <v>-15724.140000000189</v>
      </c>
      <c r="AA263" s="115">
        <f t="shared" si="55"/>
        <v>0</v>
      </c>
      <c r="AH263" s="79"/>
      <c r="AI263" s="79"/>
      <c r="AJ263" s="79">
        <v>-42649.16</v>
      </c>
      <c r="AK263" s="79">
        <v>-15724.140000000189</v>
      </c>
      <c r="AL263" s="79">
        <f t="shared" si="49"/>
        <v>-15724.140000000189</v>
      </c>
      <c r="AN263" s="79">
        <v>-42649.16</v>
      </c>
      <c r="AO263" s="79">
        <v>-15724.140000000189</v>
      </c>
      <c r="AP263" s="79">
        <v>-9758.73</v>
      </c>
      <c r="AQ263" s="79">
        <v>-26876.65</v>
      </c>
      <c r="AR263" s="79">
        <v>-6396.6</v>
      </c>
      <c r="AS263" s="79">
        <f t="shared" si="50"/>
        <v>-101405.2800000002</v>
      </c>
      <c r="BB263" s="103" t="s">
        <v>696</v>
      </c>
      <c r="BC263" s="101" t="s">
        <v>1094</v>
      </c>
      <c r="BD263" s="117">
        <v>-9758.73</v>
      </c>
      <c r="BE263" s="117">
        <v>-26876.65</v>
      </c>
      <c r="BF263" s="117">
        <v>-6396.6</v>
      </c>
      <c r="BG263" s="117">
        <v>-21305.48</v>
      </c>
      <c r="BH263" s="129">
        <v>-67750.240000000005</v>
      </c>
      <c r="BI263" s="128">
        <f t="shared" si="51"/>
        <v>-132087.70000000001</v>
      </c>
      <c r="BM263" s="103" t="s">
        <v>696</v>
      </c>
      <c r="BN263" s="101" t="s">
        <v>1094</v>
      </c>
      <c r="BO263" s="117">
        <v>0</v>
      </c>
      <c r="BP263" s="117">
        <v>-26876.65</v>
      </c>
      <c r="BQ263" s="117">
        <v>-6396.6</v>
      </c>
      <c r="BR263" s="117">
        <v>-21305.48</v>
      </c>
      <c r="BS263" s="129">
        <v>-67750.240000000005</v>
      </c>
      <c r="BT263" s="129"/>
      <c r="BU263" s="128">
        <f t="shared" si="56"/>
        <v>-122328.97</v>
      </c>
      <c r="BW263" s="115">
        <f t="shared" si="57"/>
        <v>-9758.7300000000105</v>
      </c>
      <c r="BX263" s="117">
        <v>-9758.73</v>
      </c>
      <c r="BY263" s="117"/>
    </row>
    <row r="264" spans="2:83">
      <c r="B264" s="103" t="s">
        <v>698</v>
      </c>
      <c r="C264" s="101" t="s">
        <v>699</v>
      </c>
      <c r="D264" s="118">
        <v>-22002.46</v>
      </c>
      <c r="E264" s="118">
        <v>-24472.7</v>
      </c>
      <c r="F264" s="118">
        <v>-21184.11</v>
      </c>
      <c r="G264" s="127">
        <v>-30830.42</v>
      </c>
      <c r="H264" s="102">
        <f t="shared" si="48"/>
        <v>-98489.69</v>
      </c>
      <c r="K264" s="112" t="s">
        <v>698</v>
      </c>
      <c r="L264" s="111" t="s">
        <v>699</v>
      </c>
      <c r="M264" s="117">
        <v>0</v>
      </c>
      <c r="N264" s="117">
        <v>-18241.57</v>
      </c>
      <c r="O264" s="117">
        <v>-22002.46</v>
      </c>
      <c r="P264" s="117">
        <v>-24472.7</v>
      </c>
      <c r="Q264" s="117">
        <v>-21184.11</v>
      </c>
      <c r="R264" s="117"/>
      <c r="S264" s="117">
        <f t="shared" si="52"/>
        <v>-85900.84</v>
      </c>
      <c r="T264" s="117">
        <v>-93422.579999999885</v>
      </c>
      <c r="U264" s="115">
        <f t="shared" si="53"/>
        <v>7521.7399999998888</v>
      </c>
      <c r="Y264" s="115">
        <f t="shared" si="54"/>
        <v>0</v>
      </c>
      <c r="Z264" s="117">
        <v>-7521.7399999998888</v>
      </c>
      <c r="AA264" s="115">
        <f t="shared" si="55"/>
        <v>0</v>
      </c>
      <c r="AH264" s="79"/>
      <c r="AI264" s="79"/>
      <c r="AJ264" s="79">
        <v>-6612.5</v>
      </c>
      <c r="AK264" s="79">
        <v>-7521.7399999998888</v>
      </c>
      <c r="AL264" s="79">
        <f t="shared" si="49"/>
        <v>-7521.7399999998888</v>
      </c>
      <c r="AN264" s="79">
        <v>-6612.5</v>
      </c>
      <c r="AO264" s="79">
        <v>-7521.7399999998888</v>
      </c>
      <c r="AP264" s="79">
        <v>-18241.57</v>
      </c>
      <c r="AQ264" s="79">
        <v>-22002.46</v>
      </c>
      <c r="AR264" s="79">
        <v>-24472.7</v>
      </c>
      <c r="AS264" s="79">
        <f t="shared" si="50"/>
        <v>-78850.969999999885</v>
      </c>
      <c r="BB264" s="103" t="s">
        <v>698</v>
      </c>
      <c r="BC264" s="101" t="s">
        <v>699</v>
      </c>
      <c r="BD264" s="117">
        <v>-18241.57</v>
      </c>
      <c r="BE264" s="117">
        <v>-22002.46</v>
      </c>
      <c r="BF264" s="117">
        <v>-24472.7</v>
      </c>
      <c r="BG264" s="117">
        <v>-21184.11</v>
      </c>
      <c r="BH264" s="129">
        <v>-30830.42</v>
      </c>
      <c r="BI264" s="128">
        <f t="shared" si="51"/>
        <v>-116731.26</v>
      </c>
      <c r="BM264" s="103" t="s">
        <v>698</v>
      </c>
      <c r="BN264" s="101" t="s">
        <v>699</v>
      </c>
      <c r="BO264" s="117">
        <v>0</v>
      </c>
      <c r="BP264" s="117">
        <v>-22002.46</v>
      </c>
      <c r="BQ264" s="117">
        <v>-24472.7</v>
      </c>
      <c r="BR264" s="117">
        <v>-21184.11</v>
      </c>
      <c r="BS264" s="129">
        <v>-30830.42</v>
      </c>
      <c r="BT264" s="129"/>
      <c r="BU264" s="128">
        <f t="shared" si="56"/>
        <v>-98489.69</v>
      </c>
      <c r="BW264" s="115">
        <f t="shared" si="57"/>
        <v>-18241.569999999992</v>
      </c>
      <c r="BX264" s="117">
        <v>-18241.57</v>
      </c>
      <c r="BY264" s="117"/>
    </row>
    <row r="265" spans="2:83">
      <c r="B265" s="103" t="s">
        <v>700</v>
      </c>
      <c r="C265" s="101" t="s">
        <v>1095</v>
      </c>
      <c r="D265" s="118">
        <v>-63775.93</v>
      </c>
      <c r="E265" s="118">
        <v>-65962.679999999993</v>
      </c>
      <c r="F265" s="118">
        <v>-70965.63</v>
      </c>
      <c r="G265" s="127">
        <v>-74384.53</v>
      </c>
      <c r="H265" s="102">
        <f t="shared" si="48"/>
        <v>-275088.77</v>
      </c>
      <c r="K265" s="112" t="s">
        <v>700</v>
      </c>
      <c r="L265" s="111" t="s">
        <v>1095</v>
      </c>
      <c r="M265" s="117">
        <v>0</v>
      </c>
      <c r="N265" s="117">
        <v>-60176.29</v>
      </c>
      <c r="O265" s="117">
        <v>-63775.93</v>
      </c>
      <c r="P265" s="117">
        <v>-65962.679999999993</v>
      </c>
      <c r="Q265" s="117">
        <v>-70965.63</v>
      </c>
      <c r="R265" s="117"/>
      <c r="S265" s="117">
        <f t="shared" si="52"/>
        <v>-260880.53</v>
      </c>
      <c r="T265" s="117">
        <v>-275397.07999999996</v>
      </c>
      <c r="U265" s="115">
        <f t="shared" si="53"/>
        <v>14516.549999999959</v>
      </c>
      <c r="Y265" s="115">
        <f t="shared" si="54"/>
        <v>-2.9103830456733704E-11</v>
      </c>
      <c r="Z265" s="117">
        <v>-14516.549999999988</v>
      </c>
      <c r="AA265" s="115">
        <f t="shared" si="55"/>
        <v>-2.9103830456733704E-11</v>
      </c>
      <c r="AH265" s="79"/>
      <c r="AI265" s="79"/>
      <c r="AJ265" s="79">
        <v>-59445.58</v>
      </c>
      <c r="AK265" s="79">
        <v>-14516.549999999988</v>
      </c>
      <c r="AL265" s="79">
        <f t="shared" si="49"/>
        <v>-14516.549999999988</v>
      </c>
      <c r="AN265" s="79">
        <v>-59445.58</v>
      </c>
      <c r="AO265" s="79">
        <v>-14516.549999999988</v>
      </c>
      <c r="AP265" s="79">
        <v>-60176.29</v>
      </c>
      <c r="AQ265" s="79">
        <v>-63775.93</v>
      </c>
      <c r="AR265" s="79">
        <v>-65962.679999999993</v>
      </c>
      <c r="AS265" s="79">
        <f t="shared" si="50"/>
        <v>-263877.02999999997</v>
      </c>
      <c r="BB265" s="103" t="s">
        <v>700</v>
      </c>
      <c r="BC265" s="101" t="s">
        <v>1095</v>
      </c>
      <c r="BD265" s="117">
        <v>-60176.29</v>
      </c>
      <c r="BE265" s="117">
        <v>-63775.93</v>
      </c>
      <c r="BF265" s="117">
        <v>-65962.679999999993</v>
      </c>
      <c r="BG265" s="117">
        <v>-70965.63</v>
      </c>
      <c r="BH265" s="129">
        <v>-74384.53</v>
      </c>
      <c r="BI265" s="128">
        <f t="shared" si="51"/>
        <v>-335265.06</v>
      </c>
      <c r="BM265" s="103" t="s">
        <v>700</v>
      </c>
      <c r="BN265" s="101" t="s">
        <v>1095</v>
      </c>
      <c r="BO265" s="117">
        <v>0</v>
      </c>
      <c r="BP265" s="117">
        <v>-63775.93</v>
      </c>
      <c r="BQ265" s="117">
        <v>-65962.679999999993</v>
      </c>
      <c r="BR265" s="117">
        <v>-70965.63</v>
      </c>
      <c r="BS265" s="129">
        <v>-74384.53</v>
      </c>
      <c r="BT265" s="129"/>
      <c r="BU265" s="128">
        <f t="shared" si="56"/>
        <v>-275088.77</v>
      </c>
      <c r="BW265" s="115">
        <f t="shared" si="57"/>
        <v>-60176.289999999979</v>
      </c>
      <c r="BX265" s="117">
        <v>-60176.29</v>
      </c>
      <c r="BY265" s="117"/>
    </row>
    <row r="266" spans="2:83">
      <c r="B266" s="103" t="s">
        <v>704</v>
      </c>
      <c r="C266" s="101" t="s">
        <v>1096</v>
      </c>
      <c r="D266" s="118">
        <v>-63979.99</v>
      </c>
      <c r="E266" s="118">
        <v>-58085.59</v>
      </c>
      <c r="F266" s="118">
        <v>-60285.33</v>
      </c>
      <c r="G266" s="127">
        <v>-60885.64</v>
      </c>
      <c r="H266" s="102">
        <f t="shared" si="48"/>
        <v>-243236.55</v>
      </c>
      <c r="K266" s="112" t="s">
        <v>704</v>
      </c>
      <c r="L266" s="111" t="s">
        <v>1096</v>
      </c>
      <c r="M266" s="117">
        <v>0</v>
      </c>
      <c r="N266" s="117">
        <v>-58455.26</v>
      </c>
      <c r="O266" s="117">
        <v>-63979.99</v>
      </c>
      <c r="P266" s="117">
        <v>-58085.59</v>
      </c>
      <c r="Q266" s="117">
        <v>-60285.33</v>
      </c>
      <c r="R266" s="117"/>
      <c r="S266" s="117">
        <f t="shared" si="52"/>
        <v>-240806.16999999998</v>
      </c>
      <c r="T266" s="117">
        <v>-298707.68000000005</v>
      </c>
      <c r="U266" s="115">
        <f t="shared" si="53"/>
        <v>57901.510000000068</v>
      </c>
      <c r="Y266" s="115">
        <f t="shared" si="54"/>
        <v>0</v>
      </c>
      <c r="Z266" s="117">
        <v>-57901.510000000082</v>
      </c>
      <c r="AA266" s="115">
        <f t="shared" si="55"/>
        <v>0</v>
      </c>
      <c r="AH266" s="79"/>
      <c r="AI266" s="79"/>
      <c r="AJ266" s="79">
        <v>-68217.490000000005</v>
      </c>
      <c r="AK266" s="79">
        <v>-57901.510000000082</v>
      </c>
      <c r="AL266" s="79">
        <f t="shared" si="49"/>
        <v>-57901.510000000082</v>
      </c>
      <c r="AN266" s="79">
        <v>-68217.490000000005</v>
      </c>
      <c r="AO266" s="79">
        <v>-57901.510000000082</v>
      </c>
      <c r="AP266" s="79">
        <v>-58455.26</v>
      </c>
      <c r="AQ266" s="79">
        <v>-63979.99</v>
      </c>
      <c r="AR266" s="79">
        <v>-58085.59</v>
      </c>
      <c r="AS266" s="79">
        <f t="shared" si="50"/>
        <v>-306639.84000000008</v>
      </c>
      <c r="BB266" s="103" t="s">
        <v>704</v>
      </c>
      <c r="BC266" s="101" t="s">
        <v>1096</v>
      </c>
      <c r="BD266" s="117">
        <v>-58455.26</v>
      </c>
      <c r="BE266" s="117">
        <v>-63979.99</v>
      </c>
      <c r="BF266" s="117">
        <v>-58085.59</v>
      </c>
      <c r="BG266" s="117">
        <v>-60285.33</v>
      </c>
      <c r="BH266" s="129">
        <v>-60885.64</v>
      </c>
      <c r="BI266" s="128">
        <f t="shared" si="51"/>
        <v>-301691.81</v>
      </c>
      <c r="BM266" s="103" t="s">
        <v>704</v>
      </c>
      <c r="BN266" s="101" t="s">
        <v>1096</v>
      </c>
      <c r="BO266" s="117">
        <v>0</v>
      </c>
      <c r="BP266" s="117">
        <v>-63979.99</v>
      </c>
      <c r="BQ266" s="117">
        <v>-58085.59</v>
      </c>
      <c r="BR266" s="117">
        <v>-60285.33</v>
      </c>
      <c r="BS266" s="129">
        <v>-60885.64</v>
      </c>
      <c r="BT266" s="129"/>
      <c r="BU266" s="128">
        <f t="shared" si="56"/>
        <v>-243236.55</v>
      </c>
      <c r="BW266" s="115">
        <f t="shared" si="57"/>
        <v>-58455.260000000009</v>
      </c>
      <c r="BX266" s="117">
        <v>-58455.26</v>
      </c>
      <c r="BY266" s="117"/>
    </row>
    <row r="267" spans="2:83">
      <c r="B267" s="103" t="s">
        <v>706</v>
      </c>
      <c r="C267" s="101" t="s">
        <v>1097</v>
      </c>
      <c r="D267" s="118">
        <v>-43919.94</v>
      </c>
      <c r="E267" s="118">
        <v>-37568.559999999998</v>
      </c>
      <c r="F267" s="118">
        <v>-45649.64</v>
      </c>
      <c r="G267" s="127">
        <v>-44621.9</v>
      </c>
      <c r="H267" s="102">
        <f t="shared" si="48"/>
        <v>-171760.04</v>
      </c>
      <c r="K267" s="112" t="s">
        <v>706</v>
      </c>
      <c r="L267" s="111" t="s">
        <v>1097</v>
      </c>
      <c r="M267" s="117">
        <v>0</v>
      </c>
      <c r="N267" s="117">
        <v>-56763.78</v>
      </c>
      <c r="O267" s="117">
        <v>-43919.94</v>
      </c>
      <c r="P267" s="117">
        <v>-37568.559999999998</v>
      </c>
      <c r="Q267" s="117">
        <v>-45649.64</v>
      </c>
      <c r="R267" s="117"/>
      <c r="S267" s="117">
        <f t="shared" si="52"/>
        <v>-183901.91999999998</v>
      </c>
      <c r="T267" s="117">
        <v>-240859.86999999994</v>
      </c>
      <c r="U267" s="115">
        <f t="shared" si="53"/>
        <v>56957.949999999953</v>
      </c>
      <c r="Y267" s="115">
        <f t="shared" si="54"/>
        <v>0</v>
      </c>
      <c r="Z267" s="117">
        <v>-56957.949999999953</v>
      </c>
      <c r="AA267" s="115">
        <f t="shared" si="55"/>
        <v>0</v>
      </c>
      <c r="AH267" s="79"/>
      <c r="AI267" s="79"/>
      <c r="AJ267" s="79">
        <v>-53909.19</v>
      </c>
      <c r="AK267" s="79">
        <v>-56957.949999999953</v>
      </c>
      <c r="AL267" s="79">
        <f t="shared" si="49"/>
        <v>-56957.949999999953</v>
      </c>
      <c r="AN267" s="79">
        <v>-53909.19</v>
      </c>
      <c r="AO267" s="79">
        <v>-56957.949999999953</v>
      </c>
      <c r="AP267" s="79">
        <v>-56763.78</v>
      </c>
      <c r="AQ267" s="79">
        <v>-43919.94</v>
      </c>
      <c r="AR267" s="79">
        <v>-37568.559999999998</v>
      </c>
      <c r="AS267" s="79">
        <f t="shared" si="50"/>
        <v>-249119.41999999995</v>
      </c>
      <c r="BB267" s="103" t="s">
        <v>706</v>
      </c>
      <c r="BC267" s="101" t="s">
        <v>1097</v>
      </c>
      <c r="BD267" s="117">
        <v>-56763.78</v>
      </c>
      <c r="BE267" s="117">
        <v>-43919.94</v>
      </c>
      <c r="BF267" s="117">
        <v>-37568.559999999998</v>
      </c>
      <c r="BG267" s="117">
        <v>-45649.64</v>
      </c>
      <c r="BH267" s="129">
        <v>-44621.9</v>
      </c>
      <c r="BI267" s="128">
        <f t="shared" si="51"/>
        <v>-228523.81999999998</v>
      </c>
      <c r="BM267" s="103" t="s">
        <v>706</v>
      </c>
      <c r="BN267" s="101" t="s">
        <v>1097</v>
      </c>
      <c r="BO267" s="117">
        <v>0</v>
      </c>
      <c r="BP267" s="117">
        <v>-43919.94</v>
      </c>
      <c r="BQ267" s="117">
        <v>-37568.559999999998</v>
      </c>
      <c r="BR267" s="117">
        <v>-45649.64</v>
      </c>
      <c r="BS267" s="129">
        <v>-44621.9</v>
      </c>
      <c r="BT267" s="129"/>
      <c r="BU267" s="128">
        <f t="shared" si="56"/>
        <v>-171760.04</v>
      </c>
      <c r="BW267" s="115">
        <f t="shared" si="57"/>
        <v>-56763.77999999997</v>
      </c>
      <c r="BX267" s="117">
        <v>-56763.78</v>
      </c>
      <c r="BY267" s="117"/>
    </row>
    <row r="268" spans="2:83">
      <c r="B268" s="103" t="s">
        <v>708</v>
      </c>
      <c r="C268" s="101" t="s">
        <v>1098</v>
      </c>
      <c r="D268" s="118">
        <v>-29393.18</v>
      </c>
      <c r="E268" s="118">
        <v>-40978.639999999999</v>
      </c>
      <c r="F268" s="118">
        <v>-38518.379999999997</v>
      </c>
      <c r="G268" s="127">
        <v>-26767.41</v>
      </c>
      <c r="H268" s="102">
        <f t="shared" si="48"/>
        <v>-135657.61000000002</v>
      </c>
      <c r="K268" s="112" t="s">
        <v>708</v>
      </c>
      <c r="L268" s="111" t="s">
        <v>1098</v>
      </c>
      <c r="M268" s="117">
        <v>0</v>
      </c>
      <c r="N268" s="117">
        <v>-28401.32</v>
      </c>
      <c r="O268" s="117">
        <v>-29393.18</v>
      </c>
      <c r="P268" s="117">
        <v>-40978.639999999999</v>
      </c>
      <c r="Q268" s="117">
        <v>-38518.379999999997</v>
      </c>
      <c r="R268" s="117"/>
      <c r="S268" s="117">
        <f t="shared" si="52"/>
        <v>-137291.51999999999</v>
      </c>
      <c r="T268" s="117">
        <v>-170175.77999999997</v>
      </c>
      <c r="U268" s="115">
        <f t="shared" si="53"/>
        <v>32884.25999999998</v>
      </c>
      <c r="Y268" s="115">
        <f t="shared" si="54"/>
        <v>0</v>
      </c>
      <c r="Z268" s="117">
        <v>-32884.25999999998</v>
      </c>
      <c r="AA268" s="115">
        <f t="shared" si="55"/>
        <v>0</v>
      </c>
      <c r="AH268" s="79"/>
      <c r="AI268" s="79"/>
      <c r="AJ268" s="79">
        <v>-43125.62</v>
      </c>
      <c r="AK268" s="79">
        <v>-32884.25999999998</v>
      </c>
      <c r="AL268" s="79">
        <f t="shared" si="49"/>
        <v>-32884.25999999998</v>
      </c>
      <c r="AN268" s="79">
        <v>-43125.62</v>
      </c>
      <c r="AO268" s="79">
        <v>-32884.25999999998</v>
      </c>
      <c r="AP268" s="79">
        <v>-28401.32</v>
      </c>
      <c r="AQ268" s="79">
        <v>-29393.18</v>
      </c>
      <c r="AR268" s="79">
        <v>-40978.639999999999</v>
      </c>
      <c r="AS268" s="79">
        <f t="shared" si="50"/>
        <v>-174783.01999999996</v>
      </c>
      <c r="BB268" s="103" t="s">
        <v>708</v>
      </c>
      <c r="BC268" s="101" t="s">
        <v>1098</v>
      </c>
      <c r="BD268" s="117">
        <v>-28401.32</v>
      </c>
      <c r="BE268" s="117">
        <v>-29393.18</v>
      </c>
      <c r="BF268" s="117">
        <v>-40978.639999999999</v>
      </c>
      <c r="BG268" s="117">
        <v>-38518.379999999997</v>
      </c>
      <c r="BH268" s="129">
        <v>-26767.41</v>
      </c>
      <c r="BI268" s="128">
        <f t="shared" si="51"/>
        <v>-164058.93</v>
      </c>
      <c r="BM268" s="103" t="s">
        <v>708</v>
      </c>
      <c r="BN268" s="101" t="s">
        <v>1098</v>
      </c>
      <c r="BO268" s="117">
        <v>0</v>
      </c>
      <c r="BP268" s="117">
        <v>-29393.18</v>
      </c>
      <c r="BQ268" s="117">
        <v>-40978.639999999999</v>
      </c>
      <c r="BR268" s="117">
        <v>-38518.379999999997</v>
      </c>
      <c r="BS268" s="129">
        <v>-26767.41</v>
      </c>
      <c r="BT268" s="129"/>
      <c r="BU268" s="128">
        <f t="shared" si="56"/>
        <v>-135657.61000000002</v>
      </c>
      <c r="BW268" s="115">
        <f t="shared" si="57"/>
        <v>-28401.319999999978</v>
      </c>
      <c r="BX268" s="117">
        <v>-28401.32</v>
      </c>
      <c r="BY268" s="117"/>
    </row>
    <row r="269" spans="2:83">
      <c r="B269" s="103" t="s">
        <v>710</v>
      </c>
      <c r="C269" s="101" t="s">
        <v>1099</v>
      </c>
      <c r="D269" s="118">
        <v>-70339.8</v>
      </c>
      <c r="E269" s="118">
        <v>-77810.679999999993</v>
      </c>
      <c r="F269" s="118">
        <v>-91709.65</v>
      </c>
      <c r="G269" s="127">
        <v>-88559.7</v>
      </c>
      <c r="H269" s="102">
        <f t="shared" si="48"/>
        <v>-328419.82999999996</v>
      </c>
      <c r="K269" s="112" t="s">
        <v>710</v>
      </c>
      <c r="L269" s="111" t="s">
        <v>1099</v>
      </c>
      <c r="M269" s="117">
        <v>0</v>
      </c>
      <c r="N269" s="117">
        <v>-67189.03</v>
      </c>
      <c r="O269" s="117">
        <v>-70339.8</v>
      </c>
      <c r="P269" s="117">
        <v>-77810.679999999993</v>
      </c>
      <c r="Q269" s="117">
        <v>-91709.65</v>
      </c>
      <c r="R269" s="117"/>
      <c r="S269" s="117">
        <f t="shared" si="52"/>
        <v>-307049.16000000003</v>
      </c>
      <c r="T269" s="117">
        <v>-375911.15999999992</v>
      </c>
      <c r="U269" s="115">
        <f t="shared" si="53"/>
        <v>68861.999999999884</v>
      </c>
      <c r="Y269" s="115">
        <f t="shared" si="54"/>
        <v>0</v>
      </c>
      <c r="Z269" s="117">
        <v>-68861.999999999913</v>
      </c>
      <c r="AA269" s="115">
        <f t="shared" si="55"/>
        <v>0</v>
      </c>
      <c r="AH269" s="79"/>
      <c r="AI269" s="79"/>
      <c r="AJ269" s="79">
        <v>-76657.17</v>
      </c>
      <c r="AK269" s="79">
        <v>-68861.999999999913</v>
      </c>
      <c r="AL269" s="79">
        <f t="shared" si="49"/>
        <v>-68861.999999999913</v>
      </c>
      <c r="AN269" s="79">
        <v>-76657.17</v>
      </c>
      <c r="AO269" s="79">
        <v>-68861.999999999913</v>
      </c>
      <c r="AP269" s="79">
        <v>-67189.03</v>
      </c>
      <c r="AQ269" s="79">
        <v>-70339.8</v>
      </c>
      <c r="AR269" s="79">
        <v>-77810.679999999993</v>
      </c>
      <c r="AS269" s="79">
        <f t="shared" si="50"/>
        <v>-360858.67999999993</v>
      </c>
      <c r="BB269" s="103" t="s">
        <v>710</v>
      </c>
      <c r="BC269" s="101" t="s">
        <v>1099</v>
      </c>
      <c r="BD269" s="117">
        <v>-67189.03</v>
      </c>
      <c r="BE269" s="117">
        <v>-70339.8</v>
      </c>
      <c r="BF269" s="117">
        <v>-77810.679999999993</v>
      </c>
      <c r="BG269" s="117">
        <v>-91709.65</v>
      </c>
      <c r="BH269" s="129">
        <v>-88559.7</v>
      </c>
      <c r="BI269" s="128">
        <f t="shared" si="51"/>
        <v>-395608.86000000004</v>
      </c>
      <c r="BM269" s="103" t="s">
        <v>710</v>
      </c>
      <c r="BN269" s="101" t="s">
        <v>1099</v>
      </c>
      <c r="BO269" s="117">
        <v>0</v>
      </c>
      <c r="BP269" s="117">
        <v>-70339.8</v>
      </c>
      <c r="BQ269" s="117">
        <v>-77810.679999999993</v>
      </c>
      <c r="BR269" s="117">
        <v>-91709.65</v>
      </c>
      <c r="BS269" s="129">
        <v>-88559.7</v>
      </c>
      <c r="BT269" s="129"/>
      <c r="BU269" s="128">
        <f t="shared" si="56"/>
        <v>-328419.82999999996</v>
      </c>
      <c r="BW269" s="115">
        <f t="shared" si="57"/>
        <v>-67189.030000000086</v>
      </c>
      <c r="BX269" s="117">
        <v>-67189.03</v>
      </c>
      <c r="BY269" s="117"/>
    </row>
    <row r="270" spans="2:83">
      <c r="B270" s="103" t="s">
        <v>712</v>
      </c>
      <c r="C270" s="101" t="s">
        <v>1100</v>
      </c>
      <c r="D270" s="118">
        <v>-50858.04</v>
      </c>
      <c r="E270" s="118">
        <v>-63861.56</v>
      </c>
      <c r="F270" s="118">
        <v>-61550.17</v>
      </c>
      <c r="G270" s="127">
        <v>-70609.03</v>
      </c>
      <c r="H270" s="102">
        <f t="shared" si="48"/>
        <v>-246878.80000000002</v>
      </c>
      <c r="K270" s="112" t="s">
        <v>712</v>
      </c>
      <c r="L270" s="111" t="s">
        <v>1100</v>
      </c>
      <c r="M270" s="117">
        <v>0</v>
      </c>
      <c r="N270" s="117">
        <v>-45486.61</v>
      </c>
      <c r="O270" s="117">
        <v>-50858.04</v>
      </c>
      <c r="P270" s="117">
        <v>-63861.56</v>
      </c>
      <c r="Q270" s="117">
        <v>-61550.17</v>
      </c>
      <c r="R270" s="117"/>
      <c r="S270" s="117">
        <f t="shared" si="52"/>
        <v>-221756.38</v>
      </c>
      <c r="T270" s="117">
        <v>-263410.99000000005</v>
      </c>
      <c r="U270" s="115">
        <f t="shared" si="53"/>
        <v>41654.610000000044</v>
      </c>
      <c r="Y270" s="115">
        <f t="shared" si="54"/>
        <v>0</v>
      </c>
      <c r="Z270" s="117">
        <v>-41654.610000000044</v>
      </c>
      <c r="AA270" s="115">
        <f t="shared" si="55"/>
        <v>0</v>
      </c>
      <c r="AH270" s="79"/>
      <c r="AI270" s="79"/>
      <c r="AJ270" s="79">
        <v>-49470.73</v>
      </c>
      <c r="AK270" s="79">
        <v>-41654.610000000044</v>
      </c>
      <c r="AL270" s="79">
        <f t="shared" si="49"/>
        <v>-41654.610000000044</v>
      </c>
      <c r="AN270" s="79">
        <v>-49470.73</v>
      </c>
      <c r="AO270" s="79">
        <v>-41654.610000000044</v>
      </c>
      <c r="AP270" s="79">
        <v>-45486.61</v>
      </c>
      <c r="AQ270" s="79">
        <v>-50858.04</v>
      </c>
      <c r="AR270" s="79">
        <v>-63861.56</v>
      </c>
      <c r="AS270" s="79">
        <f t="shared" si="50"/>
        <v>-251331.55000000008</v>
      </c>
      <c r="BB270" s="103" t="s">
        <v>712</v>
      </c>
      <c r="BC270" s="101" t="s">
        <v>1100</v>
      </c>
      <c r="BD270" s="117">
        <v>-45486.61</v>
      </c>
      <c r="BE270" s="117">
        <v>-50858.04</v>
      </c>
      <c r="BF270" s="117">
        <v>-63861.56</v>
      </c>
      <c r="BG270" s="117">
        <v>-61550.17</v>
      </c>
      <c r="BH270" s="129">
        <v>-70609.03</v>
      </c>
      <c r="BI270" s="128">
        <f t="shared" si="51"/>
        <v>-292365.41000000003</v>
      </c>
      <c r="BM270" s="103" t="s">
        <v>712</v>
      </c>
      <c r="BN270" s="101" t="s">
        <v>1100</v>
      </c>
      <c r="BO270" s="117">
        <v>0</v>
      </c>
      <c r="BP270" s="117">
        <v>-50858.04</v>
      </c>
      <c r="BQ270" s="117">
        <v>-63861.56</v>
      </c>
      <c r="BR270" s="117">
        <v>-61550.17</v>
      </c>
      <c r="BS270" s="129">
        <v>-70609.03</v>
      </c>
      <c r="BT270" s="129"/>
      <c r="BU270" s="128">
        <f t="shared" si="56"/>
        <v>-246878.80000000002</v>
      </c>
      <c r="BW270" s="115">
        <f t="shared" si="57"/>
        <v>-45486.610000000015</v>
      </c>
      <c r="BX270" s="117">
        <v>-45486.61</v>
      </c>
      <c r="BY270" s="117"/>
    </row>
    <row r="271" spans="2:83">
      <c r="B271" s="103" t="s">
        <v>714</v>
      </c>
      <c r="C271" s="101" t="s">
        <v>1101</v>
      </c>
      <c r="D271" s="118">
        <v>-4028.2</v>
      </c>
      <c r="E271" s="118">
        <v>-27589.56</v>
      </c>
      <c r="F271" s="118">
        <v>-12744.32</v>
      </c>
      <c r="G271" s="127">
        <v>-15299.87</v>
      </c>
      <c r="H271" s="102">
        <f t="shared" si="48"/>
        <v>-59661.950000000004</v>
      </c>
      <c r="K271" s="112" t="s">
        <v>714</v>
      </c>
      <c r="L271" s="111" t="s">
        <v>1101</v>
      </c>
      <c r="M271" s="117">
        <v>0</v>
      </c>
      <c r="N271" s="117">
        <v>-16228.1</v>
      </c>
      <c r="O271" s="117">
        <v>-4028.2</v>
      </c>
      <c r="P271" s="117">
        <v>-27589.56</v>
      </c>
      <c r="Q271" s="117">
        <v>-12744.32</v>
      </c>
      <c r="R271" s="117"/>
      <c r="S271" s="117">
        <f t="shared" si="52"/>
        <v>-60590.18</v>
      </c>
      <c r="T271" s="117">
        <v>-62845.07</v>
      </c>
      <c r="U271" s="115">
        <f t="shared" si="53"/>
        <v>2254.8899999999994</v>
      </c>
      <c r="Y271" s="115">
        <f t="shared" si="54"/>
        <v>0</v>
      </c>
      <c r="Z271" s="117">
        <v>-2254.89</v>
      </c>
      <c r="AA271" s="115">
        <f t="shared" si="55"/>
        <v>0</v>
      </c>
      <c r="AH271" s="79"/>
      <c r="AI271" s="79"/>
      <c r="AJ271" s="79">
        <v>24864.080000000002</v>
      </c>
      <c r="AK271" s="79">
        <v>-27118.969999999797</v>
      </c>
      <c r="AL271" s="79">
        <f t="shared" si="49"/>
        <v>-2254.8899999997957</v>
      </c>
      <c r="AN271" s="79">
        <v>24864.080000000002</v>
      </c>
      <c r="AO271" s="79">
        <v>-27118.969999999797</v>
      </c>
      <c r="AP271" s="79">
        <v>-16228.1</v>
      </c>
      <c r="AQ271" s="79">
        <v>-4028.2</v>
      </c>
      <c r="AR271" s="79">
        <v>-27589.56</v>
      </c>
      <c r="AS271" s="79">
        <f t="shared" si="50"/>
        <v>-50100.749999999796</v>
      </c>
      <c r="BB271" s="103" t="s">
        <v>714</v>
      </c>
      <c r="BC271" s="101" t="s">
        <v>1101</v>
      </c>
      <c r="BD271" s="117">
        <v>-16228.1</v>
      </c>
      <c r="BE271" s="117">
        <v>-4028.2</v>
      </c>
      <c r="BF271" s="117">
        <v>-27589.56</v>
      </c>
      <c r="BG271" s="117">
        <v>-12744.32</v>
      </c>
      <c r="BH271" s="129">
        <v>-15299.87</v>
      </c>
      <c r="BI271" s="128">
        <f t="shared" si="51"/>
        <v>-75890.05</v>
      </c>
      <c r="BM271" s="103" t="s">
        <v>714</v>
      </c>
      <c r="BN271" s="101" t="s">
        <v>1101</v>
      </c>
      <c r="BO271" s="117">
        <v>0</v>
      </c>
      <c r="BP271" s="117">
        <v>-4028.2</v>
      </c>
      <c r="BQ271" s="117">
        <v>-27589.56</v>
      </c>
      <c r="BR271" s="117">
        <v>-12744.32</v>
      </c>
      <c r="BS271" s="129">
        <v>-15299.87</v>
      </c>
      <c r="BT271" s="129"/>
      <c r="BU271" s="128">
        <f t="shared" si="56"/>
        <v>-59661.950000000004</v>
      </c>
      <c r="BW271" s="115">
        <f t="shared" si="57"/>
        <v>-16228.099999999999</v>
      </c>
      <c r="BX271" s="117">
        <v>-16228.1</v>
      </c>
      <c r="BY271" s="117"/>
    </row>
    <row r="272" spans="2:83">
      <c r="B272" s="103" t="s">
        <v>716</v>
      </c>
      <c r="C272" s="101" t="s">
        <v>1102</v>
      </c>
      <c r="D272" s="118">
        <v>-20457.009999999998</v>
      </c>
      <c r="E272" s="118">
        <v>-58098.91</v>
      </c>
      <c r="F272" s="118">
        <v>-43516.46</v>
      </c>
      <c r="G272" s="127">
        <v>-55382.96</v>
      </c>
      <c r="H272" s="102">
        <f t="shared" si="48"/>
        <v>-177455.34</v>
      </c>
      <c r="K272" s="112" t="s">
        <v>716</v>
      </c>
      <c r="L272" s="111" t="s">
        <v>1102</v>
      </c>
      <c r="M272" s="117">
        <v>0</v>
      </c>
      <c r="N272" s="117">
        <v>0</v>
      </c>
      <c r="O272" s="117">
        <v>-20457.009999999998</v>
      </c>
      <c r="P272" s="117">
        <v>-58098.91</v>
      </c>
      <c r="Q272" s="117">
        <v>-43516.46</v>
      </c>
      <c r="R272" s="117"/>
      <c r="S272" s="117">
        <f t="shared" si="52"/>
        <v>-122072.38</v>
      </c>
      <c r="T272" s="117">
        <v>-124105.51000000001</v>
      </c>
      <c r="U272" s="115">
        <f t="shared" si="53"/>
        <v>2033.1300000000047</v>
      </c>
      <c r="Y272" s="115">
        <f t="shared" si="54"/>
        <v>4.5474735088646412E-12</v>
      </c>
      <c r="Z272" s="117">
        <v>-2033.13</v>
      </c>
      <c r="AA272" s="115">
        <f t="shared" si="55"/>
        <v>4.5474735088646412E-12</v>
      </c>
      <c r="AH272" s="79"/>
      <c r="AI272" s="79"/>
      <c r="AJ272" s="79">
        <v>-32623.98</v>
      </c>
      <c r="AK272" s="79">
        <v>-2033.1300000004121</v>
      </c>
      <c r="AL272" s="79">
        <f t="shared" si="49"/>
        <v>-2033.1300000004121</v>
      </c>
      <c r="AN272" s="79">
        <v>-32623.98</v>
      </c>
      <c r="AO272" s="79">
        <v>-2033.1300000004121</v>
      </c>
      <c r="AP272" s="79">
        <v>1480.55</v>
      </c>
      <c r="AQ272" s="79">
        <v>-20457.009999999998</v>
      </c>
      <c r="AR272" s="79">
        <v>-58098.91</v>
      </c>
      <c r="AS272" s="79">
        <f t="shared" si="50"/>
        <v>-111732.4800000004</v>
      </c>
      <c r="BB272" s="103" t="s">
        <v>716</v>
      </c>
      <c r="BC272" s="101" t="s">
        <v>1102</v>
      </c>
      <c r="BD272" s="117">
        <v>0</v>
      </c>
      <c r="BE272" s="117">
        <v>-20457.009999999998</v>
      </c>
      <c r="BF272" s="117">
        <v>-58098.91</v>
      </c>
      <c r="BG272" s="117">
        <v>-43516.46</v>
      </c>
      <c r="BH272" s="129">
        <v>-55382.96</v>
      </c>
      <c r="BI272" s="128">
        <f t="shared" si="51"/>
        <v>-177455.34</v>
      </c>
      <c r="BM272" s="103" t="s">
        <v>716</v>
      </c>
      <c r="BN272" s="101" t="s">
        <v>1102</v>
      </c>
      <c r="BO272" s="117">
        <v>0</v>
      </c>
      <c r="BP272" s="117">
        <v>-20457.009999999998</v>
      </c>
      <c r="BQ272" s="117">
        <v>-58098.91</v>
      </c>
      <c r="BR272" s="117">
        <v>-43516.46</v>
      </c>
      <c r="BS272" s="129">
        <v>-55382.96</v>
      </c>
      <c r="BT272" s="129"/>
      <c r="BU272" s="128">
        <f t="shared" si="56"/>
        <v>-177455.34</v>
      </c>
      <c r="BW272" s="115">
        <f t="shared" si="57"/>
        <v>0</v>
      </c>
      <c r="BX272" s="117">
        <v>0</v>
      </c>
      <c r="BY272" s="117"/>
    </row>
    <row r="273" spans="2:83">
      <c r="B273" s="103" t="s">
        <v>718</v>
      </c>
      <c r="C273" s="101" t="s">
        <v>1103</v>
      </c>
      <c r="D273" s="118">
        <v>-623056.31999999995</v>
      </c>
      <c r="E273" s="118">
        <v>-1045425.1</v>
      </c>
      <c r="F273" s="118">
        <v>11869.93</v>
      </c>
      <c r="G273" s="127">
        <v>-499080.33</v>
      </c>
      <c r="H273" s="102">
        <f t="shared" si="48"/>
        <v>-2155691.8199999998</v>
      </c>
      <c r="K273" s="112" t="s">
        <v>718</v>
      </c>
      <c r="L273" s="111" t="s">
        <v>1103</v>
      </c>
      <c r="M273" s="117">
        <v>0</v>
      </c>
      <c r="N273" s="117">
        <v>558137.34</v>
      </c>
      <c r="O273" s="117">
        <v>-1181193.6599999999</v>
      </c>
      <c r="P273" s="117">
        <v>-1045425.1</v>
      </c>
      <c r="Q273" s="117">
        <v>11869.93</v>
      </c>
      <c r="R273" s="117"/>
      <c r="S273" s="117">
        <f t="shared" si="52"/>
        <v>-1656611.49</v>
      </c>
      <c r="T273" s="117">
        <v>-1656611.49</v>
      </c>
      <c r="U273" s="115">
        <f t="shared" si="53"/>
        <v>0</v>
      </c>
      <c r="W273" s="115">
        <f>+M273+N273</f>
        <v>558137.34</v>
      </c>
      <c r="Y273" s="115">
        <f t="shared" si="54"/>
        <v>103252.43</v>
      </c>
      <c r="Z273" s="117">
        <v>103252.43</v>
      </c>
      <c r="AA273" s="115">
        <f t="shared" si="55"/>
        <v>103252.43</v>
      </c>
      <c r="AH273" s="79"/>
      <c r="AI273" s="79"/>
      <c r="AJ273" s="79">
        <v>90671.05</v>
      </c>
      <c r="AK273" s="79">
        <v>12581.379999993369</v>
      </c>
      <c r="AL273" s="79">
        <f t="shared" si="49"/>
        <v>103252.42999999337</v>
      </c>
      <c r="AN273" s="79">
        <v>90671.05</v>
      </c>
      <c r="AO273" s="79">
        <v>12581.379999993369</v>
      </c>
      <c r="AP273" s="79">
        <v>454884.91</v>
      </c>
      <c r="AQ273" s="79">
        <v>-1181193.6599999999</v>
      </c>
      <c r="AR273" s="79">
        <v>-1045425.1</v>
      </c>
      <c r="AS273" s="79">
        <f t="shared" si="50"/>
        <v>-1668481.4200000064</v>
      </c>
      <c r="BB273" s="103" t="s">
        <v>718</v>
      </c>
      <c r="BC273" s="101" t="s">
        <v>1103</v>
      </c>
      <c r="BD273" s="117">
        <v>558137.34</v>
      </c>
      <c r="BE273" s="117">
        <v>-1181193.6599999999</v>
      </c>
      <c r="BF273" s="117">
        <v>-1045425.1</v>
      </c>
      <c r="BG273" s="117">
        <v>11869.93</v>
      </c>
      <c r="BH273" s="129">
        <v>-499080.33</v>
      </c>
      <c r="BI273" s="128">
        <f t="shared" si="51"/>
        <v>-2155691.8199999998</v>
      </c>
      <c r="BM273" s="103" t="s">
        <v>718</v>
      </c>
      <c r="BN273" s="101" t="s">
        <v>1103</v>
      </c>
      <c r="BO273" s="117">
        <v>0</v>
      </c>
      <c r="BP273" s="131">
        <v>-623056.31999999995</v>
      </c>
      <c r="BQ273" s="117">
        <v>-1045425.1</v>
      </c>
      <c r="BR273" s="117">
        <v>11869.93</v>
      </c>
      <c r="BS273" s="129">
        <v>-499080.33</v>
      </c>
      <c r="BT273" s="129"/>
      <c r="BU273" s="128">
        <f t="shared" si="56"/>
        <v>-2155691.8199999998</v>
      </c>
      <c r="BW273" s="115">
        <f t="shared" si="57"/>
        <v>0</v>
      </c>
      <c r="BX273" s="131">
        <v>558137.34</v>
      </c>
      <c r="BY273" s="131">
        <v>-1181193.6599999999</v>
      </c>
      <c r="CC273" s="130">
        <f>+BO273+BP273</f>
        <v>-623056.31999999995</v>
      </c>
      <c r="CD273" s="115">
        <f>+BX273+BY273</f>
        <v>-623056.31999999995</v>
      </c>
      <c r="CE273" s="115">
        <f>+CC273-CD273</f>
        <v>0</v>
      </c>
    </row>
    <row r="274" spans="2:83">
      <c r="B274" s="103" t="s">
        <v>720</v>
      </c>
      <c r="C274" s="101" t="s">
        <v>1052</v>
      </c>
      <c r="D274" s="118">
        <v>165116.56</v>
      </c>
      <c r="E274" s="118">
        <v>-37710.269999999997</v>
      </c>
      <c r="F274" s="118">
        <v>61534.7</v>
      </c>
      <c r="G274" s="127">
        <v>-929.81</v>
      </c>
      <c r="H274" s="102">
        <f t="shared" si="48"/>
        <v>188011.18</v>
      </c>
      <c r="K274" s="112" t="s">
        <v>720</v>
      </c>
      <c r="L274" s="111" t="s">
        <v>1052</v>
      </c>
      <c r="M274" s="117">
        <v>0</v>
      </c>
      <c r="N274" s="117">
        <v>127525.61</v>
      </c>
      <c r="O274" s="117">
        <v>37590.949999999997</v>
      </c>
      <c r="P274" s="117">
        <v>-37710.269999999997</v>
      </c>
      <c r="Q274" s="117">
        <v>61534.7</v>
      </c>
      <c r="R274" s="117"/>
      <c r="S274" s="117">
        <f t="shared" si="52"/>
        <v>188940.99</v>
      </c>
      <c r="T274" s="117">
        <v>188940.99</v>
      </c>
      <c r="U274" s="115">
        <f t="shared" si="53"/>
        <v>0</v>
      </c>
      <c r="W274" s="115">
        <f t="shared" ref="W274:W277" si="58">+M274+N274</f>
        <v>127525.61</v>
      </c>
      <c r="Y274" s="115">
        <f t="shared" si="54"/>
        <v>51387.93</v>
      </c>
      <c r="Z274" s="117">
        <v>51387.93</v>
      </c>
      <c r="AA274" s="115">
        <f t="shared" si="55"/>
        <v>51387.93</v>
      </c>
      <c r="AH274" s="79"/>
      <c r="AI274" s="79"/>
      <c r="AJ274" s="79">
        <v>49942.91</v>
      </c>
      <c r="AK274" s="79">
        <v>1445.0200000000186</v>
      </c>
      <c r="AL274" s="79">
        <f t="shared" si="49"/>
        <v>51387.930000000022</v>
      </c>
      <c r="AN274" s="79">
        <v>49942.91</v>
      </c>
      <c r="AO274" s="79">
        <v>1445.0200000000186</v>
      </c>
      <c r="AP274" s="79">
        <v>76137.679999999993</v>
      </c>
      <c r="AQ274" s="79">
        <v>37590.949999999997</v>
      </c>
      <c r="AR274" s="79">
        <v>-37710.269999999997</v>
      </c>
      <c r="AS274" s="79">
        <f t="shared" si="50"/>
        <v>127406.29000000001</v>
      </c>
      <c r="BB274" s="103" t="s">
        <v>720</v>
      </c>
      <c r="BC274" s="101" t="s">
        <v>1052</v>
      </c>
      <c r="BD274" s="117">
        <v>127525.61</v>
      </c>
      <c r="BE274" s="117">
        <v>37590.949999999997</v>
      </c>
      <c r="BF274" s="117">
        <v>-37710.269999999997</v>
      </c>
      <c r="BG274" s="117">
        <v>61534.7</v>
      </c>
      <c r="BH274" s="129">
        <v>-929.81</v>
      </c>
      <c r="BI274" s="128">
        <f t="shared" si="51"/>
        <v>188011.18</v>
      </c>
      <c r="BM274" s="103" t="s">
        <v>720</v>
      </c>
      <c r="BN274" s="101" t="s">
        <v>1052</v>
      </c>
      <c r="BO274" s="117">
        <v>0</v>
      </c>
      <c r="BP274" s="131">
        <v>165116.56</v>
      </c>
      <c r="BQ274" s="117">
        <v>-37710.269999999997</v>
      </c>
      <c r="BR274" s="117">
        <v>61534.7</v>
      </c>
      <c r="BS274" s="129">
        <v>-929.81</v>
      </c>
      <c r="BT274" s="129"/>
      <c r="BU274" s="128">
        <f t="shared" si="56"/>
        <v>188011.18</v>
      </c>
      <c r="BW274" s="115">
        <f t="shared" si="57"/>
        <v>0</v>
      </c>
      <c r="BX274" s="131">
        <v>127525.61</v>
      </c>
      <c r="BY274" s="131">
        <v>37590.949999999997</v>
      </c>
      <c r="CC274" s="130">
        <f>+BO274+BP274</f>
        <v>165116.56</v>
      </c>
      <c r="CD274" s="115">
        <f>+BX274+BY274</f>
        <v>165116.56</v>
      </c>
      <c r="CE274" s="115">
        <f>+CC274-CD274</f>
        <v>0</v>
      </c>
    </row>
    <row r="275" spans="2:83">
      <c r="B275" s="103" t="s">
        <v>721</v>
      </c>
      <c r="C275" s="101" t="s">
        <v>1104</v>
      </c>
      <c r="D275" s="118">
        <v>275027.99</v>
      </c>
      <c r="E275" s="118">
        <v>-29313.31</v>
      </c>
      <c r="F275" s="118">
        <v>-118905.49</v>
      </c>
      <c r="G275" s="127">
        <v>-36720.68</v>
      </c>
      <c r="H275" s="102">
        <f t="shared" si="48"/>
        <v>90088.50999999998</v>
      </c>
      <c r="K275" s="112" t="s">
        <v>721</v>
      </c>
      <c r="L275" s="111" t="s">
        <v>1104</v>
      </c>
      <c r="M275" s="117">
        <v>0</v>
      </c>
      <c r="N275" s="117">
        <v>247040.11</v>
      </c>
      <c r="O275" s="117">
        <v>27987.88</v>
      </c>
      <c r="P275" s="117">
        <v>-29313.31</v>
      </c>
      <c r="Q275" s="117">
        <v>-118905.49</v>
      </c>
      <c r="R275" s="117"/>
      <c r="S275" s="117">
        <f t="shared" si="52"/>
        <v>126809.18999999999</v>
      </c>
      <c r="T275" s="117">
        <v>126809.18999999999</v>
      </c>
      <c r="U275" s="115">
        <f t="shared" si="53"/>
        <v>0</v>
      </c>
      <c r="W275" s="115">
        <f t="shared" si="58"/>
        <v>247040.11</v>
      </c>
      <c r="Y275" s="115">
        <f t="shared" si="54"/>
        <v>166980.57999999999</v>
      </c>
      <c r="Z275" s="117">
        <v>166980.57999999999</v>
      </c>
      <c r="AA275" s="115">
        <f t="shared" si="55"/>
        <v>166980.57999999999</v>
      </c>
      <c r="AH275" s="79"/>
      <c r="AI275" s="79"/>
      <c r="AJ275" s="79">
        <v>58341.04</v>
      </c>
      <c r="AK275" s="79">
        <v>108639.53999999934</v>
      </c>
      <c r="AL275" s="79">
        <f t="shared" si="49"/>
        <v>166980.57999999935</v>
      </c>
      <c r="AN275" s="79">
        <v>58341.04</v>
      </c>
      <c r="AO275" s="79">
        <v>108639.53999999934</v>
      </c>
      <c r="AP275" s="79">
        <v>80059.53</v>
      </c>
      <c r="AQ275" s="79">
        <v>27987.88</v>
      </c>
      <c r="AR275" s="79">
        <v>-29313.31</v>
      </c>
      <c r="AS275" s="79">
        <f t="shared" si="50"/>
        <v>245714.67999999935</v>
      </c>
      <c r="BB275" s="103" t="s">
        <v>721</v>
      </c>
      <c r="BC275" s="101" t="s">
        <v>1104</v>
      </c>
      <c r="BD275" s="117">
        <v>247040.11</v>
      </c>
      <c r="BE275" s="117">
        <v>27987.88</v>
      </c>
      <c r="BF275" s="117">
        <v>-29313.31</v>
      </c>
      <c r="BG275" s="117">
        <v>-118905.49</v>
      </c>
      <c r="BH275" s="129">
        <v>-36720.68</v>
      </c>
      <c r="BI275" s="128">
        <f t="shared" si="51"/>
        <v>90088.50999999998</v>
      </c>
      <c r="BM275" s="103" t="s">
        <v>721</v>
      </c>
      <c r="BN275" s="101" t="s">
        <v>1104</v>
      </c>
      <c r="BO275" s="117">
        <v>0</v>
      </c>
      <c r="BP275" s="131">
        <v>275027.99</v>
      </c>
      <c r="BQ275" s="117">
        <v>-29313.31</v>
      </c>
      <c r="BR275" s="117">
        <v>-118905.49</v>
      </c>
      <c r="BS275" s="129">
        <v>-36720.68</v>
      </c>
      <c r="BT275" s="129"/>
      <c r="BU275" s="128">
        <f t="shared" si="56"/>
        <v>90088.50999999998</v>
      </c>
      <c r="BW275" s="115">
        <f t="shared" si="57"/>
        <v>0</v>
      </c>
      <c r="BX275" s="131">
        <v>247040.11</v>
      </c>
      <c r="BY275" s="131">
        <v>27987.88</v>
      </c>
      <c r="CC275" s="130">
        <f>+BO275+BP275</f>
        <v>275027.99</v>
      </c>
      <c r="CD275" s="115">
        <f>+BX275+BY275</f>
        <v>275027.99</v>
      </c>
      <c r="CE275" s="115">
        <f>+CC275-CD275</f>
        <v>0</v>
      </c>
    </row>
    <row r="276" spans="2:83">
      <c r="B276" s="103" t="s">
        <v>723</v>
      </c>
      <c r="C276" s="101" t="s">
        <v>1105</v>
      </c>
      <c r="D276" s="118">
        <v>0</v>
      </c>
      <c r="E276" s="118">
        <v>4035.6</v>
      </c>
      <c r="F276" s="118">
        <v>65379.64</v>
      </c>
      <c r="G276" s="127">
        <v>46270.57</v>
      </c>
      <c r="H276" s="102">
        <f t="shared" si="48"/>
        <v>115685.81</v>
      </c>
      <c r="K276" s="112" t="s">
        <v>723</v>
      </c>
      <c r="L276" s="111" t="s">
        <v>1105</v>
      </c>
      <c r="M276" s="117">
        <v>0</v>
      </c>
      <c r="N276" s="117">
        <v>0</v>
      </c>
      <c r="O276" s="117">
        <v>0</v>
      </c>
      <c r="P276" s="117">
        <v>4035.6</v>
      </c>
      <c r="Q276" s="117">
        <v>65379.64</v>
      </c>
      <c r="R276" s="117"/>
      <c r="S276" s="117">
        <f t="shared" si="52"/>
        <v>69415.240000000005</v>
      </c>
      <c r="T276" s="117">
        <v>69415.240000000005</v>
      </c>
      <c r="U276" s="115">
        <f t="shared" si="53"/>
        <v>0</v>
      </c>
      <c r="W276" s="115">
        <f>+M276+P276</f>
        <v>4035.6</v>
      </c>
      <c r="Y276" s="115">
        <f t="shared" si="54"/>
        <v>-8684.68</v>
      </c>
      <c r="Z276" s="117">
        <v>-8684.68</v>
      </c>
      <c r="AA276" s="115">
        <f t="shared" si="55"/>
        <v>-8684.68</v>
      </c>
      <c r="AH276" s="82"/>
      <c r="AI276" s="79"/>
      <c r="AJ276" s="79">
        <v>-70259.97</v>
      </c>
      <c r="AK276" s="79">
        <v>-8684.6800000002258</v>
      </c>
      <c r="AL276" s="79">
        <f t="shared" si="49"/>
        <v>-8684.6800000002258</v>
      </c>
      <c r="AN276" s="79">
        <v>-70259.97</v>
      </c>
      <c r="AO276" s="79">
        <v>-8684.6800000002258</v>
      </c>
      <c r="AP276" s="79">
        <v>36731.67</v>
      </c>
      <c r="AQ276" s="79">
        <v>14984.88</v>
      </c>
      <c r="AR276" s="79">
        <v>31263.7</v>
      </c>
      <c r="AS276" s="79">
        <f t="shared" si="50"/>
        <v>4035.5999999997694</v>
      </c>
      <c r="AT276" s="87"/>
      <c r="AU276" s="79">
        <f>+AN276+AO276</f>
        <v>-78944.650000000227</v>
      </c>
      <c r="AV276" s="82">
        <f>+AN276+AO276+AP276</f>
        <v>-42212.980000000229</v>
      </c>
      <c r="AW276" s="79">
        <f>+AN276+AO276+AP276+AQ276</f>
        <v>-27228.100000000231</v>
      </c>
      <c r="BB276" s="103" t="s">
        <v>723</v>
      </c>
      <c r="BC276" s="101" t="s">
        <v>1105</v>
      </c>
      <c r="BD276" s="117">
        <v>0</v>
      </c>
      <c r="BE276" s="117">
        <v>0</v>
      </c>
      <c r="BF276" s="117">
        <v>4035.6</v>
      </c>
      <c r="BG276" s="117">
        <v>65379.64</v>
      </c>
      <c r="BH276" s="129">
        <v>46270.57</v>
      </c>
      <c r="BI276" s="128">
        <f t="shared" si="51"/>
        <v>115685.81</v>
      </c>
      <c r="BM276" s="103" t="s">
        <v>723</v>
      </c>
      <c r="BN276" s="101" t="s">
        <v>1105</v>
      </c>
      <c r="BO276" s="117">
        <v>0</v>
      </c>
      <c r="BP276" s="117">
        <v>0</v>
      </c>
      <c r="BQ276" s="117">
        <v>4035.6</v>
      </c>
      <c r="BR276" s="117">
        <v>65379.64</v>
      </c>
      <c r="BS276" s="129">
        <v>46270.57</v>
      </c>
      <c r="BT276" s="129"/>
      <c r="BU276" s="128">
        <f t="shared" si="56"/>
        <v>115685.81</v>
      </c>
      <c r="BW276" s="115">
        <f t="shared" si="57"/>
        <v>0</v>
      </c>
      <c r="BX276" s="117">
        <v>0</v>
      </c>
      <c r="BY276" s="117"/>
    </row>
    <row r="277" spans="2:83">
      <c r="B277" s="103" t="s">
        <v>725</v>
      </c>
      <c r="C277" s="101" t="s">
        <v>1106</v>
      </c>
      <c r="D277" s="118">
        <v>63774.07</v>
      </c>
      <c r="E277" s="118">
        <v>-143954.73000000001</v>
      </c>
      <c r="F277" s="118">
        <v>-36629.839999999997</v>
      </c>
      <c r="G277" s="127">
        <v>-164351.72</v>
      </c>
      <c r="H277" s="102">
        <f t="shared" si="48"/>
        <v>-281162.21999999997</v>
      </c>
      <c r="K277" s="112" t="s">
        <v>725</v>
      </c>
      <c r="L277" s="111" t="s">
        <v>1106</v>
      </c>
      <c r="M277" s="117">
        <v>0</v>
      </c>
      <c r="N277" s="117">
        <v>180349.5</v>
      </c>
      <c r="O277" s="117">
        <v>-116575.43</v>
      </c>
      <c r="P277" s="117">
        <v>-143954.73000000001</v>
      </c>
      <c r="Q277" s="117">
        <v>-36629.839999999997</v>
      </c>
      <c r="R277" s="117"/>
      <c r="S277" s="117">
        <f t="shared" si="52"/>
        <v>-116810.5</v>
      </c>
      <c r="T277" s="117">
        <v>-116810.5</v>
      </c>
      <c r="U277" s="115">
        <f t="shared" si="53"/>
        <v>0</v>
      </c>
      <c r="W277" s="115">
        <f t="shared" si="58"/>
        <v>180349.5</v>
      </c>
      <c r="Y277" s="115">
        <f t="shared" si="54"/>
        <v>143802.82</v>
      </c>
      <c r="Z277" s="117">
        <v>143802.82</v>
      </c>
      <c r="AA277" s="115">
        <f t="shared" si="55"/>
        <v>143802.82</v>
      </c>
      <c r="AH277" s="79"/>
      <c r="AI277" s="79"/>
      <c r="AJ277" s="79">
        <v>131549.01</v>
      </c>
      <c r="AK277" s="79">
        <v>12253.810000000056</v>
      </c>
      <c r="AL277" s="79">
        <f t="shared" si="49"/>
        <v>143802.82000000007</v>
      </c>
      <c r="AN277" s="79">
        <v>131549.01</v>
      </c>
      <c r="AO277" s="79">
        <v>12253.810000000056</v>
      </c>
      <c r="AP277" s="79">
        <v>36546.68</v>
      </c>
      <c r="AQ277" s="79">
        <v>-116575.43</v>
      </c>
      <c r="AR277" s="79">
        <v>-143954.73000000001</v>
      </c>
      <c r="AS277" s="79">
        <f t="shared" si="50"/>
        <v>-80180.659999999945</v>
      </c>
      <c r="BB277" s="103" t="s">
        <v>725</v>
      </c>
      <c r="BC277" s="101" t="s">
        <v>1106</v>
      </c>
      <c r="BD277" s="117">
        <v>180349.5</v>
      </c>
      <c r="BE277" s="117">
        <v>-116575.43</v>
      </c>
      <c r="BF277" s="117">
        <v>-143954.73000000001</v>
      </c>
      <c r="BG277" s="117">
        <v>-36629.839999999997</v>
      </c>
      <c r="BH277" s="129">
        <v>-164351.72</v>
      </c>
      <c r="BI277" s="128">
        <f t="shared" si="51"/>
        <v>-281162.21999999997</v>
      </c>
      <c r="BM277" s="103" t="s">
        <v>725</v>
      </c>
      <c r="BN277" s="101" t="s">
        <v>1106</v>
      </c>
      <c r="BO277" s="117">
        <v>0</v>
      </c>
      <c r="BP277" s="131">
        <v>63774.07</v>
      </c>
      <c r="BQ277" s="117">
        <v>-143954.73000000001</v>
      </c>
      <c r="BR277" s="117">
        <v>-36629.839999999997</v>
      </c>
      <c r="BS277" s="129">
        <v>-164351.72</v>
      </c>
      <c r="BT277" s="129"/>
      <c r="BU277" s="128">
        <f t="shared" si="56"/>
        <v>-281162.21999999997</v>
      </c>
      <c r="BW277" s="115">
        <f t="shared" si="57"/>
        <v>0</v>
      </c>
      <c r="BX277" s="131">
        <v>180349.5</v>
      </c>
      <c r="BY277" s="131">
        <v>-116575.43</v>
      </c>
      <c r="CC277" s="130">
        <f>+BO277+BP277</f>
        <v>63774.07</v>
      </c>
      <c r="CD277" s="115">
        <f>+BX277+BY277</f>
        <v>63774.070000000007</v>
      </c>
      <c r="CE277" s="115">
        <f>+CC277-CD277</f>
        <v>0</v>
      </c>
    </row>
    <row r="278" spans="2:83">
      <c r="B278" s="103" t="s">
        <v>727</v>
      </c>
      <c r="C278" s="101" t="s">
        <v>1107</v>
      </c>
      <c r="D278" s="118">
        <v>-1570324.82</v>
      </c>
      <c r="E278" s="118">
        <v>-1186031.96</v>
      </c>
      <c r="F278" s="118">
        <v>-554369.18000000005</v>
      </c>
      <c r="G278" s="127">
        <v>15555.04</v>
      </c>
      <c r="H278" s="102">
        <f t="shared" si="48"/>
        <v>-3295170.9200000004</v>
      </c>
      <c r="K278" s="112" t="s">
        <v>727</v>
      </c>
      <c r="L278" s="111" t="s">
        <v>1107</v>
      </c>
      <c r="M278" s="117">
        <v>0</v>
      </c>
      <c r="N278" s="117">
        <v>-523045</v>
      </c>
      <c r="O278" s="117">
        <v>-1570324.82</v>
      </c>
      <c r="P278" s="117">
        <v>-1186031.96</v>
      </c>
      <c r="Q278" s="117">
        <v>-554369.18000000005</v>
      </c>
      <c r="R278" s="117"/>
      <c r="S278" s="117">
        <f t="shared" si="52"/>
        <v>-3833770.9600000004</v>
      </c>
      <c r="T278" s="117">
        <v>-4176372.1299999985</v>
      </c>
      <c r="U278" s="115">
        <f t="shared" si="53"/>
        <v>342601.16999999806</v>
      </c>
      <c r="Y278" s="115">
        <f t="shared" si="54"/>
        <v>-4.6566128730773926E-10</v>
      </c>
      <c r="Z278" s="117">
        <v>-342601.16999999853</v>
      </c>
      <c r="AA278" s="115">
        <f t="shared" si="55"/>
        <v>-4.6566128730773926E-10</v>
      </c>
      <c r="AH278" s="79"/>
      <c r="AI278" s="79"/>
      <c r="AJ278" s="79">
        <v>-159678.57999999999</v>
      </c>
      <c r="AK278" s="79">
        <v>-342601.16999999853</v>
      </c>
      <c r="AL278" s="79">
        <f t="shared" si="49"/>
        <v>-342601.16999999853</v>
      </c>
      <c r="AN278" s="79">
        <v>-159678.57999999999</v>
      </c>
      <c r="AO278" s="79">
        <v>-342601.16999999853</v>
      </c>
      <c r="AP278" s="79">
        <v>-523045</v>
      </c>
      <c r="AQ278" s="79">
        <v>-1570324.82</v>
      </c>
      <c r="AR278" s="79">
        <v>-1186031.96</v>
      </c>
      <c r="AS278" s="79">
        <f t="shared" si="50"/>
        <v>-3781681.5299999984</v>
      </c>
      <c r="BB278" s="103" t="s">
        <v>727</v>
      </c>
      <c r="BC278" s="101" t="s">
        <v>1107</v>
      </c>
      <c r="BD278" s="117">
        <v>-523045</v>
      </c>
      <c r="BE278" s="117">
        <v>-1570324.82</v>
      </c>
      <c r="BF278" s="117">
        <v>-1186031.96</v>
      </c>
      <c r="BG278" s="117">
        <v>-554369.18000000005</v>
      </c>
      <c r="BH278" s="129">
        <v>15555.04</v>
      </c>
      <c r="BI278" s="128">
        <f t="shared" si="51"/>
        <v>-3818215.9200000004</v>
      </c>
      <c r="BM278" s="103" t="s">
        <v>727</v>
      </c>
      <c r="BN278" s="101" t="s">
        <v>1107</v>
      </c>
      <c r="BO278" s="117">
        <v>0</v>
      </c>
      <c r="BP278" s="117">
        <v>-1570324.82</v>
      </c>
      <c r="BQ278" s="117">
        <v>-1186031.96</v>
      </c>
      <c r="BR278" s="117">
        <v>-554369.18000000005</v>
      </c>
      <c r="BS278" s="129">
        <v>15555.04</v>
      </c>
      <c r="BT278" s="129"/>
      <c r="BU278" s="128">
        <f t="shared" si="56"/>
        <v>-3295170.9200000004</v>
      </c>
      <c r="BW278" s="115">
        <f t="shared" si="57"/>
        <v>-523045</v>
      </c>
      <c r="BX278" s="117">
        <v>-523045</v>
      </c>
      <c r="BY278" s="117"/>
    </row>
    <row r="279" spans="2:83">
      <c r="B279" s="103" t="s">
        <v>729</v>
      </c>
      <c r="C279" s="101" t="s">
        <v>1108</v>
      </c>
      <c r="D279" s="118">
        <v>0</v>
      </c>
      <c r="E279" s="118">
        <v>-605.08000000000004</v>
      </c>
      <c r="F279" s="118">
        <v>73112.45</v>
      </c>
      <c r="G279" s="127">
        <v>-73461.570000000007</v>
      </c>
      <c r="H279" s="102">
        <f t="shared" si="48"/>
        <v>-954.20000000001164</v>
      </c>
      <c r="K279" s="112" t="s">
        <v>729</v>
      </c>
      <c r="L279" s="111" t="s">
        <v>1108</v>
      </c>
      <c r="M279" s="117">
        <v>0</v>
      </c>
      <c r="N279" s="117">
        <v>0</v>
      </c>
      <c r="O279" s="117">
        <v>0</v>
      </c>
      <c r="P279" s="117">
        <v>-605.08000000000004</v>
      </c>
      <c r="Q279" s="117">
        <v>73112.45</v>
      </c>
      <c r="R279" s="117"/>
      <c r="S279" s="117">
        <f t="shared" si="52"/>
        <v>72507.37</v>
      </c>
      <c r="T279" s="117">
        <v>72507.37</v>
      </c>
      <c r="U279" s="115">
        <f t="shared" si="53"/>
        <v>0</v>
      </c>
      <c r="Y279" s="115">
        <f t="shared" si="54"/>
        <v>-46618.12</v>
      </c>
      <c r="Z279" s="117">
        <v>-46618.12</v>
      </c>
      <c r="AA279" s="115">
        <f t="shared" si="55"/>
        <v>-46618.12</v>
      </c>
      <c r="AB279" s="115">
        <f>SUM(AC279:AE279)</f>
        <v>73112.45</v>
      </c>
      <c r="AC279" s="117">
        <v>-46618.12</v>
      </c>
      <c r="AD279" s="117">
        <v>3911.51</v>
      </c>
      <c r="AE279" s="117">
        <v>115819.06</v>
      </c>
      <c r="AH279" s="79"/>
      <c r="AI279" s="79"/>
      <c r="AJ279" s="79">
        <v>-81525.05</v>
      </c>
      <c r="AK279" s="79">
        <v>-46618.120000001974</v>
      </c>
      <c r="AL279" s="79">
        <f t="shared" si="49"/>
        <v>-46618.120000001974</v>
      </c>
      <c r="AN279" s="79">
        <v>-81525.05</v>
      </c>
      <c r="AO279" s="79">
        <v>-46618.120000001974</v>
      </c>
      <c r="AP279" s="79">
        <v>34752.51</v>
      </c>
      <c r="AQ279" s="79">
        <v>50684.05</v>
      </c>
      <c r="AR279" s="79">
        <v>-605.08000000000004</v>
      </c>
      <c r="AS279" s="79">
        <f t="shared" si="50"/>
        <v>-43311.690000001981</v>
      </c>
      <c r="BB279" s="103" t="s">
        <v>729</v>
      </c>
      <c r="BC279" s="101" t="s">
        <v>1108</v>
      </c>
      <c r="BD279" s="117">
        <v>0</v>
      </c>
      <c r="BE279" s="117">
        <v>0</v>
      </c>
      <c r="BF279" s="117">
        <v>-605.08000000000004</v>
      </c>
      <c r="BG279" s="117">
        <v>73112.45</v>
      </c>
      <c r="BH279" s="129">
        <v>-73461.570000000007</v>
      </c>
      <c r="BI279" s="128">
        <f t="shared" si="51"/>
        <v>-954.20000000001164</v>
      </c>
      <c r="BM279" s="103" t="s">
        <v>729</v>
      </c>
      <c r="BN279" s="101" t="s">
        <v>1108</v>
      </c>
      <c r="BO279" s="117">
        <v>0</v>
      </c>
      <c r="BP279" s="117">
        <v>0</v>
      </c>
      <c r="BQ279" s="117">
        <v>-605.08000000000004</v>
      </c>
      <c r="BR279" s="117">
        <v>73112.45</v>
      </c>
      <c r="BS279" s="129">
        <v>-73461.570000000007</v>
      </c>
      <c r="BT279" s="129"/>
      <c r="BU279" s="128">
        <f t="shared" si="56"/>
        <v>-954.20000000001164</v>
      </c>
      <c r="BW279" s="115">
        <f t="shared" si="57"/>
        <v>0</v>
      </c>
      <c r="BX279" s="117">
        <v>0</v>
      </c>
      <c r="BY279" s="117"/>
    </row>
    <row r="280" spans="2:83">
      <c r="B280" s="103" t="s">
        <v>731</v>
      </c>
      <c r="C280" s="101" t="s">
        <v>1109</v>
      </c>
      <c r="D280" s="118">
        <v>15136.21</v>
      </c>
      <c r="E280" s="118">
        <v>-23369.08</v>
      </c>
      <c r="F280" s="118">
        <v>-10573.47</v>
      </c>
      <c r="G280" s="127">
        <v>-16310.95</v>
      </c>
      <c r="H280" s="102">
        <f t="shared" si="48"/>
        <v>-35117.290000000008</v>
      </c>
      <c r="K280" s="112" t="s">
        <v>731</v>
      </c>
      <c r="L280" s="111" t="s">
        <v>1109</v>
      </c>
      <c r="M280" s="117">
        <v>0</v>
      </c>
      <c r="N280" s="117">
        <v>18879.82</v>
      </c>
      <c r="O280" s="117">
        <v>-3743.61</v>
      </c>
      <c r="P280" s="117">
        <v>-23369.08</v>
      </c>
      <c r="Q280" s="117">
        <v>-10573.47</v>
      </c>
      <c r="R280" s="117"/>
      <c r="S280" s="117">
        <f t="shared" si="52"/>
        <v>-18806.340000000004</v>
      </c>
      <c r="T280" s="117">
        <v>-18806.340000000004</v>
      </c>
      <c r="U280" s="115">
        <f t="shared" si="53"/>
        <v>0</v>
      </c>
      <c r="W280" s="115">
        <f>+M280+N280</f>
        <v>18879.82</v>
      </c>
      <c r="Y280" s="115">
        <f t="shared" si="54"/>
        <v>13536.31</v>
      </c>
      <c r="Z280" s="117">
        <v>13536.31</v>
      </c>
      <c r="AA280" s="115">
        <f t="shared" si="55"/>
        <v>13536.31</v>
      </c>
      <c r="AH280" s="79"/>
      <c r="AI280" s="79"/>
      <c r="AJ280" s="79">
        <v>-11304.98</v>
      </c>
      <c r="AK280" s="79">
        <v>24841.289999999688</v>
      </c>
      <c r="AL280" s="79">
        <f t="shared" si="49"/>
        <v>24841.289999999688</v>
      </c>
      <c r="AN280" s="79">
        <v>-11304.98</v>
      </c>
      <c r="AO280" s="79">
        <v>24841.289999999688</v>
      </c>
      <c r="AP280" s="79">
        <v>5343.51</v>
      </c>
      <c r="AQ280" s="79">
        <v>-3743.61</v>
      </c>
      <c r="AR280" s="79">
        <v>-23369.08</v>
      </c>
      <c r="AS280" s="79">
        <f t="shared" si="50"/>
        <v>-8232.8700000003155</v>
      </c>
      <c r="BB280" s="103" t="s">
        <v>731</v>
      </c>
      <c r="BC280" s="101" t="s">
        <v>1109</v>
      </c>
      <c r="BD280" s="117">
        <v>18879.82</v>
      </c>
      <c r="BE280" s="117">
        <v>-3743.61</v>
      </c>
      <c r="BF280" s="117">
        <v>-23369.08</v>
      </c>
      <c r="BG280" s="117">
        <v>-10573.47</v>
      </c>
      <c r="BH280" s="129">
        <v>-16310.95</v>
      </c>
      <c r="BI280" s="128">
        <f t="shared" si="51"/>
        <v>-35117.290000000008</v>
      </c>
      <c r="BM280" s="103" t="s">
        <v>731</v>
      </c>
      <c r="BN280" s="101" t="s">
        <v>1109</v>
      </c>
      <c r="BO280" s="117">
        <v>0</v>
      </c>
      <c r="BP280" s="131">
        <v>15136.21</v>
      </c>
      <c r="BQ280" s="117">
        <v>-23369.08</v>
      </c>
      <c r="BR280" s="117">
        <v>-10573.47</v>
      </c>
      <c r="BS280" s="129">
        <v>-16310.95</v>
      </c>
      <c r="BT280" s="129"/>
      <c r="BU280" s="128">
        <f t="shared" si="56"/>
        <v>-35117.290000000008</v>
      </c>
      <c r="BW280" s="115">
        <f t="shared" si="57"/>
        <v>0</v>
      </c>
      <c r="BX280" s="131">
        <v>18879.82</v>
      </c>
      <c r="BY280" s="131">
        <v>-3743.61</v>
      </c>
      <c r="CC280" s="130">
        <f>+BO280+BP280</f>
        <v>15136.21</v>
      </c>
      <c r="CD280" s="115">
        <f>+BX280+BY280</f>
        <v>15136.21</v>
      </c>
      <c r="CE280" s="115">
        <f>+CC280-CD280</f>
        <v>0</v>
      </c>
    </row>
    <row r="281" spans="2:83">
      <c r="B281" s="103" t="s">
        <v>733</v>
      </c>
      <c r="C281" s="101" t="s">
        <v>1110</v>
      </c>
      <c r="D281" s="118">
        <v>-73504.25</v>
      </c>
      <c r="E281" s="118">
        <v>-133388.18</v>
      </c>
      <c r="F281" s="118">
        <v>-164248.85999999999</v>
      </c>
      <c r="G281" s="127">
        <v>-155622.84</v>
      </c>
      <c r="H281" s="102">
        <f t="shared" si="48"/>
        <v>-526764.13</v>
      </c>
      <c r="K281" s="112" t="s">
        <v>733</v>
      </c>
      <c r="L281" s="111" t="s">
        <v>1110</v>
      </c>
      <c r="M281" s="117">
        <v>0</v>
      </c>
      <c r="N281" s="117">
        <v>18390.11</v>
      </c>
      <c r="O281" s="117">
        <v>-91894.36</v>
      </c>
      <c r="P281" s="117">
        <v>-133388.18</v>
      </c>
      <c r="Q281" s="117">
        <v>-164248.85999999999</v>
      </c>
      <c r="R281" s="117"/>
      <c r="S281" s="117">
        <f t="shared" si="52"/>
        <v>-371141.29</v>
      </c>
      <c r="T281" s="117">
        <v>-371141.29</v>
      </c>
      <c r="U281" s="115">
        <f t="shared" si="53"/>
        <v>0</v>
      </c>
      <c r="W281" s="115">
        <f>+M281+N281</f>
        <v>18390.11</v>
      </c>
      <c r="Y281" s="115">
        <f t="shared" si="54"/>
        <v>-9588.61</v>
      </c>
      <c r="Z281" s="117">
        <v>-9588.61</v>
      </c>
      <c r="AA281" s="115">
        <f t="shared" si="55"/>
        <v>-9588.61</v>
      </c>
      <c r="AH281" s="79"/>
      <c r="AI281" s="79"/>
      <c r="AJ281" s="79">
        <v>7346.06</v>
      </c>
      <c r="AK281" s="79">
        <v>-16934.669999999576</v>
      </c>
      <c r="AL281" s="79">
        <f t="shared" si="49"/>
        <v>-9588.6099999995749</v>
      </c>
      <c r="AN281" s="79">
        <v>7346.06</v>
      </c>
      <c r="AO281" s="79">
        <v>-16934.669999999576</v>
      </c>
      <c r="AP281" s="79">
        <v>27978.720000000001</v>
      </c>
      <c r="AQ281" s="79">
        <v>-91894.36</v>
      </c>
      <c r="AR281" s="79">
        <v>-133388.18</v>
      </c>
      <c r="AS281" s="79">
        <f t="shared" si="50"/>
        <v>-206892.42999999959</v>
      </c>
      <c r="BB281" s="103" t="s">
        <v>733</v>
      </c>
      <c r="BC281" s="101" t="s">
        <v>1110</v>
      </c>
      <c r="BD281" s="117">
        <v>18390.11</v>
      </c>
      <c r="BE281" s="117">
        <v>-91894.36</v>
      </c>
      <c r="BF281" s="117">
        <v>-133388.18</v>
      </c>
      <c r="BG281" s="117">
        <v>-164248.85999999999</v>
      </c>
      <c r="BH281" s="129">
        <v>-155622.84</v>
      </c>
      <c r="BI281" s="128">
        <f t="shared" si="51"/>
        <v>-526764.13</v>
      </c>
      <c r="BM281" s="103" t="s">
        <v>733</v>
      </c>
      <c r="BN281" s="101" t="s">
        <v>1110</v>
      </c>
      <c r="BO281" s="117">
        <v>0</v>
      </c>
      <c r="BP281" s="131">
        <v>-73504.25</v>
      </c>
      <c r="BQ281" s="117">
        <v>-133388.18</v>
      </c>
      <c r="BR281" s="117">
        <v>-164248.85999999999</v>
      </c>
      <c r="BS281" s="129">
        <v>-155622.84</v>
      </c>
      <c r="BT281" s="129"/>
      <c r="BU281" s="128">
        <f t="shared" si="56"/>
        <v>-526764.13</v>
      </c>
      <c r="BW281" s="115">
        <f t="shared" si="57"/>
        <v>0</v>
      </c>
      <c r="BX281" s="131">
        <v>18390.11</v>
      </c>
      <c r="BY281" s="131">
        <v>-91894.36</v>
      </c>
      <c r="CC281" s="130">
        <f>+BO281+BP281</f>
        <v>-73504.25</v>
      </c>
      <c r="CD281" s="115">
        <f>+BX281+BY281</f>
        <v>-73504.25</v>
      </c>
      <c r="CE281" s="115">
        <f>+CC281-CD281</f>
        <v>0</v>
      </c>
    </row>
    <row r="282" spans="2:83">
      <c r="B282" s="103" t="s">
        <v>735</v>
      </c>
      <c r="C282" s="101" t="s">
        <v>1111</v>
      </c>
      <c r="D282" s="118">
        <v>-36882.71</v>
      </c>
      <c r="E282" s="118">
        <v>-61731.51</v>
      </c>
      <c r="F282" s="118">
        <v>-102911.39</v>
      </c>
      <c r="G282" s="127">
        <v>-81004.160000000003</v>
      </c>
      <c r="H282" s="102">
        <f t="shared" si="48"/>
        <v>-282529.77</v>
      </c>
      <c r="K282" s="112" t="s">
        <v>735</v>
      </c>
      <c r="L282" s="111" t="s">
        <v>1111</v>
      </c>
      <c r="M282" s="117">
        <v>0</v>
      </c>
      <c r="N282" s="117">
        <v>-6085.54</v>
      </c>
      <c r="O282" s="117">
        <v>-36882.71</v>
      </c>
      <c r="P282" s="117">
        <v>-61731.51</v>
      </c>
      <c r="Q282" s="117">
        <v>-102911.39</v>
      </c>
      <c r="R282" s="117"/>
      <c r="S282" s="117">
        <f t="shared" si="52"/>
        <v>-207611.15000000002</v>
      </c>
      <c r="T282" s="117">
        <v>-240182.29000000004</v>
      </c>
      <c r="U282" s="115">
        <f t="shared" si="53"/>
        <v>32571.140000000014</v>
      </c>
      <c r="Y282" s="115">
        <f t="shared" si="54"/>
        <v>0</v>
      </c>
      <c r="Z282" s="117">
        <v>-32571.140000000014</v>
      </c>
      <c r="AA282" s="115">
        <f t="shared" si="55"/>
        <v>0</v>
      </c>
      <c r="AH282" s="79"/>
      <c r="AI282" s="79"/>
      <c r="AJ282" s="79">
        <v>-39295.01</v>
      </c>
      <c r="AK282" s="79">
        <v>-32571.140000000014</v>
      </c>
      <c r="AL282" s="79">
        <f t="shared" si="49"/>
        <v>-32571.140000000014</v>
      </c>
      <c r="AN282" s="79">
        <v>-39295.01</v>
      </c>
      <c r="AO282" s="79">
        <v>-32571.140000000014</v>
      </c>
      <c r="AP282" s="79">
        <v>-6085.54</v>
      </c>
      <c r="AQ282" s="79">
        <v>-36882.71</v>
      </c>
      <c r="AR282" s="79">
        <v>-61731.51</v>
      </c>
      <c r="AS282" s="79">
        <f t="shared" si="50"/>
        <v>-176565.91000000003</v>
      </c>
      <c r="BB282" s="103" t="s">
        <v>735</v>
      </c>
      <c r="BC282" s="101" t="s">
        <v>1111</v>
      </c>
      <c r="BD282" s="117">
        <v>-6085.54</v>
      </c>
      <c r="BE282" s="117">
        <v>-36882.71</v>
      </c>
      <c r="BF282" s="117">
        <v>-61731.51</v>
      </c>
      <c r="BG282" s="117">
        <v>-102911.39</v>
      </c>
      <c r="BH282" s="129">
        <v>-81004.160000000003</v>
      </c>
      <c r="BI282" s="128">
        <f t="shared" si="51"/>
        <v>-288615.31000000006</v>
      </c>
      <c r="BM282" s="103" t="s">
        <v>735</v>
      </c>
      <c r="BN282" s="101" t="s">
        <v>1111</v>
      </c>
      <c r="BO282" s="117">
        <v>0</v>
      </c>
      <c r="BP282" s="117">
        <v>-36882.71</v>
      </c>
      <c r="BQ282" s="117">
        <v>-61731.51</v>
      </c>
      <c r="BR282" s="117">
        <v>-102911.39</v>
      </c>
      <c r="BS282" s="129">
        <v>-81004.160000000003</v>
      </c>
      <c r="BT282" s="129"/>
      <c r="BU282" s="128">
        <f t="shared" si="56"/>
        <v>-282529.77</v>
      </c>
      <c r="BW282" s="115">
        <f t="shared" si="57"/>
        <v>-6085.5400000000373</v>
      </c>
      <c r="BX282" s="117">
        <v>-6085.54</v>
      </c>
      <c r="BY282" s="117"/>
    </row>
    <row r="283" spans="2:83">
      <c r="B283" s="103" t="s">
        <v>737</v>
      </c>
      <c r="C283" s="101" t="s">
        <v>1112</v>
      </c>
      <c r="D283" s="118">
        <v>-117917.31</v>
      </c>
      <c r="E283" s="118">
        <v>-155679.43</v>
      </c>
      <c r="F283" s="118">
        <v>-76446.850000000006</v>
      </c>
      <c r="G283" s="127">
        <v>-154244.42000000001</v>
      </c>
      <c r="H283" s="102">
        <f t="shared" si="48"/>
        <v>-504288.01</v>
      </c>
      <c r="K283" s="112" t="s">
        <v>737</v>
      </c>
      <c r="L283" s="111" t="s">
        <v>1112</v>
      </c>
      <c r="M283" s="117">
        <v>0</v>
      </c>
      <c r="N283" s="117">
        <v>-71725.63</v>
      </c>
      <c r="O283" s="117">
        <v>-117917.31</v>
      </c>
      <c r="P283" s="117">
        <v>-155679.43</v>
      </c>
      <c r="Q283" s="117">
        <v>-76446.850000000006</v>
      </c>
      <c r="R283" s="117"/>
      <c r="S283" s="117">
        <f t="shared" si="52"/>
        <v>-421769.22</v>
      </c>
      <c r="T283" s="117">
        <v>-532475.24000000046</v>
      </c>
      <c r="U283" s="115">
        <f t="shared" si="53"/>
        <v>110706.02000000048</v>
      </c>
      <c r="Y283" s="115">
        <f t="shared" si="54"/>
        <v>0</v>
      </c>
      <c r="Z283" s="117">
        <v>-110706.02000000048</v>
      </c>
      <c r="AA283" s="115">
        <f t="shared" si="55"/>
        <v>0</v>
      </c>
      <c r="AH283" s="79"/>
      <c r="AI283" s="79"/>
      <c r="AJ283" s="79">
        <v>-147142.67000000001</v>
      </c>
      <c r="AK283" s="79">
        <v>-110706.02000000048</v>
      </c>
      <c r="AL283" s="79">
        <f t="shared" si="49"/>
        <v>-110706.02000000048</v>
      </c>
      <c r="AN283" s="79">
        <v>-147142.67000000001</v>
      </c>
      <c r="AO283" s="79">
        <v>-110706.02000000048</v>
      </c>
      <c r="AP283" s="79">
        <v>-71725.63</v>
      </c>
      <c r="AQ283" s="79">
        <v>-117917.31</v>
      </c>
      <c r="AR283" s="79">
        <v>-155679.43</v>
      </c>
      <c r="AS283" s="79">
        <f t="shared" si="50"/>
        <v>-603171.06000000052</v>
      </c>
      <c r="BB283" s="103" t="s">
        <v>737</v>
      </c>
      <c r="BC283" s="101" t="s">
        <v>1112</v>
      </c>
      <c r="BD283" s="117">
        <v>-71725.63</v>
      </c>
      <c r="BE283" s="117">
        <v>-117917.31</v>
      </c>
      <c r="BF283" s="117">
        <v>-155679.43</v>
      </c>
      <c r="BG283" s="117">
        <v>-76446.850000000006</v>
      </c>
      <c r="BH283" s="129">
        <v>-154244.42000000001</v>
      </c>
      <c r="BI283" s="128">
        <f t="shared" si="51"/>
        <v>-576013.64</v>
      </c>
      <c r="BM283" s="103" t="s">
        <v>737</v>
      </c>
      <c r="BN283" s="101" t="s">
        <v>1112</v>
      </c>
      <c r="BO283" s="117">
        <v>0</v>
      </c>
      <c r="BP283" s="117">
        <v>-117917.31</v>
      </c>
      <c r="BQ283" s="117">
        <v>-155679.43</v>
      </c>
      <c r="BR283" s="117">
        <v>-76446.850000000006</v>
      </c>
      <c r="BS283" s="129">
        <v>-154244.42000000001</v>
      </c>
      <c r="BT283" s="129"/>
      <c r="BU283" s="128">
        <f t="shared" si="56"/>
        <v>-504288.01</v>
      </c>
      <c r="BW283" s="115">
        <f t="shared" si="57"/>
        <v>-71725.63</v>
      </c>
      <c r="BX283" s="117">
        <v>-71725.63</v>
      </c>
      <c r="BY283" s="117"/>
    </row>
    <row r="284" spans="2:83">
      <c r="B284" s="103" t="s">
        <v>739</v>
      </c>
      <c r="C284" s="101" t="s">
        <v>1054</v>
      </c>
      <c r="D284" s="118">
        <v>662857.5</v>
      </c>
      <c r="E284" s="118">
        <v>199281.7</v>
      </c>
      <c r="F284" s="118">
        <v>221494.13</v>
      </c>
      <c r="G284" s="127">
        <v>208615.38</v>
      </c>
      <c r="H284" s="102">
        <f t="shared" si="48"/>
        <v>1292248.71</v>
      </c>
      <c r="K284" s="112" t="s">
        <v>739</v>
      </c>
      <c r="L284" s="111" t="s">
        <v>1054</v>
      </c>
      <c r="M284" s="117">
        <v>0</v>
      </c>
      <c r="N284" s="117">
        <v>493019.26</v>
      </c>
      <c r="O284" s="117">
        <v>169838.24</v>
      </c>
      <c r="P284" s="117">
        <v>199281.7</v>
      </c>
      <c r="Q284" s="117">
        <v>221494.13</v>
      </c>
      <c r="R284" s="117"/>
      <c r="S284" s="117">
        <f t="shared" si="52"/>
        <v>1083633.33</v>
      </c>
      <c r="T284" s="117">
        <v>1083633.33</v>
      </c>
      <c r="U284" s="115">
        <f t="shared" si="53"/>
        <v>0</v>
      </c>
      <c r="W284" s="115">
        <f>+M284+N284</f>
        <v>493019.26</v>
      </c>
      <c r="Y284" s="115">
        <f t="shared" si="54"/>
        <v>313144.88</v>
      </c>
      <c r="Z284" s="117">
        <v>313144.88</v>
      </c>
      <c r="AA284" s="115">
        <f t="shared" si="55"/>
        <v>313144.88</v>
      </c>
      <c r="AH284" s="79"/>
      <c r="AI284" s="79"/>
      <c r="AJ284" s="79">
        <v>206264.49</v>
      </c>
      <c r="AK284" s="79">
        <v>106880.38999999873</v>
      </c>
      <c r="AL284" s="79">
        <f t="shared" si="49"/>
        <v>313144.87999999872</v>
      </c>
      <c r="AN284" s="79">
        <v>206264.49</v>
      </c>
      <c r="AO284" s="79">
        <v>106880.38999999873</v>
      </c>
      <c r="AP284" s="79">
        <v>179874.38</v>
      </c>
      <c r="AQ284" s="79">
        <v>169838.24</v>
      </c>
      <c r="AR284" s="79">
        <v>199281.7</v>
      </c>
      <c r="AS284" s="79">
        <f t="shared" si="50"/>
        <v>862139.19999999879</v>
      </c>
      <c r="BB284" s="103" t="s">
        <v>739</v>
      </c>
      <c r="BC284" s="101" t="s">
        <v>1054</v>
      </c>
      <c r="BD284" s="117">
        <v>493019.26</v>
      </c>
      <c r="BE284" s="117">
        <v>169838.24</v>
      </c>
      <c r="BF284" s="117">
        <v>199281.7</v>
      </c>
      <c r="BG284" s="117">
        <v>221494.13</v>
      </c>
      <c r="BH284" s="129">
        <v>208615.38</v>
      </c>
      <c r="BI284" s="128">
        <f t="shared" si="51"/>
        <v>1292248.71</v>
      </c>
      <c r="BM284" s="103" t="s">
        <v>739</v>
      </c>
      <c r="BN284" s="101" t="s">
        <v>1054</v>
      </c>
      <c r="BO284" s="117">
        <v>0</v>
      </c>
      <c r="BP284" s="131">
        <v>662857.5</v>
      </c>
      <c r="BQ284" s="117">
        <v>199281.7</v>
      </c>
      <c r="BR284" s="117">
        <v>221494.13</v>
      </c>
      <c r="BS284" s="129">
        <v>208615.38</v>
      </c>
      <c r="BT284" s="129"/>
      <c r="BU284" s="128">
        <f t="shared" si="56"/>
        <v>1292248.71</v>
      </c>
      <c r="BW284" s="115">
        <f t="shared" si="57"/>
        <v>0</v>
      </c>
      <c r="BX284" s="131">
        <v>493019.26</v>
      </c>
      <c r="BY284" s="131">
        <v>169838.24</v>
      </c>
      <c r="CC284" s="130">
        <f>+BO284+BP284</f>
        <v>662857.5</v>
      </c>
      <c r="CD284" s="115">
        <f>+BX284+BY284</f>
        <v>662857.5</v>
      </c>
      <c r="CE284" s="115">
        <f>+CC284-CD284</f>
        <v>0</v>
      </c>
    </row>
    <row r="285" spans="2:83">
      <c r="B285" s="103" t="s">
        <v>740</v>
      </c>
      <c r="C285" s="101" t="s">
        <v>1113</v>
      </c>
      <c r="D285" s="118">
        <v>-113319.34</v>
      </c>
      <c r="E285" s="118">
        <v>-70928.95</v>
      </c>
      <c r="F285" s="118">
        <v>-59791.29</v>
      </c>
      <c r="G285" s="127">
        <v>-47854.36</v>
      </c>
      <c r="H285" s="102">
        <f t="shared" si="48"/>
        <v>-291893.94</v>
      </c>
      <c r="K285" s="112" t="s">
        <v>740</v>
      </c>
      <c r="L285" s="111" t="s">
        <v>1113</v>
      </c>
      <c r="M285" s="117">
        <v>0</v>
      </c>
      <c r="N285" s="117">
        <v>-239402.68</v>
      </c>
      <c r="O285" s="117">
        <v>-113319.34</v>
      </c>
      <c r="P285" s="117">
        <v>-70928.95</v>
      </c>
      <c r="Q285" s="117">
        <v>-59791.29</v>
      </c>
      <c r="R285" s="117"/>
      <c r="S285" s="117">
        <f t="shared" si="52"/>
        <v>-483442.26</v>
      </c>
      <c r="T285" s="117">
        <v>-741604.75000000023</v>
      </c>
      <c r="U285" s="115">
        <f t="shared" si="53"/>
        <v>258162.49000000022</v>
      </c>
      <c r="Y285" s="115">
        <f t="shared" si="54"/>
        <v>0</v>
      </c>
      <c r="Z285" s="117">
        <v>-258162.49000000022</v>
      </c>
      <c r="AA285" s="115">
        <f t="shared" si="55"/>
        <v>0</v>
      </c>
      <c r="AH285" s="79"/>
      <c r="AI285" s="79"/>
      <c r="AJ285" s="79">
        <v>-190317.04</v>
      </c>
      <c r="AK285" s="79">
        <v>-258162.49000000022</v>
      </c>
      <c r="AL285" s="79">
        <f t="shared" si="49"/>
        <v>-258162.49000000022</v>
      </c>
      <c r="AN285" s="79">
        <v>-190317.04</v>
      </c>
      <c r="AO285" s="79">
        <v>-258162.49000000022</v>
      </c>
      <c r="AP285" s="79">
        <v>-239402.68</v>
      </c>
      <c r="AQ285" s="79">
        <v>-113319.34</v>
      </c>
      <c r="AR285" s="79">
        <v>-70928.95</v>
      </c>
      <c r="AS285" s="79">
        <f t="shared" si="50"/>
        <v>-872130.50000000012</v>
      </c>
      <c r="BB285" s="103" t="s">
        <v>740</v>
      </c>
      <c r="BC285" s="101" t="s">
        <v>1113</v>
      </c>
      <c r="BD285" s="117">
        <v>-239402.68</v>
      </c>
      <c r="BE285" s="117">
        <v>-113319.34</v>
      </c>
      <c r="BF285" s="117">
        <v>-70928.95</v>
      </c>
      <c r="BG285" s="117">
        <v>-59791.29</v>
      </c>
      <c r="BH285" s="129">
        <v>-47854.36</v>
      </c>
      <c r="BI285" s="128">
        <f t="shared" si="51"/>
        <v>-531296.62</v>
      </c>
      <c r="BM285" s="103" t="s">
        <v>740</v>
      </c>
      <c r="BN285" s="101" t="s">
        <v>1113</v>
      </c>
      <c r="BO285" s="117">
        <v>0</v>
      </c>
      <c r="BP285" s="117">
        <v>-113319.34</v>
      </c>
      <c r="BQ285" s="117">
        <v>-70928.95</v>
      </c>
      <c r="BR285" s="117">
        <v>-59791.29</v>
      </c>
      <c r="BS285" s="129">
        <v>-47854.36</v>
      </c>
      <c r="BT285" s="129"/>
      <c r="BU285" s="128">
        <f t="shared" si="56"/>
        <v>-291893.94</v>
      </c>
      <c r="BW285" s="115">
        <f t="shared" si="57"/>
        <v>-239402.68</v>
      </c>
      <c r="BX285" s="117">
        <v>-239402.68</v>
      </c>
      <c r="BY285" s="117"/>
    </row>
    <row r="286" spans="2:83">
      <c r="B286" s="94"/>
      <c r="C286" s="94"/>
      <c r="D286" s="94"/>
      <c r="E286" s="94"/>
      <c r="F286" s="94"/>
      <c r="G286" s="94"/>
      <c r="H286" s="94"/>
      <c r="BB286" s="122"/>
      <c r="BC286" s="122"/>
      <c r="BD286" s="122"/>
      <c r="BE286" s="122"/>
      <c r="BF286" s="122"/>
      <c r="BG286" s="122"/>
      <c r="BH286" s="122"/>
      <c r="BI286" s="122"/>
      <c r="BX286" s="119"/>
    </row>
    <row r="287" spans="2:83">
      <c r="B287" s="94"/>
      <c r="C287" s="94"/>
      <c r="D287" s="94"/>
      <c r="E287" s="94"/>
      <c r="F287" s="94"/>
      <c r="G287" s="94"/>
      <c r="H287" s="94"/>
    </row>
    <row r="288" spans="2:83">
      <c r="B288" s="94"/>
      <c r="C288" s="94"/>
      <c r="D288" s="94"/>
      <c r="E288" s="94"/>
      <c r="F288" s="94"/>
      <c r="G288" s="94"/>
      <c r="H288" s="94"/>
    </row>
    <row r="289" spans="2:8">
      <c r="B289" s="94"/>
      <c r="C289" s="94"/>
      <c r="D289" s="94"/>
      <c r="E289" s="94"/>
      <c r="F289" s="94"/>
      <c r="G289" s="94"/>
      <c r="H289" s="94"/>
    </row>
    <row r="290" spans="2:8">
      <c r="B290" s="94"/>
      <c r="C290" s="94"/>
      <c r="D290" s="94"/>
      <c r="E290" s="94"/>
      <c r="F290" s="94"/>
      <c r="G290" s="94"/>
      <c r="H290" s="94"/>
    </row>
    <row r="291" spans="2:8">
      <c r="B291" s="94"/>
      <c r="C291" s="94"/>
      <c r="D291" s="94"/>
      <c r="E291" s="94"/>
      <c r="F291" s="94"/>
      <c r="G291" s="94"/>
      <c r="H291" s="94"/>
    </row>
    <row r="292" spans="2:8">
      <c r="B292" s="94"/>
      <c r="C292" s="94"/>
      <c r="D292" s="94"/>
      <c r="E292" s="94"/>
      <c r="F292" s="94"/>
      <c r="G292" s="94"/>
      <c r="H292" s="94"/>
    </row>
    <row r="293" spans="2:8">
      <c r="B293" s="94"/>
      <c r="C293" s="94"/>
      <c r="D293" s="94"/>
      <c r="E293" s="94"/>
      <c r="F293" s="94"/>
      <c r="G293" s="94"/>
      <c r="H293" s="94"/>
    </row>
    <row r="294" spans="2:8">
      <c r="B294" s="94"/>
      <c r="C294" s="94"/>
      <c r="D294" s="94"/>
      <c r="E294" s="94"/>
      <c r="F294" s="94"/>
      <c r="G294" s="94"/>
      <c r="H294" s="94"/>
    </row>
    <row r="295" spans="2:8">
      <c r="B295" s="94"/>
      <c r="C295" s="94"/>
      <c r="D295" s="94"/>
      <c r="E295" s="94"/>
      <c r="F295" s="94"/>
      <c r="G295" s="94"/>
      <c r="H295" s="94"/>
    </row>
    <row r="296" spans="2:8">
      <c r="B296" s="94"/>
      <c r="C296" s="94"/>
      <c r="D296" s="94"/>
      <c r="E296" s="94"/>
      <c r="F296" s="94"/>
      <c r="G296" s="94"/>
      <c r="H296" s="94"/>
    </row>
    <row r="297" spans="2:8">
      <c r="B297" s="94"/>
      <c r="C297" s="94"/>
      <c r="D297" s="94"/>
      <c r="E297" s="94"/>
      <c r="F297" s="94"/>
      <c r="G297" s="94"/>
      <c r="H297" s="94"/>
    </row>
    <row r="298" spans="2:8">
      <c r="B298" s="94"/>
      <c r="C298" s="94"/>
      <c r="D298" s="94"/>
      <c r="E298" s="94"/>
      <c r="F298" s="94"/>
      <c r="G298" s="94"/>
      <c r="H298" s="94"/>
    </row>
    <row r="299" spans="2:8">
      <c r="B299" s="94"/>
      <c r="C299" s="94"/>
      <c r="D299" s="94"/>
      <c r="E299" s="94"/>
      <c r="F299" s="94"/>
      <c r="G299" s="94"/>
      <c r="H299" s="94"/>
    </row>
  </sheetData>
  <sortState ref="B5:H299">
    <sortCondition ref="B5:B299"/>
  </sortState>
  <conditionalFormatting sqref="H5 H7:H18 H20:H39 H41:H59 H61:H112 H118:H122 H125:H130 H132 H134:H135 D286:H299 H137:H285">
    <cfRule type="cellIs" dxfId="27" priority="37" operator="greaterThan">
      <formula>0</formula>
    </cfRule>
  </conditionalFormatting>
  <conditionalFormatting sqref="AP6:AP285">
    <cfRule type="cellIs" dxfId="26" priority="9" operator="greaterThan">
      <formula>0</formula>
    </cfRule>
  </conditionalFormatting>
  <conditionalFormatting sqref="AQ5">
    <cfRule type="cellIs" dxfId="25" priority="8" operator="greaterThan">
      <formula>0</formula>
    </cfRule>
  </conditionalFormatting>
  <conditionalFormatting sqref="AQ6:AQ285">
    <cfRule type="cellIs" dxfId="24" priority="7" operator="greaterThan">
      <formula>0</formula>
    </cfRule>
  </conditionalFormatting>
  <conditionalFormatting sqref="AR5">
    <cfRule type="cellIs" dxfId="23" priority="6" operator="greaterThan">
      <formula>0</formula>
    </cfRule>
  </conditionalFormatting>
  <conditionalFormatting sqref="AL25">
    <cfRule type="cellIs" dxfId="22" priority="27" operator="greaterThan">
      <formula>0</formula>
    </cfRule>
  </conditionalFormatting>
  <conditionalFormatting sqref="AL5:AL24">
    <cfRule type="cellIs" dxfId="21" priority="26" operator="greaterThan">
      <formula>0</formula>
    </cfRule>
  </conditionalFormatting>
  <conditionalFormatting sqref="AL26:AL285">
    <cfRule type="cellIs" dxfId="20" priority="25" operator="greaterThan">
      <formula>0</formula>
    </cfRule>
  </conditionalFormatting>
  <conditionalFormatting sqref="AK6:AK285">
    <cfRule type="cellIs" dxfId="19" priority="18" operator="greaterThan">
      <formula>0</formula>
    </cfRule>
  </conditionalFormatting>
  <conditionalFormatting sqref="AJ25">
    <cfRule type="cellIs" dxfId="18" priority="23" operator="greaterThan">
      <formula>0</formula>
    </cfRule>
  </conditionalFormatting>
  <conditionalFormatting sqref="AI5">
    <cfRule type="cellIs" dxfId="17" priority="24" operator="greaterThan">
      <formula>0</formula>
    </cfRule>
  </conditionalFormatting>
  <conditionalFormatting sqref="AJ26:AJ285">
    <cfRule type="cellIs" dxfId="16" priority="21" operator="greaterThan">
      <formula>0</formula>
    </cfRule>
  </conditionalFormatting>
  <conditionalFormatting sqref="AJ5:AJ24">
    <cfRule type="cellIs" dxfId="15" priority="22" operator="greaterThan">
      <formula>0</formula>
    </cfRule>
  </conditionalFormatting>
  <conditionalFormatting sqref="AI6:AI285">
    <cfRule type="cellIs" dxfId="14" priority="20" operator="greaterThan">
      <formula>0</formula>
    </cfRule>
  </conditionalFormatting>
  <conditionalFormatting sqref="AK5">
    <cfRule type="cellIs" dxfId="13" priority="19" operator="greaterThan">
      <formula>0</formula>
    </cfRule>
  </conditionalFormatting>
  <conditionalFormatting sqref="AH5">
    <cfRule type="cellIs" dxfId="12" priority="17" operator="greaterThan">
      <formula>0</formula>
    </cfRule>
  </conditionalFormatting>
  <conditionalFormatting sqref="AH6:AH285">
    <cfRule type="cellIs" dxfId="11" priority="16" operator="greaterThan">
      <formula>0</formula>
    </cfRule>
  </conditionalFormatting>
  <conditionalFormatting sqref="AO6:AO285">
    <cfRule type="cellIs" dxfId="10" priority="11" operator="greaterThan">
      <formula>0</formula>
    </cfRule>
  </conditionalFormatting>
  <conditionalFormatting sqref="AN25">
    <cfRule type="cellIs" dxfId="9" priority="15" operator="greaterThan">
      <formula>0</formula>
    </cfRule>
  </conditionalFormatting>
  <conditionalFormatting sqref="AN26:AN285">
    <cfRule type="cellIs" dxfId="8" priority="13" operator="greaterThan">
      <formula>0</formula>
    </cfRule>
  </conditionalFormatting>
  <conditionalFormatting sqref="AN5:AN24">
    <cfRule type="cellIs" dxfId="7" priority="14" operator="greaterThan">
      <formula>0</formula>
    </cfRule>
  </conditionalFormatting>
  <conditionalFormatting sqref="AO5">
    <cfRule type="cellIs" dxfId="6" priority="12" operator="greaterThan">
      <formula>0</formula>
    </cfRule>
  </conditionalFormatting>
  <conditionalFormatting sqref="AR6:AR285">
    <cfRule type="cellIs" dxfId="5" priority="5" operator="greaterThan">
      <formula>0</formula>
    </cfRule>
  </conditionalFormatting>
  <conditionalFormatting sqref="AP5">
    <cfRule type="cellIs" dxfId="4" priority="10" operator="greaterThan">
      <formula>0</formula>
    </cfRule>
  </conditionalFormatting>
  <conditionalFormatting sqref="AS13">
    <cfRule type="cellIs" dxfId="3" priority="4" operator="greaterThan">
      <formula>0</formula>
    </cfRule>
  </conditionalFormatting>
  <conditionalFormatting sqref="AS5:AS12">
    <cfRule type="cellIs" dxfId="2" priority="3" operator="greaterThan">
      <formula>0</formula>
    </cfRule>
  </conditionalFormatting>
  <conditionalFormatting sqref="AS14:AS285">
    <cfRule type="cellIs" dxfId="1" priority="2" operator="greaterThan">
      <formula>0</formula>
    </cfRule>
  </conditionalFormatting>
  <conditionalFormatting sqref="AU25">
    <cfRule type="cellIs" dxfId="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6"/>
  <sheetViews>
    <sheetView workbookViewId="0">
      <selection activeCell="F4" sqref="F4"/>
    </sheetView>
  </sheetViews>
  <sheetFormatPr defaultRowHeight="15"/>
  <cols>
    <col min="1" max="1" width="37.28515625" bestFit="1" customWidth="1"/>
  </cols>
  <sheetData>
    <row r="1" spans="1:5">
      <c r="A1" s="415" t="s">
        <v>105</v>
      </c>
      <c r="B1" s="415"/>
      <c r="C1" s="415"/>
      <c r="D1" s="415"/>
      <c r="E1" s="415"/>
    </row>
    <row r="2" spans="1:5">
      <c r="A2" s="415" t="s">
        <v>106</v>
      </c>
      <c r="B2" s="415"/>
      <c r="C2" s="415"/>
      <c r="D2" s="415"/>
      <c r="E2" s="415"/>
    </row>
    <row r="3" spans="1:5">
      <c r="A3" s="6" t="s">
        <v>40</v>
      </c>
    </row>
    <row r="5" spans="1:5">
      <c r="B5" t="s">
        <v>3</v>
      </c>
      <c r="C5" t="s">
        <v>4</v>
      </c>
      <c r="D5" t="s">
        <v>7</v>
      </c>
      <c r="E5" t="s">
        <v>5</v>
      </c>
    </row>
    <row r="6" spans="1:5">
      <c r="A6" s="7" t="s">
        <v>73</v>
      </c>
      <c r="B6" s="21">
        <f>SUM(B7:B26)</f>
        <v>0</v>
      </c>
      <c r="C6" s="21">
        <f>SUM(C7:C26)</f>
        <v>0</v>
      </c>
      <c r="D6" s="21">
        <f>SUM(D7:D26)</f>
        <v>0</v>
      </c>
      <c r="E6" s="74"/>
    </row>
    <row r="7" spans="1:5">
      <c r="A7" s="12" t="s">
        <v>107</v>
      </c>
      <c r="B7" s="19">
        <v>0</v>
      </c>
      <c r="C7" s="19">
        <v>0</v>
      </c>
      <c r="D7" s="19">
        <v>0</v>
      </c>
      <c r="E7" s="71"/>
    </row>
    <row r="8" spans="1:5">
      <c r="B8" s="19"/>
      <c r="C8" s="19"/>
      <c r="D8" s="19"/>
      <c r="E8" s="71"/>
    </row>
    <row r="9" spans="1:5">
      <c r="B9" s="19"/>
      <c r="C9" s="19"/>
      <c r="D9" s="19"/>
      <c r="E9" s="71"/>
    </row>
    <row r="10" spans="1:5">
      <c r="B10" s="19"/>
      <c r="C10" s="19"/>
      <c r="D10" s="19"/>
      <c r="E10" s="71"/>
    </row>
    <row r="11" spans="1:5">
      <c r="B11" s="19"/>
      <c r="C11" s="19"/>
      <c r="D11" s="19"/>
      <c r="E11" s="71"/>
    </row>
    <row r="12" spans="1:5">
      <c r="B12" s="19"/>
      <c r="C12" s="19"/>
      <c r="D12" s="19"/>
      <c r="E12" s="71"/>
    </row>
    <row r="13" spans="1:5">
      <c r="B13" s="19"/>
      <c r="C13" s="19"/>
      <c r="D13" s="19"/>
      <c r="E13" s="71"/>
    </row>
    <row r="14" spans="1:5">
      <c r="B14" s="19"/>
      <c r="C14" s="19"/>
      <c r="D14" s="19"/>
      <c r="E14" s="71"/>
    </row>
    <row r="15" spans="1:5">
      <c r="B15" s="19"/>
      <c r="C15" s="19"/>
      <c r="D15" s="19"/>
      <c r="E15" s="71"/>
    </row>
    <row r="16" spans="1:5">
      <c r="B16" s="19"/>
      <c r="C16" s="19"/>
      <c r="D16" s="19"/>
      <c r="E16" s="71"/>
    </row>
    <row r="17" spans="2:5">
      <c r="B17" s="19"/>
      <c r="C17" s="19"/>
      <c r="D17" s="19"/>
      <c r="E17" s="71"/>
    </row>
    <row r="18" spans="2:5">
      <c r="B18" s="19"/>
      <c r="C18" s="19"/>
      <c r="D18" s="19"/>
      <c r="E18" s="71"/>
    </row>
    <row r="19" spans="2:5">
      <c r="B19" s="19"/>
      <c r="C19" s="19"/>
      <c r="D19" s="19"/>
      <c r="E19" s="71"/>
    </row>
    <row r="20" spans="2:5">
      <c r="B20" s="19"/>
      <c r="C20" s="19"/>
      <c r="D20" s="19"/>
      <c r="E20" s="71"/>
    </row>
    <row r="21" spans="2:5">
      <c r="B21" s="19"/>
      <c r="C21" s="19"/>
      <c r="D21" s="19"/>
      <c r="E21" s="71"/>
    </row>
    <row r="22" spans="2:5">
      <c r="B22" s="19"/>
      <c r="C22" s="19"/>
      <c r="D22" s="19"/>
      <c r="E22" s="71"/>
    </row>
    <row r="23" spans="2:5">
      <c r="B23" s="19"/>
      <c r="C23" s="19"/>
      <c r="D23" s="19"/>
      <c r="E23" s="71"/>
    </row>
    <row r="24" spans="2:5">
      <c r="B24" s="19"/>
      <c r="C24" s="19"/>
      <c r="D24" s="19"/>
      <c r="E24" s="71"/>
    </row>
    <row r="25" spans="2:5">
      <c r="B25" s="19"/>
      <c r="C25" s="19"/>
      <c r="D25" s="19"/>
      <c r="E25" s="71"/>
    </row>
    <row r="26" spans="2:5">
      <c r="B26" s="19"/>
      <c r="C26" s="19"/>
      <c r="D26" s="19"/>
      <c r="E26" s="71"/>
    </row>
  </sheetData>
  <mergeCells count="2">
    <mergeCell ref="A1:E1"/>
    <mergeCell ref="A2:E2"/>
  </mergeCells>
  <hyperlinks>
    <hyperlink ref="A3" location="'Fund Balance Summary'!A1" display="(Return to summary sheet)"/>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
  <sheetViews>
    <sheetView workbookViewId="0">
      <selection sqref="A1:E1"/>
    </sheetView>
  </sheetViews>
  <sheetFormatPr defaultRowHeight="15"/>
  <cols>
    <col min="1" max="1" width="44.5703125" bestFit="1" customWidth="1"/>
    <col min="2" max="2" width="14.28515625" bestFit="1" customWidth="1"/>
    <col min="3" max="3" width="15.28515625" bestFit="1" customWidth="1"/>
    <col min="4" max="4" width="16.28515625" bestFit="1" customWidth="1"/>
    <col min="5" max="5" width="15.28515625" bestFit="1" customWidth="1"/>
  </cols>
  <sheetData>
    <row r="1" spans="1:5">
      <c r="A1" s="415" t="s">
        <v>109</v>
      </c>
      <c r="B1" s="415"/>
      <c r="C1" s="415"/>
      <c r="D1" s="415"/>
      <c r="E1" s="415"/>
    </row>
    <row r="2" spans="1:5">
      <c r="A2" s="415" t="s">
        <v>110</v>
      </c>
      <c r="B2" s="415"/>
      <c r="C2" s="415"/>
      <c r="D2" s="415"/>
      <c r="E2" s="415"/>
    </row>
    <row r="3" spans="1:5">
      <c r="A3" s="6" t="s">
        <v>40</v>
      </c>
    </row>
    <row r="5" spans="1:5">
      <c r="B5" t="s">
        <v>52</v>
      </c>
      <c r="C5" t="s">
        <v>5</v>
      </c>
      <c r="D5" t="s">
        <v>4</v>
      </c>
      <c r="E5" t="s">
        <v>7</v>
      </c>
    </row>
    <row r="6" spans="1:5">
      <c r="A6" t="s">
        <v>163</v>
      </c>
      <c r="B6" s="24">
        <v>0</v>
      </c>
      <c r="C6" s="24">
        <v>0</v>
      </c>
      <c r="D6" s="24">
        <v>0</v>
      </c>
      <c r="E6" s="24">
        <v>0</v>
      </c>
    </row>
  </sheetData>
  <mergeCells count="2">
    <mergeCell ref="A1:E1"/>
    <mergeCell ref="A2:E2"/>
  </mergeCells>
  <hyperlinks>
    <hyperlink ref="A3" location="'Fund Balance Summary'!A1" display="(Return to summary sheet)"/>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6"/>
  <sheetViews>
    <sheetView workbookViewId="0">
      <selection activeCell="B7" sqref="B7"/>
    </sheetView>
  </sheetViews>
  <sheetFormatPr defaultRowHeight="15"/>
  <cols>
    <col min="1" max="1" width="48" bestFit="1" customWidth="1"/>
    <col min="2" max="2" width="12.5703125" bestFit="1" customWidth="1"/>
  </cols>
  <sheetData>
    <row r="1" spans="1:7">
      <c r="A1" s="415" t="s">
        <v>0</v>
      </c>
      <c r="B1" s="415"/>
      <c r="C1" s="415"/>
      <c r="D1" s="415"/>
      <c r="E1" s="415"/>
      <c r="F1" s="415"/>
      <c r="G1" s="415"/>
    </row>
    <row r="2" spans="1:7">
      <c r="A2" s="415" t="s">
        <v>91</v>
      </c>
      <c r="B2" s="415"/>
      <c r="C2" s="415"/>
      <c r="D2" s="415"/>
      <c r="E2" s="415"/>
      <c r="F2" s="415"/>
      <c r="G2" s="415"/>
    </row>
    <row r="3" spans="1:7">
      <c r="A3" s="6" t="s">
        <v>40</v>
      </c>
    </row>
    <row r="5" spans="1:7">
      <c r="A5" s="11" t="s">
        <v>52</v>
      </c>
    </row>
    <row r="6" spans="1:7">
      <c r="A6" t="s">
        <v>92</v>
      </c>
      <c r="B6" s="1">
        <v>0</v>
      </c>
    </row>
    <row r="7" spans="1:7">
      <c r="A7" t="s">
        <v>93</v>
      </c>
      <c r="B7" s="1">
        <v>0</v>
      </c>
    </row>
    <row r="8" spans="1:7">
      <c r="A8" t="s">
        <v>94</v>
      </c>
      <c r="B8" s="1">
        <v>0</v>
      </c>
    </row>
    <row r="9" spans="1:7">
      <c r="A9" t="s">
        <v>95</v>
      </c>
      <c r="B9" s="14">
        <f>SUM(B6:B8)</f>
        <v>0</v>
      </c>
    </row>
    <row r="13" spans="1:7">
      <c r="A13" s="11" t="s">
        <v>96</v>
      </c>
    </row>
    <row r="14" spans="1:7">
      <c r="A14" t="s">
        <v>92</v>
      </c>
      <c r="B14" s="1">
        <v>0</v>
      </c>
    </row>
    <row r="15" spans="1:7">
      <c r="A15" t="s">
        <v>94</v>
      </c>
      <c r="B15" s="1">
        <v>0</v>
      </c>
    </row>
    <row r="16" spans="1:7">
      <c r="A16" t="s">
        <v>97</v>
      </c>
      <c r="B16" s="14">
        <f>B14+B15</f>
        <v>0</v>
      </c>
    </row>
  </sheetData>
  <mergeCells count="2">
    <mergeCell ref="A1:G1"/>
    <mergeCell ref="A2:G2"/>
  </mergeCells>
  <hyperlinks>
    <hyperlink ref="A3" location="'Fund Balance Summary'!A1" display="(Return to summary sheet)"/>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2"/>
  <sheetViews>
    <sheetView workbookViewId="0">
      <selection sqref="A1:B1"/>
    </sheetView>
  </sheetViews>
  <sheetFormatPr defaultRowHeight="15"/>
  <cols>
    <col min="1" max="1" width="25.5703125" bestFit="1" customWidth="1"/>
    <col min="2" max="2" width="12.5703125" bestFit="1" customWidth="1"/>
  </cols>
  <sheetData>
    <row r="1" spans="1:2">
      <c r="A1" s="415" t="s">
        <v>159</v>
      </c>
      <c r="B1" s="415"/>
    </row>
    <row r="2" spans="1:2">
      <c r="A2" s="415" t="s">
        <v>52</v>
      </c>
      <c r="B2" s="415"/>
    </row>
    <row r="3" spans="1:2">
      <c r="A3" s="6" t="s">
        <v>151</v>
      </c>
    </row>
    <row r="5" spans="1:2">
      <c r="A5" s="447"/>
      <c r="B5" s="447"/>
    </row>
    <row r="7" spans="1:2">
      <c r="A7" s="7" t="s">
        <v>73</v>
      </c>
      <c r="B7" s="22">
        <f>SUM(B8:B12)</f>
        <v>0</v>
      </c>
    </row>
    <row r="8" spans="1:2">
      <c r="A8" s="23" t="s">
        <v>160</v>
      </c>
      <c r="B8" s="1">
        <v>0</v>
      </c>
    </row>
    <row r="9" spans="1:2">
      <c r="A9" s="23" t="s">
        <v>160</v>
      </c>
      <c r="B9" s="1">
        <v>0</v>
      </c>
    </row>
    <row r="10" spans="1:2">
      <c r="A10" s="23" t="s">
        <v>160</v>
      </c>
      <c r="B10" s="1">
        <v>0</v>
      </c>
    </row>
    <row r="11" spans="1:2">
      <c r="A11" s="23" t="s">
        <v>160</v>
      </c>
      <c r="B11" s="1">
        <v>0</v>
      </c>
    </row>
    <row r="12" spans="1:2">
      <c r="A12" s="23" t="s">
        <v>160</v>
      </c>
      <c r="B12" s="1">
        <v>0</v>
      </c>
    </row>
  </sheetData>
  <mergeCells count="3">
    <mergeCell ref="A1:B1"/>
    <mergeCell ref="A2:B2"/>
    <mergeCell ref="A5:B5"/>
  </mergeCells>
  <hyperlinks>
    <hyperlink ref="A3" location="'Fund Balance Summary'!A1" display="(Return to Summary Sheet)"/>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8"/>
  <sheetViews>
    <sheetView workbookViewId="0">
      <selection sqref="A1:E1"/>
    </sheetView>
  </sheetViews>
  <sheetFormatPr defaultRowHeight="15"/>
  <cols>
    <col min="1" max="1" width="25.5703125" bestFit="1" customWidth="1"/>
    <col min="2" max="2" width="12.85546875" bestFit="1" customWidth="1"/>
    <col min="3" max="5" width="12.5703125" bestFit="1" customWidth="1"/>
  </cols>
  <sheetData>
    <row r="1" spans="1:5">
      <c r="A1" s="415" t="s">
        <v>161</v>
      </c>
      <c r="B1" s="415"/>
      <c r="C1" s="415"/>
      <c r="D1" s="415"/>
      <c r="E1" s="415"/>
    </row>
    <row r="2" spans="1:5">
      <c r="A2" s="415" t="s">
        <v>1175</v>
      </c>
      <c r="B2" s="415"/>
      <c r="C2" s="415"/>
      <c r="D2" s="415"/>
      <c r="E2" s="415"/>
    </row>
    <row r="3" spans="1:5">
      <c r="A3" s="6" t="s">
        <v>151</v>
      </c>
    </row>
    <row r="5" spans="1:5">
      <c r="A5" s="448"/>
      <c r="B5" s="448"/>
      <c r="C5" s="448"/>
      <c r="D5" s="448"/>
      <c r="E5" s="448"/>
    </row>
    <row r="7" spans="1:5">
      <c r="B7" t="s">
        <v>52</v>
      </c>
      <c r="C7" t="s">
        <v>6</v>
      </c>
      <c r="D7" t="s">
        <v>4</v>
      </c>
      <c r="E7" t="s">
        <v>7</v>
      </c>
    </row>
    <row r="8" spans="1:5">
      <c r="A8" t="s">
        <v>73</v>
      </c>
      <c r="B8" s="2">
        <f>SUM(B9:B28)</f>
        <v>0</v>
      </c>
      <c r="C8" s="2">
        <f>SUM(C9:C28)</f>
        <v>0</v>
      </c>
      <c r="D8" s="2">
        <f>SUM(D9:D28)</f>
        <v>0</v>
      </c>
      <c r="E8" s="2">
        <f>SUM(E9:E28)</f>
        <v>0</v>
      </c>
    </row>
    <row r="9" spans="1:5">
      <c r="A9" s="23" t="s">
        <v>162</v>
      </c>
      <c r="B9" s="1">
        <v>0</v>
      </c>
      <c r="C9" s="1">
        <v>0</v>
      </c>
      <c r="D9" s="1">
        <v>0</v>
      </c>
      <c r="E9" s="1">
        <v>0</v>
      </c>
    </row>
    <row r="10" spans="1:5">
      <c r="A10" s="23" t="s">
        <v>162</v>
      </c>
      <c r="B10" s="1">
        <v>0</v>
      </c>
      <c r="C10" s="1">
        <v>0</v>
      </c>
      <c r="D10" s="1">
        <v>0</v>
      </c>
      <c r="E10" s="1">
        <v>0</v>
      </c>
    </row>
    <row r="11" spans="1:5">
      <c r="A11" s="23" t="s">
        <v>162</v>
      </c>
      <c r="B11" s="1">
        <v>0</v>
      </c>
      <c r="C11" s="1">
        <v>0</v>
      </c>
      <c r="D11" s="1">
        <v>0</v>
      </c>
      <c r="E11" s="1">
        <v>0</v>
      </c>
    </row>
    <row r="12" spans="1:5">
      <c r="A12" s="23" t="s">
        <v>162</v>
      </c>
      <c r="B12" s="1">
        <v>0</v>
      </c>
      <c r="C12" s="1">
        <v>0</v>
      </c>
      <c r="D12" s="1">
        <v>0</v>
      </c>
      <c r="E12" s="1">
        <v>0</v>
      </c>
    </row>
    <row r="13" spans="1:5">
      <c r="A13" s="23" t="s">
        <v>162</v>
      </c>
      <c r="B13" s="1">
        <v>0</v>
      </c>
      <c r="C13" s="1">
        <v>0</v>
      </c>
      <c r="D13" s="1">
        <v>0</v>
      </c>
      <c r="E13" s="1">
        <v>0</v>
      </c>
    </row>
    <row r="14" spans="1:5">
      <c r="A14" s="23" t="s">
        <v>162</v>
      </c>
      <c r="B14" s="1">
        <v>0</v>
      </c>
      <c r="C14" s="1">
        <v>0</v>
      </c>
      <c r="D14" s="1">
        <v>0</v>
      </c>
      <c r="E14" s="1">
        <v>0</v>
      </c>
    </row>
    <row r="15" spans="1:5">
      <c r="A15" s="23" t="s">
        <v>162</v>
      </c>
      <c r="B15" s="1">
        <v>0</v>
      </c>
      <c r="C15" s="1">
        <v>0</v>
      </c>
      <c r="D15" s="1">
        <v>0</v>
      </c>
      <c r="E15" s="1">
        <v>0</v>
      </c>
    </row>
    <row r="16" spans="1:5">
      <c r="A16" s="23" t="s">
        <v>162</v>
      </c>
      <c r="B16" s="1">
        <v>0</v>
      </c>
      <c r="C16" s="1">
        <v>0</v>
      </c>
      <c r="D16" s="1">
        <v>0</v>
      </c>
      <c r="E16" s="1">
        <v>0</v>
      </c>
    </row>
    <row r="17" spans="1:5">
      <c r="A17" s="23" t="s">
        <v>162</v>
      </c>
      <c r="B17" s="1">
        <v>0</v>
      </c>
      <c r="C17" s="1">
        <v>0</v>
      </c>
      <c r="D17" s="1">
        <v>0</v>
      </c>
      <c r="E17" s="1">
        <v>0</v>
      </c>
    </row>
    <row r="18" spans="1:5">
      <c r="A18" s="23" t="s">
        <v>162</v>
      </c>
      <c r="B18" s="1">
        <v>0</v>
      </c>
      <c r="C18" s="1">
        <v>0</v>
      </c>
      <c r="D18" s="1">
        <v>0</v>
      </c>
      <c r="E18" s="1">
        <v>0</v>
      </c>
    </row>
    <row r="19" spans="1:5">
      <c r="A19" s="23" t="s">
        <v>162</v>
      </c>
      <c r="B19" s="1">
        <v>0</v>
      </c>
      <c r="C19" s="1">
        <v>0</v>
      </c>
      <c r="D19" s="1">
        <v>0</v>
      </c>
      <c r="E19" s="1">
        <v>0</v>
      </c>
    </row>
    <row r="20" spans="1:5">
      <c r="A20" s="23" t="s">
        <v>162</v>
      </c>
      <c r="B20" s="1">
        <v>0</v>
      </c>
      <c r="C20" s="1">
        <v>0</v>
      </c>
      <c r="D20" s="1">
        <v>0</v>
      </c>
      <c r="E20" s="1">
        <v>0</v>
      </c>
    </row>
    <row r="21" spans="1:5">
      <c r="A21" s="23" t="s">
        <v>162</v>
      </c>
      <c r="B21" s="1">
        <v>0</v>
      </c>
      <c r="C21" s="1">
        <v>0</v>
      </c>
      <c r="D21" s="1">
        <v>0</v>
      </c>
      <c r="E21" s="1">
        <v>0</v>
      </c>
    </row>
    <row r="22" spans="1:5">
      <c r="A22" s="23" t="s">
        <v>162</v>
      </c>
      <c r="B22" s="1">
        <v>0</v>
      </c>
      <c r="C22" s="1">
        <v>0</v>
      </c>
      <c r="D22" s="1">
        <v>0</v>
      </c>
      <c r="E22" s="1">
        <v>0</v>
      </c>
    </row>
    <row r="23" spans="1:5">
      <c r="A23" s="23" t="s">
        <v>162</v>
      </c>
      <c r="B23" s="1">
        <v>0</v>
      </c>
      <c r="C23" s="1">
        <v>0</v>
      </c>
      <c r="D23" s="1">
        <v>0</v>
      </c>
      <c r="E23" s="1">
        <v>0</v>
      </c>
    </row>
    <row r="24" spans="1:5">
      <c r="A24" s="23" t="s">
        <v>162</v>
      </c>
      <c r="B24" s="1">
        <v>0</v>
      </c>
      <c r="C24" s="1">
        <v>0</v>
      </c>
      <c r="D24" s="1">
        <v>0</v>
      </c>
      <c r="E24" s="1">
        <v>0</v>
      </c>
    </row>
    <row r="25" spans="1:5">
      <c r="A25" s="23" t="s">
        <v>162</v>
      </c>
      <c r="B25" s="1">
        <v>0</v>
      </c>
      <c r="C25" s="1">
        <v>0</v>
      </c>
      <c r="D25" s="1">
        <v>0</v>
      </c>
      <c r="E25" s="1">
        <v>0</v>
      </c>
    </row>
    <row r="26" spans="1:5">
      <c r="A26" s="23" t="s">
        <v>162</v>
      </c>
      <c r="B26" s="1">
        <v>0</v>
      </c>
      <c r="C26" s="1">
        <v>0</v>
      </c>
      <c r="D26" s="1">
        <v>0</v>
      </c>
      <c r="E26" s="1">
        <v>0</v>
      </c>
    </row>
    <row r="27" spans="1:5">
      <c r="A27" s="23" t="s">
        <v>162</v>
      </c>
      <c r="B27" s="1">
        <v>0</v>
      </c>
      <c r="C27" s="1">
        <v>0</v>
      </c>
      <c r="D27" s="1">
        <v>0</v>
      </c>
      <c r="E27" s="1">
        <v>0</v>
      </c>
    </row>
    <row r="28" spans="1:5">
      <c r="A28" s="23" t="s">
        <v>162</v>
      </c>
      <c r="B28" s="1">
        <v>0</v>
      </c>
      <c r="C28" s="1">
        <v>0</v>
      </c>
      <c r="D28" s="1">
        <v>0</v>
      </c>
      <c r="E28" s="1">
        <v>0</v>
      </c>
    </row>
  </sheetData>
  <mergeCells count="3">
    <mergeCell ref="A1:E1"/>
    <mergeCell ref="A2:E2"/>
    <mergeCell ref="A5:E5"/>
  </mergeCells>
  <hyperlinks>
    <hyperlink ref="A3" location="'Fund Balance Summary'!A1" display="(Return to Summary Sheet)"/>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7"/>
  <sheetViews>
    <sheetView workbookViewId="0">
      <selection sqref="A1:B1"/>
    </sheetView>
  </sheetViews>
  <sheetFormatPr defaultRowHeight="15"/>
  <cols>
    <col min="1" max="1" width="27.85546875" bestFit="1" customWidth="1"/>
    <col min="2" max="2" width="21.85546875" customWidth="1"/>
  </cols>
  <sheetData>
    <row r="1" spans="1:2" ht="30.75" customHeight="1">
      <c r="A1" s="449" t="s">
        <v>150</v>
      </c>
      <c r="B1" s="449"/>
    </row>
    <row r="2" spans="1:2">
      <c r="A2" s="415" t="s">
        <v>103</v>
      </c>
      <c r="B2" s="415"/>
    </row>
    <row r="3" spans="1:2">
      <c r="A3" s="6" t="s">
        <v>151</v>
      </c>
    </row>
    <row r="5" spans="1:2">
      <c r="A5" t="s">
        <v>112</v>
      </c>
      <c r="B5" s="2"/>
    </row>
    <row r="6" spans="1:2">
      <c r="A6" t="s">
        <v>152</v>
      </c>
      <c r="B6" s="2">
        <v>0</v>
      </c>
    </row>
    <row r="7" spans="1:2">
      <c r="A7" t="s">
        <v>118</v>
      </c>
      <c r="B7" s="1">
        <f>+B5+B6</f>
        <v>0</v>
      </c>
    </row>
  </sheetData>
  <mergeCells count="2">
    <mergeCell ref="A1:B1"/>
    <mergeCell ref="A2:B2"/>
  </mergeCells>
  <hyperlinks>
    <hyperlink ref="A3" location="'Fund Balance Summary'!A1" display="(Return to Summary Sheet)"/>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111</v>
      </c>
      <c r="B1" s="415"/>
      <c r="C1" s="415"/>
    </row>
    <row r="2" spans="1:3">
      <c r="A2" s="415" t="s">
        <v>99</v>
      </c>
      <c r="B2" s="415"/>
      <c r="C2" s="415"/>
    </row>
    <row r="3" spans="1:3">
      <c r="A3" s="6" t="s">
        <v>40</v>
      </c>
    </row>
    <row r="5" spans="1:3">
      <c r="A5" t="s">
        <v>112</v>
      </c>
      <c r="C5" s="1">
        <v>0</v>
      </c>
    </row>
    <row r="6" spans="1:3">
      <c r="A6" t="s">
        <v>113</v>
      </c>
    </row>
    <row r="7" spans="1:3">
      <c r="A7" t="s">
        <v>114</v>
      </c>
      <c r="B7" s="1">
        <v>0</v>
      </c>
    </row>
    <row r="8" spans="1:3">
      <c r="A8" t="s">
        <v>115</v>
      </c>
      <c r="B8" s="1">
        <v>0</v>
      </c>
    </row>
    <row r="9" spans="1:3">
      <c r="A9" t="s">
        <v>116</v>
      </c>
      <c r="C9" s="2">
        <f>+B7+B8</f>
        <v>0</v>
      </c>
    </row>
    <row r="10" spans="1:3">
      <c r="A10" t="s">
        <v>117</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1213</v>
      </c>
      <c r="B1" s="415"/>
      <c r="C1" s="415"/>
    </row>
    <row r="2" spans="1:3">
      <c r="A2" s="415" t="s">
        <v>99</v>
      </c>
      <c r="B2" s="415"/>
      <c r="C2" s="415"/>
    </row>
    <row r="3" spans="1:3">
      <c r="A3" s="6" t="s">
        <v>40</v>
      </c>
    </row>
    <row r="5" spans="1:3">
      <c r="A5" t="s">
        <v>112</v>
      </c>
      <c r="C5" s="1">
        <v>0</v>
      </c>
    </row>
    <row r="6" spans="1:3">
      <c r="A6" t="s">
        <v>113</v>
      </c>
    </row>
    <row r="7" spans="1:3">
      <c r="A7" t="s">
        <v>125</v>
      </c>
      <c r="B7" s="1">
        <v>0</v>
      </c>
    </row>
    <row r="8" spans="1:3">
      <c r="A8" t="s">
        <v>126</v>
      </c>
      <c r="B8" s="1">
        <v>0</v>
      </c>
    </row>
    <row r="9" spans="1:3">
      <c r="A9" t="s">
        <v>116</v>
      </c>
      <c r="C9" s="2">
        <f>+B7+B8</f>
        <v>0</v>
      </c>
    </row>
    <row r="10" spans="1:3">
      <c r="A10" t="s">
        <v>127</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119</v>
      </c>
      <c r="B1" s="415"/>
      <c r="C1" s="415"/>
    </row>
    <row r="2" spans="1:3">
      <c r="A2" s="415" t="s">
        <v>99</v>
      </c>
      <c r="B2" s="415"/>
      <c r="C2" s="415"/>
    </row>
    <row r="3" spans="1:3">
      <c r="A3" s="6" t="s">
        <v>40</v>
      </c>
    </row>
    <row r="5" spans="1:3">
      <c r="A5" t="s">
        <v>112</v>
      </c>
      <c r="C5" s="1">
        <v>0</v>
      </c>
    </row>
    <row r="6" spans="1:3">
      <c r="A6" t="s">
        <v>113</v>
      </c>
    </row>
    <row r="7" spans="1:3">
      <c r="A7" t="s">
        <v>128</v>
      </c>
      <c r="B7" s="1">
        <v>0</v>
      </c>
    </row>
    <row r="8" spans="1:3">
      <c r="A8" t="s">
        <v>129</v>
      </c>
      <c r="B8" s="1">
        <v>0</v>
      </c>
    </row>
    <row r="9" spans="1:3">
      <c r="A9" t="s">
        <v>116</v>
      </c>
      <c r="C9" s="2">
        <f>+B7+B8</f>
        <v>0</v>
      </c>
    </row>
    <row r="10" spans="1:3">
      <c r="A10" t="s">
        <v>130</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120</v>
      </c>
      <c r="B1" s="415"/>
      <c r="C1" s="415"/>
    </row>
    <row r="2" spans="1:3">
      <c r="A2" s="415" t="s">
        <v>99</v>
      </c>
      <c r="B2" s="415"/>
      <c r="C2" s="415"/>
    </row>
    <row r="3" spans="1:3">
      <c r="A3" s="6" t="s">
        <v>40</v>
      </c>
    </row>
    <row r="5" spans="1:3">
      <c r="A5" t="s">
        <v>112</v>
      </c>
      <c r="C5" s="1">
        <v>0</v>
      </c>
    </row>
    <row r="6" spans="1:3">
      <c r="A6" t="s">
        <v>113</v>
      </c>
    </row>
    <row r="7" spans="1:3">
      <c r="A7" t="s">
        <v>131</v>
      </c>
      <c r="B7" s="1">
        <v>0</v>
      </c>
    </row>
    <row r="8" spans="1:3">
      <c r="A8" t="s">
        <v>132</v>
      </c>
      <c r="B8" s="1">
        <v>0</v>
      </c>
    </row>
    <row r="9" spans="1:3">
      <c r="A9" t="s">
        <v>116</v>
      </c>
      <c r="C9" s="2">
        <f>+B7+B8</f>
        <v>0</v>
      </c>
    </row>
    <row r="10" spans="1:3">
      <c r="A10" t="s">
        <v>133</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121</v>
      </c>
      <c r="B1" s="415"/>
      <c r="C1" s="415"/>
    </row>
    <row r="2" spans="1:3">
      <c r="A2" s="415" t="s">
        <v>99</v>
      </c>
      <c r="B2" s="415"/>
      <c r="C2" s="415"/>
    </row>
    <row r="3" spans="1:3">
      <c r="A3" s="6" t="s">
        <v>40</v>
      </c>
    </row>
    <row r="5" spans="1:3">
      <c r="A5" t="s">
        <v>112</v>
      </c>
      <c r="C5" s="1">
        <v>0</v>
      </c>
    </row>
    <row r="6" spans="1:3">
      <c r="A6" t="s">
        <v>113</v>
      </c>
    </row>
    <row r="7" spans="1:3">
      <c r="A7" t="s">
        <v>134</v>
      </c>
      <c r="B7" s="1"/>
    </row>
    <row r="8" spans="1:3">
      <c r="A8" t="s">
        <v>135</v>
      </c>
      <c r="B8" s="1">
        <v>0</v>
      </c>
    </row>
    <row r="9" spans="1:3">
      <c r="A9" t="s">
        <v>116</v>
      </c>
      <c r="C9" s="2">
        <f>+B7+B8</f>
        <v>0</v>
      </c>
    </row>
    <row r="10" spans="1:3">
      <c r="A10" t="s">
        <v>136</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122</v>
      </c>
      <c r="B1" s="415"/>
      <c r="C1" s="415"/>
    </row>
    <row r="2" spans="1:3">
      <c r="A2" s="415" t="s">
        <v>99</v>
      </c>
      <c r="B2" s="415"/>
      <c r="C2" s="415"/>
    </row>
    <row r="3" spans="1:3">
      <c r="A3" s="6" t="s">
        <v>40</v>
      </c>
    </row>
    <row r="5" spans="1:3">
      <c r="A5" t="s">
        <v>112</v>
      </c>
      <c r="C5" s="1">
        <v>0</v>
      </c>
    </row>
    <row r="6" spans="1:3">
      <c r="A6" t="s">
        <v>113</v>
      </c>
    </row>
    <row r="7" spans="1:3">
      <c r="A7" t="s">
        <v>137</v>
      </c>
      <c r="B7" s="1">
        <v>0</v>
      </c>
    </row>
    <row r="8" spans="1:3">
      <c r="A8" t="s">
        <v>138</v>
      </c>
      <c r="B8" s="1">
        <v>0</v>
      </c>
    </row>
    <row r="9" spans="1:3">
      <c r="A9" t="s">
        <v>116</v>
      </c>
      <c r="C9" s="2">
        <f>+B7+B8</f>
        <v>0</v>
      </c>
    </row>
    <row r="10" spans="1:3">
      <c r="A10" t="s">
        <v>139</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123</v>
      </c>
      <c r="B1" s="415"/>
      <c r="C1" s="415"/>
    </row>
    <row r="2" spans="1:3">
      <c r="A2" s="415" t="s">
        <v>99</v>
      </c>
      <c r="B2" s="415"/>
      <c r="C2" s="415"/>
    </row>
    <row r="3" spans="1:3">
      <c r="A3" s="6" t="s">
        <v>40</v>
      </c>
    </row>
    <row r="5" spans="1:3">
      <c r="A5" t="s">
        <v>112</v>
      </c>
      <c r="C5" s="1">
        <v>0</v>
      </c>
    </row>
    <row r="6" spans="1:3">
      <c r="A6" t="s">
        <v>113</v>
      </c>
    </row>
    <row r="7" spans="1:3">
      <c r="A7" t="s">
        <v>140</v>
      </c>
      <c r="B7" s="1">
        <v>0</v>
      </c>
    </row>
    <row r="8" spans="1:3">
      <c r="A8" t="s">
        <v>141</v>
      </c>
      <c r="B8" s="1">
        <v>0</v>
      </c>
    </row>
    <row r="9" spans="1:3">
      <c r="A9" t="s">
        <v>116</v>
      </c>
      <c r="C9" s="2">
        <f>+B7+B8</f>
        <v>0</v>
      </c>
    </row>
    <row r="10" spans="1:3">
      <c r="A10" t="s">
        <v>142</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1"/>
  <sheetViews>
    <sheetView workbookViewId="0">
      <selection sqref="A1:C1"/>
    </sheetView>
  </sheetViews>
  <sheetFormatPr defaultRowHeight="15"/>
  <cols>
    <col min="1" max="1" width="35.28515625" bestFit="1" customWidth="1"/>
    <col min="2" max="2" width="14.28515625" style="2" bestFit="1" customWidth="1"/>
    <col min="3" max="3" width="15.28515625" style="2" bestFit="1" customWidth="1"/>
  </cols>
  <sheetData>
    <row r="1" spans="1:3">
      <c r="A1" s="415" t="s">
        <v>124</v>
      </c>
      <c r="B1" s="415"/>
      <c r="C1" s="415"/>
    </row>
    <row r="2" spans="1:3">
      <c r="A2" s="415" t="s">
        <v>99</v>
      </c>
      <c r="B2" s="415"/>
      <c r="C2" s="415"/>
    </row>
    <row r="3" spans="1:3">
      <c r="A3" s="6" t="s">
        <v>40</v>
      </c>
    </row>
    <row r="5" spans="1:3">
      <c r="A5" t="s">
        <v>112</v>
      </c>
      <c r="C5" s="1">
        <v>0</v>
      </c>
    </row>
    <row r="6" spans="1:3">
      <c r="A6" t="s">
        <v>113</v>
      </c>
    </row>
    <row r="7" spans="1:3">
      <c r="A7" t="s">
        <v>143</v>
      </c>
      <c r="B7" s="1">
        <v>0</v>
      </c>
    </row>
    <row r="8" spans="1:3">
      <c r="A8" t="s">
        <v>144</v>
      </c>
      <c r="B8" s="1">
        <v>0</v>
      </c>
    </row>
    <row r="9" spans="1:3">
      <c r="A9" t="s">
        <v>116</v>
      </c>
      <c r="C9" s="2">
        <f>+B7+B8</f>
        <v>0</v>
      </c>
    </row>
    <row r="10" spans="1:3">
      <c r="A10" t="s">
        <v>145</v>
      </c>
      <c r="C10" s="1">
        <v>0</v>
      </c>
    </row>
    <row r="11" spans="1:3" ht="17.25">
      <c r="A11" t="s">
        <v>118</v>
      </c>
      <c r="C11" s="9">
        <f>+C5+C9-C10</f>
        <v>0</v>
      </c>
    </row>
  </sheetData>
  <mergeCells count="2">
    <mergeCell ref="A1:C1"/>
    <mergeCell ref="A2:C2"/>
  </mergeCells>
  <hyperlinks>
    <hyperlink ref="A3" location="'Fund Balance Summary'!A1" display="(Return to summary sheet)"/>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6"/>
  <sheetViews>
    <sheetView workbookViewId="0">
      <selection sqref="A1:G1"/>
    </sheetView>
  </sheetViews>
  <sheetFormatPr defaultRowHeight="15"/>
  <cols>
    <col min="1" max="1" width="31.42578125" bestFit="1" customWidth="1"/>
    <col min="2" max="2" width="18" customWidth="1"/>
    <col min="3" max="3" width="14.85546875" bestFit="1" customWidth="1"/>
    <col min="4" max="4" width="13.140625" bestFit="1" customWidth="1"/>
    <col min="5" max="5" width="15.42578125" customWidth="1"/>
    <col min="6" max="6" width="10.85546875" bestFit="1" customWidth="1"/>
    <col min="7" max="7" width="14.140625" bestFit="1" customWidth="1"/>
  </cols>
  <sheetData>
    <row r="1" spans="1:7">
      <c r="A1" s="415" t="s">
        <v>146</v>
      </c>
      <c r="B1" s="415"/>
      <c r="C1" s="415"/>
      <c r="D1" s="415"/>
      <c r="E1" s="415"/>
      <c r="F1" s="415"/>
      <c r="G1" s="415"/>
    </row>
    <row r="2" spans="1:7">
      <c r="A2" s="415" t="s">
        <v>147</v>
      </c>
      <c r="B2" s="415"/>
      <c r="C2" s="415"/>
      <c r="D2" s="415"/>
      <c r="E2" s="415"/>
      <c r="F2" s="415"/>
      <c r="G2" s="415"/>
    </row>
    <row r="3" spans="1:7">
      <c r="A3" s="6" t="s">
        <v>40</v>
      </c>
    </row>
    <row r="5" spans="1:7" ht="31.5" customHeight="1">
      <c r="B5" s="282" t="s">
        <v>52</v>
      </c>
      <c r="C5" s="282" t="s">
        <v>148</v>
      </c>
      <c r="D5" s="282" t="s">
        <v>809</v>
      </c>
      <c r="E5" s="282" t="s">
        <v>96</v>
      </c>
      <c r="F5" s="282" t="s">
        <v>103</v>
      </c>
      <c r="G5" s="282" t="s">
        <v>149</v>
      </c>
    </row>
    <row r="6" spans="1:7">
      <c r="A6" s="23" t="s">
        <v>73</v>
      </c>
      <c r="B6" s="20">
        <f t="shared" ref="B6:G6" si="0">SUM(B7:B100)</f>
        <v>0</v>
      </c>
      <c r="C6" s="20">
        <f t="shared" si="0"/>
        <v>0</v>
      </c>
      <c r="D6" s="20">
        <f t="shared" si="0"/>
        <v>0</v>
      </c>
      <c r="E6" s="20">
        <f t="shared" si="0"/>
        <v>0</v>
      </c>
      <c r="F6" s="20">
        <f t="shared" si="0"/>
        <v>0</v>
      </c>
      <c r="G6" s="20">
        <f t="shared" si="0"/>
        <v>0</v>
      </c>
    </row>
    <row r="7" spans="1:7">
      <c r="A7" s="295" t="s">
        <v>808</v>
      </c>
      <c r="B7" s="289">
        <v>0</v>
      </c>
      <c r="C7" s="289">
        <v>0</v>
      </c>
      <c r="D7" s="289">
        <v>0</v>
      </c>
      <c r="E7" s="289">
        <v>0</v>
      </c>
      <c r="F7" s="289">
        <v>0</v>
      </c>
      <c r="G7" s="289">
        <v>0</v>
      </c>
    </row>
    <row r="8" spans="1:7">
      <c r="A8" s="295" t="s">
        <v>808</v>
      </c>
      <c r="B8" s="289">
        <v>0</v>
      </c>
      <c r="C8" s="289">
        <v>0</v>
      </c>
      <c r="D8" s="289">
        <v>0</v>
      </c>
      <c r="E8" s="289">
        <v>0</v>
      </c>
      <c r="F8" s="289">
        <v>0</v>
      </c>
      <c r="G8" s="289">
        <v>0</v>
      </c>
    </row>
    <row r="9" spans="1:7">
      <c r="A9" s="295" t="s">
        <v>808</v>
      </c>
      <c r="B9" s="289">
        <v>0</v>
      </c>
      <c r="C9" s="289">
        <v>0</v>
      </c>
      <c r="D9" s="289">
        <v>0</v>
      </c>
      <c r="E9" s="289">
        <v>0</v>
      </c>
      <c r="F9" s="289">
        <v>0</v>
      </c>
      <c r="G9" s="289">
        <v>0</v>
      </c>
    </row>
    <row r="10" spans="1:7">
      <c r="A10" s="295" t="s">
        <v>808</v>
      </c>
      <c r="B10" s="289">
        <v>0</v>
      </c>
      <c r="C10" s="289">
        <v>0</v>
      </c>
      <c r="D10" s="289">
        <v>0</v>
      </c>
      <c r="E10" s="289">
        <v>0</v>
      </c>
      <c r="F10" s="289">
        <v>0</v>
      </c>
      <c r="G10" s="289">
        <v>0</v>
      </c>
    </row>
    <row r="11" spans="1:7">
      <c r="A11" s="295" t="s">
        <v>808</v>
      </c>
      <c r="B11" s="289">
        <v>0</v>
      </c>
      <c r="C11" s="289">
        <v>0</v>
      </c>
      <c r="D11" s="289">
        <v>0</v>
      </c>
      <c r="E11" s="289">
        <v>0</v>
      </c>
      <c r="F11" s="289">
        <v>0</v>
      </c>
      <c r="G11" s="289">
        <v>0</v>
      </c>
    </row>
    <row r="12" spans="1:7">
      <c r="A12" s="295" t="s">
        <v>808</v>
      </c>
      <c r="B12" s="289">
        <v>0</v>
      </c>
      <c r="C12" s="289">
        <v>0</v>
      </c>
      <c r="D12" s="289">
        <v>0</v>
      </c>
      <c r="E12" s="289">
        <v>0</v>
      </c>
      <c r="F12" s="289">
        <v>0</v>
      </c>
      <c r="G12" s="289">
        <v>0</v>
      </c>
    </row>
    <row r="13" spans="1:7">
      <c r="A13" s="295" t="s">
        <v>808</v>
      </c>
      <c r="B13" s="289">
        <v>0</v>
      </c>
      <c r="C13" s="289">
        <v>0</v>
      </c>
      <c r="D13" s="289">
        <v>0</v>
      </c>
      <c r="E13" s="289">
        <v>0</v>
      </c>
      <c r="F13" s="289">
        <v>0</v>
      </c>
      <c r="G13" s="289">
        <v>0</v>
      </c>
    </row>
    <row r="14" spans="1:7">
      <c r="A14" s="295" t="s">
        <v>808</v>
      </c>
      <c r="B14" s="289">
        <v>0</v>
      </c>
      <c r="C14" s="289">
        <v>0</v>
      </c>
      <c r="D14" s="289">
        <v>0</v>
      </c>
      <c r="E14" s="289">
        <v>0</v>
      </c>
      <c r="F14" s="289">
        <v>0</v>
      </c>
      <c r="G14" s="289">
        <v>0</v>
      </c>
    </row>
    <row r="15" spans="1:7">
      <c r="A15" s="295" t="s">
        <v>808</v>
      </c>
      <c r="B15" s="289">
        <v>0</v>
      </c>
      <c r="C15" s="289">
        <v>0</v>
      </c>
      <c r="D15" s="289">
        <v>0</v>
      </c>
      <c r="E15" s="289">
        <v>0</v>
      </c>
      <c r="F15" s="289">
        <v>0</v>
      </c>
      <c r="G15" s="289">
        <v>0</v>
      </c>
    </row>
    <row r="16" spans="1:7">
      <c r="A16" s="295" t="s">
        <v>808</v>
      </c>
      <c r="B16" s="289">
        <v>0</v>
      </c>
      <c r="C16" s="289">
        <v>0</v>
      </c>
      <c r="D16" s="289">
        <v>0</v>
      </c>
      <c r="E16" s="289">
        <v>0</v>
      </c>
      <c r="F16" s="289">
        <v>0</v>
      </c>
      <c r="G16" s="289">
        <v>0</v>
      </c>
    </row>
    <row r="17" spans="1:7">
      <c r="A17" s="295" t="s">
        <v>808</v>
      </c>
      <c r="B17" s="289">
        <v>0</v>
      </c>
      <c r="C17" s="289">
        <v>0</v>
      </c>
      <c r="D17" s="289">
        <v>0</v>
      </c>
      <c r="E17" s="289">
        <v>0</v>
      </c>
      <c r="F17" s="289">
        <v>0</v>
      </c>
      <c r="G17" s="289">
        <v>0</v>
      </c>
    </row>
    <row r="18" spans="1:7">
      <c r="A18" s="295" t="s">
        <v>808</v>
      </c>
      <c r="B18" s="289">
        <v>0</v>
      </c>
      <c r="C18" s="289">
        <v>0</v>
      </c>
      <c r="D18" s="289">
        <v>0</v>
      </c>
      <c r="E18" s="289">
        <v>0</v>
      </c>
      <c r="F18" s="289">
        <v>0</v>
      </c>
      <c r="G18" s="289">
        <v>0</v>
      </c>
    </row>
    <row r="19" spans="1:7">
      <c r="A19" s="295" t="s">
        <v>808</v>
      </c>
      <c r="B19" s="289">
        <v>0</v>
      </c>
      <c r="C19" s="289">
        <v>0</v>
      </c>
      <c r="D19" s="289">
        <v>0</v>
      </c>
      <c r="E19" s="289">
        <v>0</v>
      </c>
      <c r="F19" s="289">
        <v>0</v>
      </c>
      <c r="G19" s="289">
        <v>0</v>
      </c>
    </row>
    <row r="20" spans="1:7">
      <c r="A20" s="295" t="s">
        <v>808</v>
      </c>
      <c r="B20" s="289">
        <v>0</v>
      </c>
      <c r="C20" s="289">
        <v>0</v>
      </c>
      <c r="D20" s="289">
        <v>0</v>
      </c>
      <c r="E20" s="289">
        <v>0</v>
      </c>
      <c r="F20" s="289">
        <v>0</v>
      </c>
      <c r="G20" s="289">
        <v>0</v>
      </c>
    </row>
    <row r="21" spans="1:7">
      <c r="A21" s="295" t="s">
        <v>808</v>
      </c>
      <c r="B21" s="289">
        <v>0</v>
      </c>
      <c r="C21" s="289">
        <v>0</v>
      </c>
      <c r="D21" s="289">
        <v>0</v>
      </c>
      <c r="E21" s="289">
        <v>0</v>
      </c>
      <c r="F21" s="289">
        <v>0</v>
      </c>
      <c r="G21" s="289">
        <v>0</v>
      </c>
    </row>
    <row r="22" spans="1:7">
      <c r="A22" s="295" t="s">
        <v>808</v>
      </c>
      <c r="B22" s="289">
        <v>0</v>
      </c>
      <c r="C22" s="289">
        <v>0</v>
      </c>
      <c r="D22" s="289">
        <v>0</v>
      </c>
      <c r="E22" s="289">
        <v>0</v>
      </c>
      <c r="F22" s="289">
        <v>0</v>
      </c>
      <c r="G22" s="289">
        <v>0</v>
      </c>
    </row>
    <row r="23" spans="1:7">
      <c r="A23" s="295" t="s">
        <v>808</v>
      </c>
      <c r="B23" s="289">
        <v>0</v>
      </c>
      <c r="C23" s="289">
        <v>0</v>
      </c>
      <c r="D23" s="289">
        <v>0</v>
      </c>
      <c r="E23" s="289">
        <v>0</v>
      </c>
      <c r="F23" s="289">
        <v>0</v>
      </c>
      <c r="G23" s="289">
        <v>0</v>
      </c>
    </row>
    <row r="24" spans="1:7">
      <c r="A24" s="295" t="s">
        <v>808</v>
      </c>
      <c r="B24" s="289">
        <v>0</v>
      </c>
      <c r="C24" s="289">
        <v>0</v>
      </c>
      <c r="D24" s="289">
        <v>0</v>
      </c>
      <c r="E24" s="289">
        <v>0</v>
      </c>
      <c r="F24" s="289">
        <v>0</v>
      </c>
      <c r="G24" s="289">
        <v>0</v>
      </c>
    </row>
    <row r="25" spans="1:7">
      <c r="A25" s="295" t="s">
        <v>808</v>
      </c>
      <c r="B25" s="289">
        <v>0</v>
      </c>
      <c r="C25" s="289">
        <v>0</v>
      </c>
      <c r="D25" s="289">
        <v>0</v>
      </c>
      <c r="E25" s="289">
        <v>0</v>
      </c>
      <c r="F25" s="289">
        <v>0</v>
      </c>
      <c r="G25" s="289">
        <v>0</v>
      </c>
    </row>
    <row r="26" spans="1:7">
      <c r="A26" s="295" t="s">
        <v>808</v>
      </c>
      <c r="B26" s="289">
        <v>0</v>
      </c>
      <c r="C26" s="289">
        <v>0</v>
      </c>
      <c r="D26" s="289">
        <v>0</v>
      </c>
      <c r="E26" s="289">
        <v>0</v>
      </c>
      <c r="F26" s="289">
        <v>0</v>
      </c>
      <c r="G26" s="289">
        <v>0</v>
      </c>
    </row>
  </sheetData>
  <mergeCells count="2">
    <mergeCell ref="A1:G1"/>
    <mergeCell ref="A2:G2"/>
  </mergeCells>
  <hyperlinks>
    <hyperlink ref="A3" location="'Fund Balance Summary'!A1" display="(Return to summary sheet)"/>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9F54D"/>
  </sheetPr>
  <dimension ref="A1:B25"/>
  <sheetViews>
    <sheetView workbookViewId="0">
      <selection sqref="A1:B1"/>
    </sheetView>
  </sheetViews>
  <sheetFormatPr defaultRowHeight="15"/>
  <cols>
    <col min="1" max="1" width="41.28515625" customWidth="1"/>
    <col min="2" max="2" width="33.7109375" customWidth="1"/>
  </cols>
  <sheetData>
    <row r="1" spans="1:2">
      <c r="A1" s="450" t="s">
        <v>1645</v>
      </c>
      <c r="B1" s="450"/>
    </row>
    <row r="2" spans="1:2">
      <c r="A2" s="415" t="s">
        <v>52</v>
      </c>
      <c r="B2" s="415"/>
    </row>
    <row r="3" spans="1:2">
      <c r="A3" s="6" t="s">
        <v>40</v>
      </c>
    </row>
    <row r="4" spans="1:2">
      <c r="A4" s="80"/>
      <c r="B4" s="7" t="s">
        <v>52</v>
      </c>
    </row>
    <row r="5" spans="1:2">
      <c r="A5" s="23" t="s">
        <v>1247</v>
      </c>
      <c r="B5" s="20">
        <f t="shared" ref="B5" si="0">SUM(B6:B99)</f>
        <v>0</v>
      </c>
    </row>
    <row r="6" spans="1:2">
      <c r="A6" s="295" t="s">
        <v>808</v>
      </c>
      <c r="B6" s="289">
        <v>0</v>
      </c>
    </row>
    <row r="7" spans="1:2">
      <c r="A7" s="295" t="s">
        <v>808</v>
      </c>
      <c r="B7" s="289">
        <v>0</v>
      </c>
    </row>
    <row r="8" spans="1:2">
      <c r="A8" s="295" t="s">
        <v>808</v>
      </c>
      <c r="B8" s="289">
        <v>0</v>
      </c>
    </row>
    <row r="9" spans="1:2">
      <c r="A9" s="295" t="s">
        <v>808</v>
      </c>
      <c r="B9" s="289">
        <v>0</v>
      </c>
    </row>
    <row r="10" spans="1:2">
      <c r="A10" s="295" t="s">
        <v>808</v>
      </c>
      <c r="B10" s="289">
        <v>0</v>
      </c>
    </row>
    <row r="11" spans="1:2">
      <c r="A11" s="295" t="s">
        <v>808</v>
      </c>
      <c r="B11" s="289">
        <v>0</v>
      </c>
    </row>
    <row r="12" spans="1:2">
      <c r="A12" s="295" t="s">
        <v>808</v>
      </c>
      <c r="B12" s="289">
        <v>0</v>
      </c>
    </row>
    <row r="13" spans="1:2">
      <c r="A13" s="295" t="s">
        <v>808</v>
      </c>
      <c r="B13" s="289">
        <v>0</v>
      </c>
    </row>
    <row r="14" spans="1:2">
      <c r="A14" s="295" t="s">
        <v>808</v>
      </c>
      <c r="B14" s="289">
        <v>0</v>
      </c>
    </row>
    <row r="15" spans="1:2">
      <c r="A15" s="295" t="s">
        <v>808</v>
      </c>
      <c r="B15" s="289">
        <v>0</v>
      </c>
    </row>
    <row r="16" spans="1:2">
      <c r="A16" s="295" t="s">
        <v>808</v>
      </c>
      <c r="B16" s="289">
        <v>0</v>
      </c>
    </row>
    <row r="17" spans="1:2">
      <c r="A17" s="295" t="s">
        <v>808</v>
      </c>
      <c r="B17" s="289">
        <v>0</v>
      </c>
    </row>
    <row r="18" spans="1:2">
      <c r="A18" s="295" t="s">
        <v>808</v>
      </c>
      <c r="B18" s="289">
        <v>0</v>
      </c>
    </row>
    <row r="19" spans="1:2">
      <c r="A19" s="295" t="s">
        <v>808</v>
      </c>
      <c r="B19" s="289">
        <v>0</v>
      </c>
    </row>
    <row r="20" spans="1:2">
      <c r="A20" s="295" t="s">
        <v>808</v>
      </c>
      <c r="B20" s="289">
        <v>0</v>
      </c>
    </row>
    <row r="21" spans="1:2">
      <c r="A21" s="295" t="s">
        <v>808</v>
      </c>
      <c r="B21" s="289">
        <v>0</v>
      </c>
    </row>
    <row r="22" spans="1:2">
      <c r="A22" s="295" t="s">
        <v>808</v>
      </c>
      <c r="B22" s="289">
        <v>0</v>
      </c>
    </row>
    <row r="23" spans="1:2">
      <c r="A23" s="295" t="s">
        <v>808</v>
      </c>
      <c r="B23" s="289">
        <v>0</v>
      </c>
    </row>
    <row r="24" spans="1:2">
      <c r="A24" s="295" t="s">
        <v>808</v>
      </c>
      <c r="B24" s="289">
        <v>0</v>
      </c>
    </row>
    <row r="25" spans="1:2">
      <c r="A25" s="295" t="s">
        <v>808</v>
      </c>
      <c r="B25" s="289">
        <v>0</v>
      </c>
    </row>
  </sheetData>
  <mergeCells count="2">
    <mergeCell ref="A1:B1"/>
    <mergeCell ref="A2:B2"/>
  </mergeCells>
  <hyperlinks>
    <hyperlink ref="A3" location="'Fund Balance Summary'!A1" display="(Return to summary sheet)"/>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1"/>
  <sheetViews>
    <sheetView workbookViewId="0">
      <selection activeCell="B5" sqref="B5"/>
    </sheetView>
  </sheetViews>
  <sheetFormatPr defaultRowHeight="15"/>
  <cols>
    <col min="1" max="1" width="31.5703125" bestFit="1" customWidth="1"/>
    <col min="2" max="2" width="20.42578125" customWidth="1"/>
  </cols>
  <sheetData>
    <row r="1" spans="1:2">
      <c r="A1" s="415" t="s">
        <v>153</v>
      </c>
      <c r="B1" s="415"/>
    </row>
    <row r="2" spans="1:2">
      <c r="A2" s="451" t="s">
        <v>52</v>
      </c>
      <c r="B2" s="451"/>
    </row>
    <row r="3" spans="1:2">
      <c r="A3" s="6" t="s">
        <v>151</v>
      </c>
    </row>
    <row r="5" spans="1:2">
      <c r="B5" s="294" t="s">
        <v>52</v>
      </c>
    </row>
    <row r="6" spans="1:2">
      <c r="A6" s="292" t="s">
        <v>73</v>
      </c>
      <c r="B6" s="293">
        <f>SUM(B7:B11)</f>
        <v>0</v>
      </c>
    </row>
    <row r="7" spans="1:2">
      <c r="A7" s="291" t="s">
        <v>154</v>
      </c>
      <c r="B7" s="289">
        <v>0</v>
      </c>
    </row>
    <row r="8" spans="1:2">
      <c r="A8" s="291" t="s">
        <v>154</v>
      </c>
      <c r="B8" s="289">
        <v>0</v>
      </c>
    </row>
    <row r="9" spans="1:2">
      <c r="A9" s="291" t="s">
        <v>154</v>
      </c>
      <c r="B9" s="289">
        <v>0</v>
      </c>
    </row>
    <row r="10" spans="1:2">
      <c r="A10" s="291" t="s">
        <v>154</v>
      </c>
      <c r="B10" s="289">
        <v>0</v>
      </c>
    </row>
    <row r="11" spans="1:2">
      <c r="A11" s="291" t="s">
        <v>154</v>
      </c>
      <c r="B11" s="289">
        <v>0</v>
      </c>
    </row>
  </sheetData>
  <mergeCells count="2">
    <mergeCell ref="A1:B1"/>
    <mergeCell ref="A2:B2"/>
  </mergeCells>
  <hyperlinks>
    <hyperlink ref="A3" location="'Fund Balance Summary'!A1" display="(Return to Summary Sheet)"/>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sqref="A1:B1"/>
    </sheetView>
  </sheetViews>
  <sheetFormatPr defaultRowHeight="15"/>
  <cols>
    <col min="1" max="1" width="33.42578125" bestFit="1" customWidth="1"/>
    <col min="2" max="2" width="27.7109375" customWidth="1"/>
  </cols>
  <sheetData>
    <row r="1" spans="1:2">
      <c r="A1" s="415" t="s">
        <v>155</v>
      </c>
      <c r="B1" s="415"/>
    </row>
    <row r="2" spans="1:2">
      <c r="A2" s="451" t="s">
        <v>52</v>
      </c>
      <c r="B2" s="451"/>
    </row>
    <row r="3" spans="1:2">
      <c r="A3" s="6" t="s">
        <v>151</v>
      </c>
    </row>
    <row r="5" spans="1:2">
      <c r="A5" s="23" t="s">
        <v>73</v>
      </c>
      <c r="B5" s="20">
        <f>SUM(B6:B15)</f>
        <v>0</v>
      </c>
    </row>
    <row r="6" spans="1:2">
      <c r="A6" s="291" t="s">
        <v>156</v>
      </c>
      <c r="B6" s="289">
        <v>0</v>
      </c>
    </row>
    <row r="7" spans="1:2">
      <c r="A7" s="291" t="s">
        <v>156</v>
      </c>
      <c r="B7" s="289">
        <v>0</v>
      </c>
    </row>
    <row r="8" spans="1:2">
      <c r="A8" s="291" t="s">
        <v>156</v>
      </c>
      <c r="B8" s="289">
        <v>0</v>
      </c>
    </row>
    <row r="9" spans="1:2">
      <c r="A9" s="291" t="s">
        <v>156</v>
      </c>
      <c r="B9" s="289">
        <v>0</v>
      </c>
    </row>
    <row r="10" spans="1:2">
      <c r="A10" s="291" t="s">
        <v>156</v>
      </c>
      <c r="B10" s="289">
        <v>0</v>
      </c>
    </row>
    <row r="11" spans="1:2">
      <c r="A11" s="291" t="s">
        <v>156</v>
      </c>
      <c r="B11" s="289">
        <v>0</v>
      </c>
    </row>
    <row r="12" spans="1:2">
      <c r="A12" s="291" t="s">
        <v>156</v>
      </c>
      <c r="B12" s="289">
        <v>0</v>
      </c>
    </row>
    <row r="13" spans="1:2">
      <c r="A13" s="291" t="s">
        <v>156</v>
      </c>
      <c r="B13" s="289">
        <v>0</v>
      </c>
    </row>
    <row r="14" spans="1:2">
      <c r="A14" s="291" t="s">
        <v>156</v>
      </c>
      <c r="B14" s="289">
        <v>0</v>
      </c>
    </row>
    <row r="15" spans="1:2">
      <c r="A15" s="291" t="s">
        <v>156</v>
      </c>
      <c r="B15" s="289">
        <v>0</v>
      </c>
    </row>
  </sheetData>
  <mergeCells count="2">
    <mergeCell ref="A1:B1"/>
    <mergeCell ref="A2:B2"/>
  </mergeCells>
  <hyperlinks>
    <hyperlink ref="A3" location="'Fund Balance Summary'!A1" display="(Return to Summary Sheet)"/>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5"/>
  <sheetViews>
    <sheetView workbookViewId="0">
      <selection sqref="A1:B1"/>
    </sheetView>
  </sheetViews>
  <sheetFormatPr defaultRowHeight="15"/>
  <cols>
    <col min="1" max="1" width="46.28515625" bestFit="1" customWidth="1"/>
    <col min="2" max="2" width="31.28515625" customWidth="1"/>
  </cols>
  <sheetData>
    <row r="1" spans="1:2">
      <c r="A1" s="415" t="s">
        <v>157</v>
      </c>
      <c r="B1" s="415"/>
    </row>
    <row r="2" spans="1:2">
      <c r="A2" s="451" t="s">
        <v>52</v>
      </c>
      <c r="B2" s="451"/>
    </row>
    <row r="3" spans="1:2">
      <c r="A3" s="6" t="s">
        <v>151</v>
      </c>
    </row>
    <row r="5" spans="1:2">
      <c r="A5" s="23" t="s">
        <v>73</v>
      </c>
      <c r="B5" s="20">
        <f>SUM(B6:B25)</f>
        <v>0</v>
      </c>
    </row>
    <row r="6" spans="1:2">
      <c r="A6" s="291" t="s">
        <v>158</v>
      </c>
      <c r="B6" s="289">
        <v>0</v>
      </c>
    </row>
    <row r="7" spans="1:2">
      <c r="A7" s="291" t="s">
        <v>158</v>
      </c>
      <c r="B7" s="289">
        <v>0</v>
      </c>
    </row>
    <row r="8" spans="1:2">
      <c r="A8" s="291" t="s">
        <v>158</v>
      </c>
      <c r="B8" s="289">
        <v>0</v>
      </c>
    </row>
    <row r="9" spans="1:2">
      <c r="A9" s="291" t="s">
        <v>158</v>
      </c>
      <c r="B9" s="289">
        <v>0</v>
      </c>
    </row>
    <row r="10" spans="1:2">
      <c r="A10" s="291" t="s">
        <v>158</v>
      </c>
      <c r="B10" s="289">
        <v>0</v>
      </c>
    </row>
    <row r="11" spans="1:2">
      <c r="A11" s="291" t="s">
        <v>158</v>
      </c>
      <c r="B11" s="289">
        <v>0</v>
      </c>
    </row>
    <row r="12" spans="1:2">
      <c r="A12" s="291" t="s">
        <v>158</v>
      </c>
      <c r="B12" s="289">
        <v>0</v>
      </c>
    </row>
    <row r="13" spans="1:2">
      <c r="A13" s="291" t="s">
        <v>158</v>
      </c>
      <c r="B13" s="289">
        <v>0</v>
      </c>
    </row>
    <row r="14" spans="1:2">
      <c r="A14" s="291" t="s">
        <v>158</v>
      </c>
      <c r="B14" s="289">
        <v>0</v>
      </c>
    </row>
    <row r="15" spans="1:2">
      <c r="A15" s="291" t="s">
        <v>158</v>
      </c>
      <c r="B15" s="289">
        <v>0</v>
      </c>
    </row>
    <row r="16" spans="1:2">
      <c r="A16" s="291" t="s">
        <v>158</v>
      </c>
      <c r="B16" s="289">
        <v>0</v>
      </c>
    </row>
    <row r="17" spans="1:2">
      <c r="A17" s="291" t="s">
        <v>158</v>
      </c>
      <c r="B17" s="289">
        <v>0</v>
      </c>
    </row>
    <row r="18" spans="1:2">
      <c r="A18" s="291" t="s">
        <v>158</v>
      </c>
      <c r="B18" s="289">
        <v>0</v>
      </c>
    </row>
    <row r="19" spans="1:2">
      <c r="A19" s="291" t="s">
        <v>158</v>
      </c>
      <c r="B19" s="289">
        <v>0</v>
      </c>
    </row>
    <row r="20" spans="1:2">
      <c r="A20" s="291" t="s">
        <v>158</v>
      </c>
      <c r="B20" s="289">
        <v>0</v>
      </c>
    </row>
    <row r="21" spans="1:2">
      <c r="A21" s="291" t="s">
        <v>158</v>
      </c>
      <c r="B21" s="289">
        <v>0</v>
      </c>
    </row>
    <row r="22" spans="1:2">
      <c r="A22" s="291" t="s">
        <v>158</v>
      </c>
      <c r="B22" s="289">
        <v>0</v>
      </c>
    </row>
    <row r="23" spans="1:2">
      <c r="A23" s="291" t="s">
        <v>158</v>
      </c>
      <c r="B23" s="289">
        <v>0</v>
      </c>
    </row>
    <row r="24" spans="1:2">
      <c r="A24" s="291" t="s">
        <v>158</v>
      </c>
      <c r="B24" s="289">
        <v>0</v>
      </c>
    </row>
    <row r="25" spans="1:2">
      <c r="A25" s="291" t="s">
        <v>158</v>
      </c>
      <c r="B25" s="289">
        <v>0</v>
      </c>
    </row>
  </sheetData>
  <mergeCells count="2">
    <mergeCell ref="A1:B1"/>
    <mergeCell ref="A2:B2"/>
  </mergeCells>
  <hyperlinks>
    <hyperlink ref="A3" location="'Fund Balance Summary'!A1" display="(Return to Summary Sheet)"/>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70C0"/>
  </sheetPr>
  <dimension ref="A1"/>
  <sheetViews>
    <sheetView workbookViewId="0"/>
  </sheetViews>
  <sheetFormatPr defaultRowHeight="15"/>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70C0"/>
  </sheetPr>
  <dimension ref="A1:B28"/>
  <sheetViews>
    <sheetView workbookViewId="0">
      <selection activeCell="A3" sqref="A3"/>
    </sheetView>
  </sheetViews>
  <sheetFormatPr defaultRowHeight="15"/>
  <cols>
    <col min="1" max="1" width="52" bestFit="1" customWidth="1"/>
    <col min="2" max="2" width="23.85546875" customWidth="1"/>
  </cols>
  <sheetData>
    <row r="1" spans="1:2">
      <c r="A1" s="415" t="s">
        <v>1241</v>
      </c>
      <c r="B1" s="415"/>
    </row>
    <row r="2" spans="1:2">
      <c r="A2" s="451" t="s">
        <v>52</v>
      </c>
      <c r="B2" s="451"/>
    </row>
    <row r="3" spans="1:2">
      <c r="A3" s="6" t="s">
        <v>151</v>
      </c>
      <c r="B3" s="80"/>
    </row>
    <row r="4" spans="1:2">
      <c r="A4" s="80"/>
      <c r="B4" s="80"/>
    </row>
    <row r="5" spans="1:2">
      <c r="A5" s="452" t="s">
        <v>81</v>
      </c>
      <c r="B5" s="452"/>
    </row>
    <row r="6" spans="1:2">
      <c r="A6" s="18"/>
      <c r="B6" s="18"/>
    </row>
    <row r="7" spans="1:2">
      <c r="A7" s="38" t="s">
        <v>82</v>
      </c>
      <c r="B7" s="39"/>
    </row>
    <row r="8" spans="1:2">
      <c r="A8" s="40" t="s">
        <v>83</v>
      </c>
      <c r="B8" s="41">
        <v>0</v>
      </c>
    </row>
    <row r="9" spans="1:2">
      <c r="A9" s="40" t="s">
        <v>84</v>
      </c>
      <c r="B9" s="42">
        <f>1/12</f>
        <v>8.3333333333333329E-2</v>
      </c>
    </row>
    <row r="10" spans="1:2">
      <c r="A10" s="40" t="s">
        <v>86</v>
      </c>
      <c r="B10" s="43">
        <f>ROUND(B8*B9,2)</f>
        <v>0</v>
      </c>
    </row>
    <row r="11" spans="1:2">
      <c r="A11" s="40" t="s">
        <v>85</v>
      </c>
      <c r="B11" s="42">
        <v>8.4500000000000006E-2</v>
      </c>
    </row>
    <row r="12" spans="1:2">
      <c r="A12" s="40" t="s">
        <v>87</v>
      </c>
      <c r="B12" s="43">
        <f>ROUND(B8*B11,2)</f>
        <v>0</v>
      </c>
    </row>
    <row r="13" spans="1:2">
      <c r="A13" s="40" t="s">
        <v>1244</v>
      </c>
      <c r="B13" s="41">
        <v>0</v>
      </c>
    </row>
    <row r="14" spans="1:2">
      <c r="A14" s="44" t="s">
        <v>1245</v>
      </c>
      <c r="B14" s="45">
        <f>IF(B8=0,0,B13/B8)</f>
        <v>0</v>
      </c>
    </row>
    <row r="15" spans="1:2">
      <c r="A15" s="80"/>
      <c r="B15" s="80"/>
    </row>
    <row r="16" spans="1:2">
      <c r="A16" s="38" t="s">
        <v>88</v>
      </c>
      <c r="B16" s="39"/>
    </row>
    <row r="17" spans="1:2">
      <c r="A17" s="40" t="s">
        <v>83</v>
      </c>
      <c r="B17" s="41">
        <v>0</v>
      </c>
    </row>
    <row r="18" spans="1:2">
      <c r="A18" s="40" t="s">
        <v>89</v>
      </c>
      <c r="B18" s="46">
        <v>0.05</v>
      </c>
    </row>
    <row r="19" spans="1:2">
      <c r="A19" s="40" t="s">
        <v>90</v>
      </c>
      <c r="B19" s="43">
        <f>ROUND(B17*B18,2)</f>
        <v>0</v>
      </c>
    </row>
    <row r="20" spans="1:2">
      <c r="A20" s="40" t="s">
        <v>1244</v>
      </c>
      <c r="B20" s="41">
        <v>0</v>
      </c>
    </row>
    <row r="21" spans="1:2">
      <c r="A21" s="44" t="s">
        <v>1245</v>
      </c>
      <c r="B21" s="45">
        <f>IF(B17=0,0,B20/B17)</f>
        <v>0</v>
      </c>
    </row>
    <row r="22" spans="1:2">
      <c r="A22" s="80"/>
      <c r="B22" s="80"/>
    </row>
    <row r="23" spans="1:2">
      <c r="A23" s="38" t="s">
        <v>776</v>
      </c>
      <c r="B23" s="39"/>
    </row>
    <row r="24" spans="1:2">
      <c r="A24" s="40" t="s">
        <v>90</v>
      </c>
      <c r="B24" s="41">
        <v>0</v>
      </c>
    </row>
    <row r="25" spans="1:2">
      <c r="A25" s="44" t="s">
        <v>1244</v>
      </c>
      <c r="B25" s="47">
        <v>0</v>
      </c>
    </row>
    <row r="26" spans="1:2">
      <c r="A26" s="80"/>
      <c r="B26" s="80"/>
    </row>
    <row r="27" spans="1:2">
      <c r="A27" s="80"/>
      <c r="B27" s="80"/>
    </row>
    <row r="28" spans="1:2">
      <c r="A28" s="80" t="s">
        <v>1246</v>
      </c>
      <c r="B28" s="15">
        <f>IF(B20&lt;&gt;0,B20,IF(B25&lt;&gt;0,B25,B13))</f>
        <v>0</v>
      </c>
    </row>
  </sheetData>
  <mergeCells count="3">
    <mergeCell ref="A1:B1"/>
    <mergeCell ref="A2:B2"/>
    <mergeCell ref="A5:B5"/>
  </mergeCells>
  <dataValidations count="3">
    <dataValidation type="decimal" errorStyle="warning" operator="notEqual" allowBlank="1" showInputMessage="1" showErrorMessage="1" errorTitle="Value/Policy Mismatch" error="The amount entered into this cell does not match the district's established fund balance policy." sqref="B25">
      <formula1>B24</formula1>
    </dataValidation>
    <dataValidation type="decimal" errorStyle="warning" operator="equal" allowBlank="1" showInputMessage="1" showErrorMessage="1" errorTitle="Value/Policy Mismatch" error="The amount recorded in this cell does not match the district's policy for minimum fund balance." sqref="B20">
      <formula1>B19</formula1>
    </dataValidation>
    <dataValidation type="decimal" errorStyle="warning" allowBlank="1" showInputMessage="1" showErrorMessage="1" errorTitle="Value Out Of Range" error="The amount entered in this cell is not within the district's established fund balance policy range." sqref="B13">
      <formula1>B10</formula1>
      <formula2>B12</formula2>
    </dataValidation>
  </dataValidations>
  <hyperlinks>
    <hyperlink ref="A3" location="'Fund Balance Summary'!A1" display="(Return to Summary Sheet)"/>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RowHeight="15"/>
  <cols>
    <col min="1" max="1" width="47.28515625" bestFit="1" customWidth="1"/>
  </cols>
  <sheetData>
    <row r="1" spans="1:6">
      <c r="A1" s="6" t="s">
        <v>820</v>
      </c>
    </row>
    <row r="3" spans="1:6">
      <c r="A3" t="s">
        <v>821</v>
      </c>
    </row>
    <row r="5" spans="1:6">
      <c r="A5" s="453" t="s">
        <v>822</v>
      </c>
      <c r="B5" s="453"/>
      <c r="C5" s="453"/>
      <c r="D5" s="453"/>
      <c r="E5" s="453"/>
      <c r="F5" s="453"/>
    </row>
    <row r="6" spans="1:6">
      <c r="A6" t="s">
        <v>823</v>
      </c>
    </row>
    <row r="7" spans="1:6">
      <c r="A7" t="s">
        <v>833</v>
      </c>
      <c r="B7" t="s">
        <v>824</v>
      </c>
    </row>
    <row r="8" spans="1:6">
      <c r="A8" t="s">
        <v>825</v>
      </c>
      <c r="C8" t="s">
        <v>824</v>
      </c>
    </row>
    <row r="10" spans="1:6">
      <c r="A10" s="453" t="s">
        <v>826</v>
      </c>
      <c r="B10" s="453"/>
      <c r="C10" s="453"/>
      <c r="D10" s="453"/>
      <c r="E10" s="453"/>
      <c r="F10" s="453"/>
    </row>
    <row r="11" spans="1:6">
      <c r="A11" s="453" t="s">
        <v>827</v>
      </c>
      <c r="B11" s="453"/>
      <c r="C11" s="453"/>
      <c r="D11" s="453"/>
      <c r="E11" s="453"/>
      <c r="F11" s="453"/>
    </row>
    <row r="13" spans="1:6">
      <c r="A13" t="s">
        <v>828</v>
      </c>
      <c r="B13" t="s">
        <v>829</v>
      </c>
    </row>
    <row r="14" spans="1:6">
      <c r="A14" t="s">
        <v>830</v>
      </c>
      <c r="B14" t="s">
        <v>824</v>
      </c>
      <c r="D14" t="s">
        <v>834</v>
      </c>
    </row>
    <row r="15" spans="1:6">
      <c r="A15" t="s">
        <v>831</v>
      </c>
      <c r="C15" t="s">
        <v>832</v>
      </c>
    </row>
  </sheetData>
  <mergeCells count="3">
    <mergeCell ref="A5:F5"/>
    <mergeCell ref="A10:F10"/>
    <mergeCell ref="A11:F11"/>
  </mergeCells>
  <hyperlinks>
    <hyperlink ref="A1" location="'GL 821 Restricted'!A1" display="(Click here to go back to the GL 821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5</vt:i4>
      </vt:variant>
    </vt:vector>
  </HeadingPairs>
  <TitlesOfParts>
    <vt:vector size="42" baseType="lpstr">
      <vt:lpstr>Please Read Instructions</vt:lpstr>
      <vt:lpstr>CCDDD</vt:lpstr>
      <vt:lpstr>Fund Balance Summary</vt:lpstr>
      <vt:lpstr>Indirects</vt:lpstr>
      <vt:lpstr>GL 810 Restricted</vt:lpstr>
      <vt:lpstr>GL 815 Restricted</vt:lpstr>
      <vt:lpstr>GL 819 Restricted</vt:lpstr>
      <vt:lpstr>ALLOC</vt:lpstr>
      <vt:lpstr>GL 821 Restricted</vt:lpstr>
      <vt:lpstr>GL 825 Restricted</vt:lpstr>
      <vt:lpstr>GL 828 Restricted</vt:lpstr>
      <vt:lpstr>Food Svc Carryover</vt:lpstr>
      <vt:lpstr>foodsvsc co for 17-18 eoy</vt:lpstr>
      <vt:lpstr>Food Svc CO worksheet</vt:lpstr>
      <vt:lpstr>GL 830 Restricted</vt:lpstr>
      <vt:lpstr>GL 835 Restricted</vt:lpstr>
      <vt:lpstr>GL 840 Nonspendable</vt:lpstr>
      <vt:lpstr>GL 845 Restricted</vt:lpstr>
      <vt:lpstr>GL 850 Restricted</vt:lpstr>
      <vt:lpstr>GL 855 Nonspendable</vt:lpstr>
      <vt:lpstr>GL 861 CPF Restricted</vt:lpstr>
      <vt:lpstr>GL 862 CPF Restricted</vt:lpstr>
      <vt:lpstr>GL 863 CPF Restricted</vt:lpstr>
      <vt:lpstr>GL 864 CPF Restricted</vt:lpstr>
      <vt:lpstr>GL 865 CPF Restricted</vt:lpstr>
      <vt:lpstr>GL 866 CPF Restricted</vt:lpstr>
      <vt:lpstr>GL 867 CPF Restricted</vt:lpstr>
      <vt:lpstr>GL 869 CPF Restricted</vt:lpstr>
      <vt:lpstr>GL 870 Committed</vt:lpstr>
      <vt:lpstr>GL 872 Committed</vt:lpstr>
      <vt:lpstr>GL 875 Assigned</vt:lpstr>
      <vt:lpstr>GL 884 Assigned</vt:lpstr>
      <vt:lpstr>GL 888 Assigned</vt:lpstr>
      <vt:lpstr>GL 889 Assigned</vt:lpstr>
      <vt:lpstr>GL 890 Unassigned</vt:lpstr>
      <vt:lpstr>GL 891 Unassigned MFBP</vt:lpstr>
      <vt:lpstr>Journal Entries</vt:lpstr>
      <vt:lpstr>DISNAME</vt:lpstr>
      <vt:lpstr>'Fund Balance Summary'!Print_Area</vt:lpstr>
      <vt:lpstr>'GL 821 Restricted'!Print_Area</vt:lpstr>
      <vt:lpstr>'GL 828 Restricted'!Print_Area</vt:lpstr>
      <vt:lpstr>'Please Read Instructions'!Print_Area</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Balance Reporting Tool</dc:title>
  <dc:creator>OSPI/SAFS</dc:creator>
  <cp:keywords>fund balance, GASB 54</cp:keywords>
  <cp:lastModifiedBy>Melissa Jarmon</cp:lastModifiedBy>
  <cp:lastPrinted>2020-08-31T23:11:33Z</cp:lastPrinted>
  <dcterms:created xsi:type="dcterms:W3CDTF">2011-05-18T18:10:29Z</dcterms:created>
  <dcterms:modified xsi:type="dcterms:W3CDTF">2020-09-22T19:41:22Z</dcterms:modified>
</cp:coreProperties>
</file>