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vernment Relations\New folder\ADA Compliant DPs and Attachments\Maintenance Level\"/>
    </mc:Choice>
  </mc:AlternateContent>
  <xr:revisionPtr revIDLastSave="0" documentId="8_{414C085A-57FC-45C5-B616-E9B48883F890}" xr6:coauthVersionLast="46" xr6:coauthVersionMax="46" xr10:uidLastSave="{00000000-0000-0000-0000-000000000000}"/>
  <bookViews>
    <workbookView xWindow="-120" yWindow="-120" windowWidth="29040" windowHeight="15840" xr2:uid="{72103F2A-3ABA-4F5D-A20B-1A914BCA43A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4" i="1"/>
  <c r="M3" i="1"/>
  <c r="M9" i="1"/>
  <c r="M7" i="1"/>
  <c r="M6" i="1"/>
  <c r="I12" i="1"/>
  <c r="H5" i="1"/>
  <c r="C7" i="1"/>
  <c r="D34" i="1"/>
  <c r="D32" i="1"/>
  <c r="D31" i="1"/>
  <c r="D30" i="1"/>
  <c r="C16" i="1" l="1"/>
  <c r="E16" i="1" s="1"/>
  <c r="F21" i="1"/>
  <c r="C25" i="1"/>
  <c r="D21" i="1"/>
  <c r="D12" i="1"/>
  <c r="F23" i="1"/>
  <c r="F22" i="1"/>
  <c r="D23" i="1"/>
  <c r="D22" i="1"/>
  <c r="E32" i="1"/>
  <c r="E31" i="1"/>
  <c r="E30" i="1"/>
  <c r="G23" i="1"/>
  <c r="G22" i="1"/>
  <c r="G21" i="1"/>
  <c r="G14" i="1"/>
  <c r="G13" i="1"/>
  <c r="G12" i="1"/>
  <c r="F14" i="1"/>
  <c r="F13" i="1"/>
  <c r="D14" i="1"/>
  <c r="D13" i="1"/>
  <c r="F16" i="1" l="1"/>
  <c r="F32" i="1"/>
  <c r="F31" i="1"/>
  <c r="E34" i="1"/>
  <c r="E25" i="1" s="1"/>
  <c r="G16" i="1"/>
  <c r="J4" i="1"/>
  <c r="J5" i="1"/>
  <c r="J7" i="1" l="1"/>
  <c r="F25" i="1"/>
  <c r="F7" i="1"/>
  <c r="F5" i="1"/>
  <c r="H7" i="1" l="1"/>
  <c r="H4" i="1"/>
</calcChain>
</file>

<file path=xl/sharedStrings.xml><?xml version="1.0" encoding="utf-8"?>
<sst xmlns="http://schemas.openxmlformats.org/spreadsheetml/2006/main" count="78" uniqueCount="37">
  <si>
    <t>School Year</t>
  </si>
  <si>
    <t>Fiscal Year</t>
  </si>
  <si>
    <t>HNI State Award</t>
  </si>
  <si>
    <t>HNI Federal Award</t>
  </si>
  <si>
    <t>CI Award Total</t>
  </si>
  <si>
    <t>Assumption of need based on previous year's amount</t>
  </si>
  <si>
    <t>Maintenance Request</t>
  </si>
  <si>
    <t>Total State Needed</t>
  </si>
  <si>
    <t>Total Legislative Award (State Funds)</t>
  </si>
  <si>
    <t>Shortfall</t>
  </si>
  <si>
    <t>Actual Awards</t>
  </si>
  <si>
    <t>OSPI Requested through Mega Model</t>
  </si>
  <si>
    <t>Through Enacted Budgets</t>
  </si>
  <si>
    <t>2018-19</t>
  </si>
  <si>
    <t>FY20</t>
  </si>
  <si>
    <t>Total actual state award FY22</t>
  </si>
  <si>
    <t>2019-20</t>
  </si>
  <si>
    <t>FY21</t>
  </si>
  <si>
    <t>Appropriated</t>
  </si>
  <si>
    <t>2020-21</t>
  </si>
  <si>
    <t>FY22</t>
  </si>
  <si>
    <t>Difference</t>
  </si>
  <si>
    <t>Projected</t>
  </si>
  <si>
    <t>Total projected for FY23</t>
  </si>
  <si>
    <t>2021-22</t>
  </si>
  <si>
    <t>FY23</t>
  </si>
  <si>
    <t>Total state projected for FY23</t>
  </si>
  <si>
    <t>Current FY23 state allocation</t>
  </si>
  <si>
    <t># of apps submitted</t>
  </si>
  <si>
    <t>% change over previous year</t>
  </si>
  <si>
    <t># of apps awarded</t>
  </si>
  <si>
    <t>% Funded</t>
  </si>
  <si>
    <t>Actuals</t>
  </si>
  <si>
    <t>HNI Total Request</t>
  </si>
  <si>
    <t>HNI Total Funded</t>
  </si>
  <si>
    <t>Threshold</t>
  </si>
  <si>
    <t>Average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</si>
</sst>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164" fontId="2" fillId="0" borderId="11" xfId="0" applyNumberFormat="1" applyFont="1" applyBorder="1"/>
    <xf numFmtId="3" fontId="2" fillId="0" borderId="5" xfId="0" applyNumberFormat="1" applyFont="1" applyBorder="1"/>
    <xf numFmtId="165" fontId="2" fillId="0" borderId="13" xfId="0" applyNumberFormat="1" applyFont="1" applyBorder="1"/>
    <xf numFmtId="165" fontId="2" fillId="0" borderId="14" xfId="0" applyNumberFormat="1" applyFont="1" applyBorder="1"/>
    <xf numFmtId="165" fontId="2" fillId="0" borderId="3" xfId="0" applyNumberFormat="1" applyFont="1" applyBorder="1"/>
    <xf numFmtId="165" fontId="2" fillId="0" borderId="6" xfId="0" applyNumberFormat="1" applyFont="1" applyBorder="1"/>
    <xf numFmtId="165" fontId="2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3" fontId="2" fillId="0" borderId="11" xfId="0" applyNumberFormat="1" applyFont="1" applyBorder="1"/>
    <xf numFmtId="165" fontId="2" fillId="0" borderId="19" xfId="0" applyNumberFormat="1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3" fontId="2" fillId="0" borderId="24" xfId="0" applyNumberFormat="1" applyFont="1" applyBorder="1"/>
    <xf numFmtId="165" fontId="2" fillId="0" borderId="25" xfId="0" applyNumberFormat="1" applyFont="1" applyBorder="1"/>
    <xf numFmtId="165" fontId="2" fillId="0" borderId="26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/>
    <xf numFmtId="165" fontId="2" fillId="0" borderId="0" xfId="1" applyNumberFormat="1" applyFont="1"/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64" fontId="2" fillId="0" borderId="5" xfId="0" applyNumberFormat="1" applyFont="1" applyFill="1" applyBorder="1"/>
    <xf numFmtId="164" fontId="2" fillId="0" borderId="12" xfId="0" applyNumberFormat="1" applyFont="1" applyBorder="1"/>
    <xf numFmtId="164" fontId="2" fillId="0" borderId="4" xfId="0" applyNumberFormat="1" applyFont="1" applyBorder="1"/>
    <xf numFmtId="164" fontId="2" fillId="0" borderId="7" xfId="0" applyNumberFormat="1" applyFont="1" applyBorder="1"/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4" xfId="0" applyNumberFormat="1" applyFont="1" applyFill="1" applyBorder="1"/>
    <xf numFmtId="164" fontId="2" fillId="0" borderId="29" xfId="0" applyNumberFormat="1" applyFont="1" applyBorder="1"/>
    <xf numFmtId="164" fontId="2" fillId="0" borderId="30" xfId="0" applyNumberFormat="1" applyFont="1" applyBorder="1"/>
    <xf numFmtId="164" fontId="2" fillId="0" borderId="31" xfId="0" applyNumberFormat="1" applyFont="1" applyBorder="1"/>
    <xf numFmtId="164" fontId="2" fillId="0" borderId="32" xfId="0" applyNumberFormat="1" applyFont="1" applyBorder="1"/>
    <xf numFmtId="164" fontId="2" fillId="0" borderId="33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0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8" xfId="0" applyNumberFormat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0" borderId="26" xfId="0" applyNumberFormat="1" applyFont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13CBF-8A5D-4363-B77B-AD2103BC8A42}">
  <dimension ref="A1:P34"/>
  <sheetViews>
    <sheetView tabSelected="1" workbookViewId="0">
      <selection activeCell="K19" sqref="K19"/>
    </sheetView>
  </sheetViews>
  <sheetFormatPr defaultRowHeight="16.5" x14ac:dyDescent="0.3"/>
  <cols>
    <col min="1" max="1" width="12.140625" style="1" bestFit="1" customWidth="1"/>
    <col min="2" max="2" width="8.42578125" style="3" customWidth="1"/>
    <col min="3" max="3" width="13.42578125" style="1" bestFit="1" customWidth="1"/>
    <col min="4" max="4" width="15.85546875" style="1" customWidth="1"/>
    <col min="5" max="5" width="13.42578125" style="1" customWidth="1"/>
    <col min="6" max="6" width="21.42578125" style="1" customWidth="1"/>
    <col min="7" max="7" width="13.28515625" style="1" bestFit="1" customWidth="1"/>
    <col min="8" max="8" width="13.42578125" style="1" bestFit="1" customWidth="1"/>
    <col min="9" max="9" width="18.28515625" style="1" customWidth="1"/>
    <col min="10" max="10" width="13.140625" style="1" bestFit="1" customWidth="1"/>
    <col min="11" max="11" width="9.140625" style="1"/>
    <col min="12" max="12" width="37.85546875" style="1" customWidth="1"/>
    <col min="13" max="13" width="24.28515625" style="1" customWidth="1"/>
    <col min="14" max="15" width="9.140625" style="1"/>
    <col min="16" max="16" width="12.140625" style="1" bestFit="1" customWidth="1"/>
    <col min="17" max="16384" width="9.140625" style="1"/>
  </cols>
  <sheetData>
    <row r="1" spans="1:16" ht="49.5" x14ac:dyDescent="0.3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4" t="s">
        <v>9</v>
      </c>
    </row>
    <row r="2" spans="1:16" ht="33" x14ac:dyDescent="0.3">
      <c r="A2" s="39"/>
      <c r="B2" s="40"/>
      <c r="C2" s="63" t="s">
        <v>10</v>
      </c>
      <c r="D2" s="64"/>
      <c r="E2" s="65"/>
      <c r="F2" s="63" t="s">
        <v>11</v>
      </c>
      <c r="G2" s="64"/>
      <c r="H2" s="65"/>
      <c r="I2" s="55" t="s">
        <v>12</v>
      </c>
      <c r="J2" s="41"/>
    </row>
    <row r="3" spans="1:16" x14ac:dyDescent="0.3">
      <c r="A3" s="11" t="s">
        <v>13</v>
      </c>
      <c r="B3" s="46" t="s">
        <v>14</v>
      </c>
      <c r="C3" s="56">
        <v>60921934</v>
      </c>
      <c r="D3" s="12">
        <v>14786802</v>
      </c>
      <c r="E3" s="43">
        <v>2687293</v>
      </c>
      <c r="F3" s="11"/>
      <c r="G3" s="12"/>
      <c r="H3" s="43"/>
      <c r="I3" s="52">
        <v>63609000</v>
      </c>
      <c r="J3" s="50"/>
      <c r="L3" s="1" t="s">
        <v>15</v>
      </c>
      <c r="M3" s="2">
        <f>SUM(C5,E5)</f>
        <v>76333744</v>
      </c>
    </row>
    <row r="4" spans="1:16" x14ac:dyDescent="0.3">
      <c r="A4" s="5" t="s">
        <v>16</v>
      </c>
      <c r="B4" s="47" t="s">
        <v>17</v>
      </c>
      <c r="C4" s="49">
        <v>90046335</v>
      </c>
      <c r="D4" s="6">
        <v>14786958</v>
      </c>
      <c r="E4" s="7">
        <v>4584104</v>
      </c>
      <c r="F4" s="44">
        <v>63609000</v>
      </c>
      <c r="G4" s="6">
        <v>33321000</v>
      </c>
      <c r="H4" s="7">
        <f t="shared" ref="H4" si="0">SUM(F4:G4)</f>
        <v>96930000</v>
      </c>
      <c r="I4" s="53">
        <v>91500000</v>
      </c>
      <c r="J4" s="50">
        <f>I4-(C4+E4)</f>
        <v>-3130439</v>
      </c>
      <c r="L4" s="1" t="s">
        <v>18</v>
      </c>
      <c r="M4" s="2">
        <f>I5</f>
        <v>63338000</v>
      </c>
      <c r="P4" s="42"/>
    </row>
    <row r="5" spans="1:16" x14ac:dyDescent="0.3">
      <c r="A5" s="5" t="s">
        <v>19</v>
      </c>
      <c r="B5" s="47" t="s">
        <v>20</v>
      </c>
      <c r="C5" s="57">
        <v>71334714</v>
      </c>
      <c r="D5" s="58">
        <v>14786967</v>
      </c>
      <c r="E5" s="59">
        <v>4999030</v>
      </c>
      <c r="F5" s="44">
        <f>91500000+47870</f>
        <v>91547870</v>
      </c>
      <c r="G5" s="6">
        <v>34251000</v>
      </c>
      <c r="H5" s="7">
        <f>SUM(F5:G5)</f>
        <v>125798870</v>
      </c>
      <c r="I5" s="53">
        <v>63338000</v>
      </c>
      <c r="J5" s="50">
        <f>I5-(C5+E5)</f>
        <v>-12995744</v>
      </c>
      <c r="L5" s="2" t="s">
        <v>21</v>
      </c>
      <c r="M5" s="2">
        <f>M3-M4</f>
        <v>12995744</v>
      </c>
    </row>
    <row r="6" spans="1:16" x14ac:dyDescent="0.3">
      <c r="A6" s="5"/>
      <c r="B6" s="47"/>
      <c r="C6" s="66" t="s">
        <v>22</v>
      </c>
      <c r="D6" s="67"/>
      <c r="E6" s="68"/>
      <c r="F6" s="44"/>
      <c r="G6" s="6"/>
      <c r="H6" s="7"/>
      <c r="I6" s="53"/>
      <c r="J6" s="50"/>
      <c r="L6" s="1" t="s">
        <v>23</v>
      </c>
      <c r="M6" s="2">
        <f>SUM(C7:E7)</f>
        <v>105973515.14373763</v>
      </c>
    </row>
    <row r="7" spans="1:16" x14ac:dyDescent="0.3">
      <c r="A7" s="8" t="s">
        <v>24</v>
      </c>
      <c r="B7" s="48" t="s">
        <v>25</v>
      </c>
      <c r="C7" s="60">
        <f>E25-D7</f>
        <v>85686515.143737629</v>
      </c>
      <c r="D7" s="61">
        <v>14787000</v>
      </c>
      <c r="E7" s="62">
        <v>5500000</v>
      </c>
      <c r="F7" s="45">
        <f>91500000+47870</f>
        <v>91547870</v>
      </c>
      <c r="G7" s="9">
        <v>55767000</v>
      </c>
      <c r="H7" s="10">
        <f t="shared" ref="H7" si="1">SUM(F7:G7)</f>
        <v>147314870</v>
      </c>
      <c r="I7" s="54">
        <v>82671000</v>
      </c>
      <c r="J7" s="51">
        <f>I7-(C7+E7)</f>
        <v>-8515515.1437376291</v>
      </c>
      <c r="L7" s="1" t="s">
        <v>26</v>
      </c>
      <c r="M7" s="2">
        <f>SUM(C7,E7)</f>
        <v>91186515.143737629</v>
      </c>
    </row>
    <row r="8" spans="1:16" x14ac:dyDescent="0.3">
      <c r="C8" s="2"/>
      <c r="D8" s="2"/>
      <c r="E8" s="2"/>
      <c r="F8" s="2"/>
      <c r="G8" s="2"/>
      <c r="H8" s="2"/>
      <c r="I8" s="2"/>
      <c r="L8" s="1" t="s">
        <v>27</v>
      </c>
      <c r="M8" s="1">
        <v>82671000</v>
      </c>
    </row>
    <row r="9" spans="1:16" x14ac:dyDescent="0.3">
      <c r="C9" s="2"/>
      <c r="D9" s="2"/>
      <c r="E9" s="2"/>
      <c r="F9" s="2"/>
      <c r="G9" s="2"/>
      <c r="H9" s="2"/>
      <c r="I9" s="2"/>
      <c r="M9" s="2">
        <f>M7-M8</f>
        <v>8515515.1437376291</v>
      </c>
    </row>
    <row r="10" spans="1:16" ht="33" x14ac:dyDescent="0.3">
      <c r="A10" s="34" t="s">
        <v>0</v>
      </c>
      <c r="B10" s="35" t="s">
        <v>1</v>
      </c>
      <c r="C10" s="36" t="s">
        <v>28</v>
      </c>
      <c r="D10" s="36" t="s">
        <v>29</v>
      </c>
      <c r="E10" s="36" t="s">
        <v>30</v>
      </c>
      <c r="F10" s="36" t="s">
        <v>29</v>
      </c>
      <c r="G10" s="36" t="s">
        <v>31</v>
      </c>
      <c r="H10" s="2"/>
      <c r="I10" s="2"/>
      <c r="J10" s="2"/>
    </row>
    <row r="11" spans="1:16" x14ac:dyDescent="0.3">
      <c r="A11" s="69" t="s">
        <v>32</v>
      </c>
      <c r="B11" s="70"/>
      <c r="C11" s="70"/>
      <c r="D11" s="70"/>
      <c r="E11" s="70"/>
      <c r="F11" s="70"/>
      <c r="G11" s="71"/>
      <c r="H11" s="2"/>
      <c r="I11" s="2"/>
      <c r="J11" s="2"/>
    </row>
    <row r="12" spans="1:16" x14ac:dyDescent="0.3">
      <c r="A12" s="11" t="s">
        <v>13</v>
      </c>
      <c r="B12" s="19" t="s">
        <v>14</v>
      </c>
      <c r="C12" s="27">
        <v>3557</v>
      </c>
      <c r="D12" s="28">
        <f>(3557-3016)/3016</f>
        <v>0.1793766578249337</v>
      </c>
      <c r="E12" s="27">
        <v>3308</v>
      </c>
      <c r="F12" s="28">
        <v>0.184</v>
      </c>
      <c r="G12" s="37">
        <f>E12/C12</f>
        <v>0.92999718864211411</v>
      </c>
      <c r="H12" s="2"/>
      <c r="I12" s="2">
        <f>I5-F5</f>
        <v>-28209870</v>
      </c>
      <c r="J12" s="2"/>
    </row>
    <row r="13" spans="1:16" x14ac:dyDescent="0.3">
      <c r="A13" s="5" t="s">
        <v>16</v>
      </c>
      <c r="B13" s="20" t="s">
        <v>17</v>
      </c>
      <c r="C13" s="13">
        <v>4172</v>
      </c>
      <c r="D13" s="14">
        <f>(C13-C12)/C12</f>
        <v>0.1728985099803205</v>
      </c>
      <c r="E13" s="13">
        <v>4087</v>
      </c>
      <c r="F13" s="14">
        <f>(E13-E12)/E12</f>
        <v>0.23548972188633616</v>
      </c>
      <c r="G13" s="17">
        <f>E13/C13</f>
        <v>0.97962607861936724</v>
      </c>
      <c r="H13" s="2"/>
      <c r="I13" s="2"/>
      <c r="J13" s="2"/>
    </row>
    <row r="14" spans="1:16" x14ac:dyDescent="0.3">
      <c r="A14" s="22" t="s">
        <v>19</v>
      </c>
      <c r="B14" s="23" t="s">
        <v>20</v>
      </c>
      <c r="C14" s="24">
        <v>3203</v>
      </c>
      <c r="D14" s="25">
        <f>(C14-C13)/C13</f>
        <v>-0.23226270373921382</v>
      </c>
      <c r="E14" s="24">
        <v>3152</v>
      </c>
      <c r="F14" s="25">
        <f t="shared" ref="F14" si="2">(E14-E13)/E13</f>
        <v>-0.22877416197700023</v>
      </c>
      <c r="G14" s="26">
        <f>E14/C14</f>
        <v>0.98407742741180149</v>
      </c>
    </row>
    <row r="15" spans="1:16" x14ac:dyDescent="0.3">
      <c r="A15" s="66" t="s">
        <v>22</v>
      </c>
      <c r="B15" s="67"/>
      <c r="C15" s="67"/>
      <c r="D15" s="67"/>
      <c r="E15" s="67"/>
      <c r="F15" s="67"/>
      <c r="G15" s="68"/>
    </row>
    <row r="16" spans="1:16" x14ac:dyDescent="0.3">
      <c r="A16" s="29" t="s">
        <v>24</v>
      </c>
      <c r="B16" s="30" t="s">
        <v>25</v>
      </c>
      <c r="C16" s="31">
        <f>(C14*D16)+C14</f>
        <v>3523.3</v>
      </c>
      <c r="D16" s="32">
        <v>0.1</v>
      </c>
      <c r="E16" s="31">
        <f>C16*0.98</f>
        <v>3452.8340000000003</v>
      </c>
      <c r="F16" s="32">
        <f>(E16-E14)/E14</f>
        <v>9.5442258883248823E-2</v>
      </c>
      <c r="G16" s="33">
        <f>E16/C16</f>
        <v>0.98</v>
      </c>
    </row>
    <row r="19" spans="1:7" ht="33" x14ac:dyDescent="0.3">
      <c r="A19" s="34" t="s">
        <v>0</v>
      </c>
      <c r="B19" s="35" t="s">
        <v>1</v>
      </c>
      <c r="C19" s="36" t="s">
        <v>33</v>
      </c>
      <c r="D19" s="36" t="s">
        <v>29</v>
      </c>
      <c r="E19" s="36" t="s">
        <v>34</v>
      </c>
      <c r="F19" s="36" t="s">
        <v>29</v>
      </c>
      <c r="G19" s="36" t="s">
        <v>31</v>
      </c>
    </row>
    <row r="20" spans="1:7" x14ac:dyDescent="0.3">
      <c r="A20" s="69" t="s">
        <v>32</v>
      </c>
      <c r="B20" s="70"/>
      <c r="C20" s="70"/>
      <c r="D20" s="70"/>
      <c r="E20" s="70"/>
      <c r="F20" s="70"/>
      <c r="G20" s="71"/>
    </row>
    <row r="21" spans="1:7" x14ac:dyDescent="0.3">
      <c r="A21" s="4" t="s">
        <v>13</v>
      </c>
      <c r="B21" s="19" t="s">
        <v>14</v>
      </c>
      <c r="C21" s="6">
        <v>88371688</v>
      </c>
      <c r="D21" s="14">
        <f>(88371688-67696666)/67696666</f>
        <v>0.30540679802458809</v>
      </c>
      <c r="E21" s="6">
        <v>75708736</v>
      </c>
      <c r="F21" s="14">
        <f>(75708736-56024914)/56024914</f>
        <v>0.35134051254411564</v>
      </c>
      <c r="G21" s="16">
        <f>E21/C21</f>
        <v>0.85670804432297365</v>
      </c>
    </row>
    <row r="22" spans="1:7" x14ac:dyDescent="0.3">
      <c r="A22" s="5" t="s">
        <v>16</v>
      </c>
      <c r="B22" s="20" t="s">
        <v>17</v>
      </c>
      <c r="C22" s="6">
        <v>118975710</v>
      </c>
      <c r="D22" s="14">
        <f>(C22-C21)/C21</f>
        <v>0.3463102571945893</v>
      </c>
      <c r="E22" s="6">
        <v>104833293</v>
      </c>
      <c r="F22" s="14">
        <f>(E22-E21)/E21</f>
        <v>0.38469215758667535</v>
      </c>
      <c r="G22" s="17">
        <f>E22/C22</f>
        <v>0.88113189658628643</v>
      </c>
    </row>
    <row r="23" spans="1:7" x14ac:dyDescent="0.3">
      <c r="A23" s="5" t="s">
        <v>19</v>
      </c>
      <c r="B23" s="20" t="s">
        <v>20</v>
      </c>
      <c r="C23" s="6">
        <v>94778689</v>
      </c>
      <c r="D23" s="14">
        <f>(C23-C22)/C22</f>
        <v>-0.20337782392725373</v>
      </c>
      <c r="E23" s="6">
        <v>86121681</v>
      </c>
      <c r="F23" s="14">
        <f>(E23-E22)/E22</f>
        <v>-0.17848921334561149</v>
      </c>
      <c r="G23" s="17">
        <f>E23/C23</f>
        <v>0.90866081720121705</v>
      </c>
    </row>
    <row r="24" spans="1:7" x14ac:dyDescent="0.3">
      <c r="A24" s="66" t="s">
        <v>22</v>
      </c>
      <c r="B24" s="67"/>
      <c r="C24" s="67"/>
      <c r="D24" s="67"/>
      <c r="E24" s="67"/>
      <c r="F24" s="67"/>
      <c r="G24" s="68"/>
    </row>
    <row r="25" spans="1:7" x14ac:dyDescent="0.3">
      <c r="A25" s="8" t="s">
        <v>24</v>
      </c>
      <c r="B25" s="21" t="s">
        <v>25</v>
      </c>
      <c r="C25" s="9">
        <f>(C23*D25)+C23</f>
        <v>104256557.90000001</v>
      </c>
      <c r="D25" s="15">
        <v>0.1</v>
      </c>
      <c r="E25" s="9">
        <f>E16*E34</f>
        <v>100473515.14373763</v>
      </c>
      <c r="F25" s="15">
        <f>(E25-E23)/E23</f>
        <v>0.16664600571065988</v>
      </c>
      <c r="G25" s="18">
        <v>0.92</v>
      </c>
    </row>
    <row r="28" spans="1:7" ht="33" x14ac:dyDescent="0.3">
      <c r="A28" s="34" t="s">
        <v>0</v>
      </c>
      <c r="B28" s="35" t="s">
        <v>1</v>
      </c>
      <c r="C28" s="35" t="s">
        <v>35</v>
      </c>
      <c r="D28" s="36" t="s">
        <v>29</v>
      </c>
      <c r="E28" s="36" t="s">
        <v>36</v>
      </c>
      <c r="F28" s="36" t="s">
        <v>29</v>
      </c>
    </row>
    <row r="29" spans="1:7" x14ac:dyDescent="0.3">
      <c r="A29" s="69" t="s">
        <v>32</v>
      </c>
      <c r="B29" s="70"/>
      <c r="C29" s="70"/>
      <c r="D29" s="70"/>
      <c r="E29" s="70"/>
      <c r="F29" s="71"/>
    </row>
    <row r="30" spans="1:7" x14ac:dyDescent="0.3">
      <c r="A30" s="11" t="s">
        <v>13</v>
      </c>
      <c r="B30" s="19" t="s">
        <v>14</v>
      </c>
      <c r="C30" s="12">
        <v>31761</v>
      </c>
      <c r="D30" s="14">
        <f>(31761-30316)/30316</f>
        <v>4.7664599551392003E-2</v>
      </c>
      <c r="E30" s="12">
        <f>E21/E12</f>
        <v>22886.558645707377</v>
      </c>
      <c r="F30" s="37">
        <v>0.13700000000000001</v>
      </c>
    </row>
    <row r="31" spans="1:7" x14ac:dyDescent="0.3">
      <c r="A31" s="5" t="s">
        <v>16</v>
      </c>
      <c r="B31" s="20" t="s">
        <v>17</v>
      </c>
      <c r="C31" s="12">
        <v>29707</v>
      </c>
      <c r="D31" s="14">
        <f>(C31-C30)/C30</f>
        <v>-6.4670507855546108E-2</v>
      </c>
      <c r="E31" s="6">
        <f>E22/E13</f>
        <v>25650.426474186446</v>
      </c>
      <c r="F31" s="17">
        <f>(E31-E30)/E30</f>
        <v>0.12076380163854224</v>
      </c>
    </row>
    <row r="32" spans="1:7" x14ac:dyDescent="0.3">
      <c r="A32" s="5" t="s">
        <v>19</v>
      </c>
      <c r="B32" s="20" t="s">
        <v>20</v>
      </c>
      <c r="C32" s="12">
        <v>34457</v>
      </c>
      <c r="D32" s="14">
        <f>(C32-C31)/C31</f>
        <v>0.15989497424849361</v>
      </c>
      <c r="E32" s="6">
        <f>E23/E14</f>
        <v>27322.86833756345</v>
      </c>
      <c r="F32" s="17">
        <f>(E32-E31)/E31</f>
        <v>6.520132774634689E-2</v>
      </c>
      <c r="G32" s="38"/>
    </row>
    <row r="33" spans="1:6" x14ac:dyDescent="0.3">
      <c r="A33" s="69" t="s">
        <v>22</v>
      </c>
      <c r="B33" s="70"/>
      <c r="C33" s="70"/>
      <c r="D33" s="70"/>
      <c r="E33" s="70"/>
      <c r="F33" s="71"/>
    </row>
    <row r="34" spans="1:6" x14ac:dyDescent="0.3">
      <c r="A34" s="8" t="s">
        <v>24</v>
      </c>
      <c r="B34" s="21" t="s">
        <v>25</v>
      </c>
      <c r="C34" s="9">
        <v>36814</v>
      </c>
      <c r="D34" s="15">
        <f>(C34-C32)/C32</f>
        <v>6.8404097861102242E-2</v>
      </c>
      <c r="E34" s="9">
        <f>(E32*F34)+E32</f>
        <v>29098.854779505073</v>
      </c>
      <c r="F34" s="18">
        <v>6.5000000000000002E-2</v>
      </c>
    </row>
  </sheetData>
  <mergeCells count="9">
    <mergeCell ref="F2:H2"/>
    <mergeCell ref="C6:E6"/>
    <mergeCell ref="C2:E2"/>
    <mergeCell ref="A29:F29"/>
    <mergeCell ref="A33:F33"/>
    <mergeCell ref="A15:G15"/>
    <mergeCell ref="A11:G11"/>
    <mergeCell ref="A20:G20"/>
    <mergeCell ref="A24:G2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Safety Net Projections</dc:title>
  <dc:subject/>
  <dc:creator>OSPI</dc:creator>
  <cp:keywords/>
  <dc:description/>
  <cp:lastModifiedBy>Katy Payne</cp:lastModifiedBy>
  <cp:revision/>
  <dcterms:created xsi:type="dcterms:W3CDTF">2021-08-26T17:21:04Z</dcterms:created>
  <dcterms:modified xsi:type="dcterms:W3CDTF">2021-09-10T22:06:57Z</dcterms:modified>
  <cp:category/>
  <cp:contentStatus/>
</cp:coreProperties>
</file>